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元)" sheetId="67" state="hidden" r:id="rId24"/>
    <sheet name="年期修正系数" sheetId="83" state="hidden" r:id="rId25"/>
    <sheet name="收益法（汇总）" sheetId="70" r:id="rId26"/>
    <sheet name="公寓" sheetId="15" r:id="rId27"/>
    <sheet name="配套商业" sheetId="79" r:id="rId28"/>
    <sheet name="酒店" sheetId="80" r:id="rId29"/>
    <sheet name="酒店收入计算" sheetId="66" state="hidden" r:id="rId30"/>
    <sheet name="拟酒店收入计算" sheetId="78"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公寓案例" sheetId="81" r:id="rId50"/>
    <sheet name="商业案例" sheetId="82"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6">公寓!$A$1:$AK$69</definedName>
    <definedName name="_xlnm.Print_Area" localSheetId="8">估价师及机构信息!$A$1:$F$29</definedName>
    <definedName name="_xlnm.Print_Area" localSheetId="28">酒店!$A$1:$AK$69</definedName>
    <definedName name="_xlnm.Print_Area" localSheetId="30">拟酒店收入计算!$A$1:$Q$98</definedName>
    <definedName name="_xlnm.Print_Area" localSheetId="27">配套商业!$A$1:$AK$69</definedName>
    <definedName name="_xlnm.Print_Area" localSheetId="23">'收益法 (元)'!$A$1:$AK$69</definedName>
    <definedName name="_xlnm.Print_Area" localSheetId="14">'数据-汇总表'!$A$1:$P$32</definedName>
    <definedName name="八级">区片价!$O$1:$O$40</definedName>
    <definedName name="办公层高" localSheetId="30">'[1]不动产比较法-办公'!$B$119:$M$119</definedName>
    <definedName name="办公层高">'比较法-办公'!$B$119:$M$119</definedName>
    <definedName name="办公朝向" localSheetId="30">'[1]不动产比较法-办公'!$B$91:$M$91</definedName>
    <definedName name="办公朝向">'比较法-办公'!$B$91:$M$91</definedName>
    <definedName name="办公道路级别" localSheetId="30">'[1]不动产比较法-办公'!$B$87:$M$87</definedName>
    <definedName name="办公道路级别">'比较法-办公'!$B$87:$M$87</definedName>
    <definedName name="办公公共部分装修" localSheetId="30">'[1]不动产比较法-办公'!$B$108:$M$108</definedName>
    <definedName name="办公公共部分装修">'比较法-办公'!$B$108:$M$108</definedName>
    <definedName name="办公基础设施水平" localSheetId="30">'[1]不动产比较法-办公'!$B$117:$M$117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'比较法-办公'!$B$106:$M$106</definedName>
    <definedName name="办公建筑类型" localSheetId="30">'[1]不动产比较法-办公'!$B$101:$M$101</definedName>
    <definedName name="办公建筑类型">'比较法-办公'!$B$101:$M$101</definedName>
    <definedName name="办公交易情况" localSheetId="30">'[1]不动产比较法-办公'!$A$62:$M$62</definedName>
    <definedName name="办公交易情况">'比较法-办公'!$A$62:$M$62</definedName>
    <definedName name="办公楼层" localSheetId="30">'[1]不动产比较法-办公'!$B$89:$M$89</definedName>
    <definedName name="办公楼层">'比较法-办公'!$B$89:$M$89</definedName>
    <definedName name="办公内部装修" localSheetId="30">'[1]不动产比较法-办公'!$B$123:$M$123</definedName>
    <definedName name="办公内部装修">'比较法-办公'!$B$123:$M$123</definedName>
    <definedName name="办公物业管理" localSheetId="30">'[1]不动产比较法-办公'!$B$115:$M$115</definedName>
    <definedName name="办公物业管理">'比较法-办公'!$B$115:$M$115</definedName>
    <definedName name="办公用途" localSheetId="30">'[1]不动产比较法-办公'!$B$64:$M$64</definedName>
    <definedName name="办公用途">'比较法-办公'!$B$64:$M$64</definedName>
    <definedName name="仓储公共部分装修" localSheetId="30">'[1]不动产比较法-仓储'!$B$77:$M$77</definedName>
    <definedName name="仓储公共部分装修">'比较法-仓储'!$B$77:$M$77</definedName>
    <definedName name="仓储交易情况" localSheetId="30">'[1]不动产比较法-仓储'!$A$49:$M$49</definedName>
    <definedName name="仓储交易情况">'比较法-仓储'!$A$49:$M$49</definedName>
    <definedName name="仓储楼层" localSheetId="30">'[1]不动产比较法-仓储'!$B$69:$M$69</definedName>
    <definedName name="仓储楼层">'比较法-仓储'!$B$69:$M$69</definedName>
    <definedName name="仓储物业等级" localSheetId="30">'[1]不动产比较法-仓储'!$B$82:$M$82</definedName>
    <definedName name="仓储物业等级">'比较法-仓储'!$B$82:$M$82</definedName>
    <definedName name="仓储用途" localSheetId="30">'[1]不动产比较法-仓储'!$B$51:$M$51</definedName>
    <definedName name="仓储用途">'比较法-仓储'!$B$51:$M$51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'比较法-车位'!$B$83:$M$83</definedName>
    <definedName name="车位交易情况" localSheetId="30">'[1]不动产比较法-车位'!$A$51:$M$51</definedName>
    <definedName name="车位交易情况">'比较法-车位'!$A$51:$M$51</definedName>
    <definedName name="车位类型" localSheetId="30">'[1]不动产比较法-车位'!$B$93:$M$93</definedName>
    <definedName name="车位类型">'比较法-车位'!$B$93:$M$93</definedName>
    <definedName name="车位楼层" localSheetId="30">'[1]不动产比较法-车位'!$B$71:$M$71</definedName>
    <definedName name="车位楼层">'比较法-车位'!$B$71:$M$71</definedName>
    <definedName name="车位配套类型" localSheetId="30">'[1]不动产比较法-车位'!$B$79:$M$79</definedName>
    <definedName name="车位配套类型">'比较法-车位'!$B$79:$M$79</definedName>
    <definedName name="车位物业等级" localSheetId="30">'[1]不动产比较法-车位'!$B$88:$M$88</definedName>
    <definedName name="车位物业等级">'比较法-车位'!$B$88:$M$88</definedName>
    <definedName name="车位用途" localSheetId="30">'[1]不动产比较法-车位'!$B$53:$M$53</definedName>
    <definedName name="车位用途">'比较法-车位'!$B$53:$M$53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区片价!$I$1:$I$20</definedName>
    <definedName name="二级分类" localSheetId="30">[1]修正!$C$17:$C$39</definedName>
    <definedName name="二级分类">修正!$C$17:$C$39</definedName>
    <definedName name="法定最高年限" localSheetId="30">[1]定义!$G$2:$G$4</definedName>
    <definedName name="法定最高年限" localSheetId="24">[2]定义!$F$2:$F$4</definedName>
    <definedName name="法定最高年限">定义!$G$1:$G$4</definedName>
    <definedName name="工业公共部分装修" localSheetId="30">'[1]不动产比较法-工业'!$B$95:$M$95</definedName>
    <definedName name="工业公共部分装修">'比较法-工业'!$B$95:$M$95</definedName>
    <definedName name="工业基础设施水平" localSheetId="30">'[1]不动产比较法-工业'!$B$102:$M$102</definedName>
    <definedName name="工业基础设施水平">'比较法-工业'!$B$102:$M$102</definedName>
    <definedName name="工业建筑结构" localSheetId="30">'[1]不动产比较法-工业'!$B$93:$M$93</definedName>
    <definedName name="工业建筑结构">'比较法-工业'!$B$93:$M$93</definedName>
    <definedName name="工业建筑类型" localSheetId="30">'[1]不动产比较法-工业'!$B$88:$M$88</definedName>
    <definedName name="工业建筑类型">'比较法-工业'!$B$88:$M$88</definedName>
    <definedName name="工业交易情况" localSheetId="30">'[1]不动产比较法-工业'!$A$55:$M$55</definedName>
    <definedName name="工业交易情况">'比较法-工业'!$A$55:$M$55</definedName>
    <definedName name="工业内部装修" localSheetId="30">'[1]不动产比较法-工业'!$B$104:$M$104</definedName>
    <definedName name="工业内部装修">'比较法-工业'!$B$104:$M$104</definedName>
    <definedName name="工业物业管理" localSheetId="30">'[1]不动产比较法-工业'!$B$100:$M$100</definedName>
    <definedName name="工业物业管理">'比较法-工业'!$B$100:$M$100</definedName>
    <definedName name="工业用途" localSheetId="30">'[1]不动产比较法-工业'!$B$57:$M$57</definedName>
    <definedName name="工业用途">'比较法-工业'!$B$57:$M$57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区片价!$P$1:$P$46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区片价!$M$1:$M$49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区片价!$N$1:$N$49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区片价!$J$1:$J$21</definedName>
    <definedName name="商业层高" localSheetId="30">'[1]不动产比较法-商业'!$B$116:$M$116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'比较法-商业'!$B$107:$M$107</definedName>
    <definedName name="商业基础设施水平" localSheetId="30">'[1]不动产比较法-商业'!$B$112:$M$112</definedName>
    <definedName name="商业基础设施水平">'比较法-商业'!$B$112:$M$112</definedName>
    <definedName name="商业建筑结构" localSheetId="30">'[1]不动产比较法-商业'!$B$105:$M$105</definedName>
    <definedName name="商业建筑结构">'比较法-商业'!$B$105:$M$105</definedName>
    <definedName name="商业交易情况" localSheetId="30">'[1]不动产比较法-商业'!$A$61:$M$61</definedName>
    <definedName name="商业交易情况">'比较法-商业'!$A$61:$M$61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'比较法-商业'!$B$120:$M$120</definedName>
    <definedName name="商业类型" localSheetId="30">'[1]不动产比较法-商业'!$B$100:$M$100</definedName>
    <definedName name="商业类型">'比较法-商业'!$B$100:$M$100</definedName>
    <definedName name="商业临街状况" localSheetId="30">'[1]不动产比较法-商业'!$B$86:$M$86</definedName>
    <definedName name="商业临街状况">'比较法-商业'!$B$86:$M$86</definedName>
    <definedName name="商业楼层" localSheetId="30">'[1]不动产比较法-商业'!$B$92:$M$92</definedName>
    <definedName name="商业楼层">'比较法-商业'!$B$92:$M$92</definedName>
    <definedName name="商业内部装修" localSheetId="30">'[1]不动产比较法-商业'!$B$122:$M$122</definedName>
    <definedName name="商业内部装修">'比较法-商业'!$B$122:$M$122</definedName>
    <definedName name="商业人流量" localSheetId="30">'[1]不动产比较法-商业'!$B$90:$M$90</definedName>
    <definedName name="商业人流量">'比较法-商业'!$B$90:$M$90</definedName>
    <definedName name="商业业态" localSheetId="30">'[1]不动产比较法-商业'!$B$114:$M$114</definedName>
    <definedName name="商业业态">'比较法-商业'!$B$114:$M$114</definedName>
    <definedName name="商业用途" localSheetId="30">'[1]不动产比较法-商业'!$B$63:$M$63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'[1]不动产比较法-仓储'!$B$89:$M$89</definedName>
    <definedName name="是否封闭">'比较法-仓储'!$B$89:$M$89</definedName>
    <definedName name="是否直接入户" localSheetId="30">'[1]不动产比较法-车位'!$B$95:$M$95</definedName>
    <definedName name="是否直接入户">'比较法-车位'!$B$95:$M$95</definedName>
    <definedName name="四级">区片价!$K$1:$K$28</definedName>
    <definedName name="套工道路等级" localSheetId="30">'[3]土地比较法-工业'!$B$97:$M$97</definedName>
    <definedName name="套工道路等级">'土地比较法-工业'!$B$97:$M$97</definedName>
    <definedName name="套工地质条件" localSheetId="30">'[3]土地比较法-工业'!$B$114:$M$114</definedName>
    <definedName name="套工地质条件">'土地比较法-工业'!$B$114:$M$114</definedName>
    <definedName name="套工交易情况" localSheetId="30">'[1]比较法-商业'!$A$75:$M$75</definedName>
    <definedName name="套工交易情况">'土地比较法-住宅、综合'!$A$73:$M$73</definedName>
    <definedName name="套工土地级别" localSheetId="30">'[1]比较法-工业'!$B$101:$M$101</definedName>
    <definedName name="套工土地级别">'土地比较法-工业'!$B$99:$M$99</definedName>
    <definedName name="套工用途" localSheetId="30">'[1]比较法-工业'!$B$72:$M$72</definedName>
    <definedName name="套工用途">'土地比较法-工业'!$B$70:$M$70</definedName>
    <definedName name="套工宗地开发程度" localSheetId="30">'[3]土地比较法-工业'!$B$112:$M$112</definedName>
    <definedName name="套工宗地开发程度">'土地比较法-工业'!$B$112:$M$112</definedName>
    <definedName name="套工宗地形状" localSheetId="30">'[3]土地比较法-工业'!$B$110:$M$110</definedName>
    <definedName name="套工宗地形状">'土地比较法-工业'!$B$110:$M$110</definedName>
    <definedName name="套综道路等级" localSheetId="30">'[1]比较法-商业'!$B$108:$M$108</definedName>
    <definedName name="套综道路等级">'土地比较法-住宅、综合'!$B$106:$M$106</definedName>
    <definedName name="套综工程地质条件" localSheetId="30">'[1]比较法-商业'!$B$127:$M$127</definedName>
    <definedName name="套综工程地质条件">'土地比较法-住宅、综合'!$B$125:$M$125</definedName>
    <definedName name="套综交易情况" localSheetId="30">'[1]比较法-商业'!$A$75:$M$75</definedName>
    <definedName name="套综交易情况">'土地比较法-住宅、综合'!$A$73:$M$73</definedName>
    <definedName name="套综临街宽度及深度" localSheetId="30">'[1]比较法-商业'!$B$123:$M$123</definedName>
    <definedName name="套综临街宽度及深度">'土地比较法-住宅、综合'!$B$121:$M$121</definedName>
    <definedName name="套综土地级别" localSheetId="30">'[1]比较法-商业'!$B$110:$M$110</definedName>
    <definedName name="套综土地级别">'土地比较法-住宅、综合'!$B$108:$M$108</definedName>
    <definedName name="套综用途" localSheetId="30">'[1]比较法-商业'!$B$77:$M$77</definedName>
    <definedName name="套综用途">'土地比较法-住宅、综合'!$B$75:$M$75</definedName>
    <definedName name="套综宗地内开发程度" localSheetId="30">'[1]比较法-商业'!$B$125:$M$125</definedName>
    <definedName name="套综宗地内开发程度">'土地比较法-住宅、综合'!$B$123:$M$123</definedName>
    <definedName name="套综宗地形状" localSheetId="30">'[1]比较法-商业'!$B$121:$M$121</definedName>
    <definedName name="套综宗地形状">'土地比较法-住宅、综合'!$B$119:$M$119</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区片价!$L$1:$L$35</definedName>
    <definedName name="项目类型" localSheetId="30">'[1]数据-汇总表'!$C$17:$C$26</definedName>
    <definedName name="项目类型">'数据-汇总表'!$C$17:$C$26</definedName>
    <definedName name="写字楼等级" localSheetId="30">'[1]不动产比较法-办公'!$B$113:$M$113</definedName>
    <definedName name="写字楼等级">'比较法-办公'!$B$113:$M$113</definedName>
    <definedName name="一级">区片价!$H$1:$H$6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[1]定义!$A$1:$A$50</definedName>
    <definedName name="用途明细" localSheetId="30">[3]定义!$A$1:$A$50</definedName>
    <definedName name="用途明细">定义!$A$1:$A$50</definedName>
    <definedName name="有无电梯" localSheetId="30">'[1]不动产比较法-仓储'!$B$84:$M$84</definedName>
    <definedName name="有无电梯">'比较法-仓储'!$B$84:$M$84</definedName>
    <definedName name="主用途" localSheetId="30">[1]定义!$F$1:$F$10</definedName>
    <definedName name="主用途">定义!$F$1:$F$10</definedName>
    <definedName name="住宅朝向" localSheetId="30">#REF!</definedName>
    <definedName name="住宅朝向">'比较法-住宅'!$B$88:$M$88</definedName>
    <definedName name="住宅房型" localSheetId="30">#REF!</definedName>
    <definedName name="住宅房型">'比较法-住宅'!$B$118:$M$118</definedName>
    <definedName name="住宅公共部分装修" localSheetId="30">#REF!</definedName>
    <definedName name="住宅公共部分装修">'比较法-住宅'!$B$109:$M$109</definedName>
    <definedName name="住宅基础设施水平" localSheetId="30">#REF!</definedName>
    <definedName name="住宅基础设施水平">'比较法-住宅'!$B$116:$M$116</definedName>
    <definedName name="住宅建筑结构" localSheetId="30">#REF!</definedName>
    <definedName name="住宅建筑结构">'比较法-住宅'!$B$105:$M$105</definedName>
    <definedName name="住宅建筑类型" localSheetId="30">#REF!</definedName>
    <definedName name="住宅建筑类型">'比较法-住宅'!$B$100:$M$100</definedName>
    <definedName name="住宅建筑品质" localSheetId="30">#REF!</definedName>
    <definedName name="住宅建筑品质">'比较法-住宅'!$B$107:$M$107</definedName>
    <definedName name="住宅交易情况" localSheetId="30">#REF!</definedName>
    <definedName name="住宅交易情况">'比较法-住宅'!$A$61:$M$61</definedName>
    <definedName name="住宅楼层" localSheetId="30">#REF!</definedName>
    <definedName name="住宅楼层">'比较法-住宅'!$B$86:$M$86</definedName>
    <definedName name="住宅内部装修" localSheetId="30">#REF!</definedName>
    <definedName name="住宅内部装修">'比较法-住宅'!$B$122:$M$122</definedName>
    <definedName name="住宅物业管理" localSheetId="30">#REF!</definedName>
    <definedName name="住宅物业管理">'比较法-住宅'!$B$114:$M$114</definedName>
    <definedName name="住宅用途" localSheetId="30">#REF!</definedName>
    <definedName name="住宅用途">'比较法-住宅'!$B$63:$M$63</definedName>
    <definedName name="住宅主力户型面积" localSheetId="30">#REF!</definedName>
    <definedName name="住宅主力户型面积">'比较法-住宅'!$B$120:$M$120</definedName>
    <definedName name="注册房地产估价师" localSheetId="3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6" i="1" l="1"/>
  <c r="N7" i="1"/>
  <c r="Y7" i="1" s="1"/>
  <c r="N8" i="1" l="1"/>
  <c r="Y8" i="1" s="1"/>
  <c r="J52" i="80"/>
  <c r="J49" i="80"/>
  <c r="J52" i="79"/>
  <c r="J49" i="79"/>
  <c r="N14" i="1" l="1"/>
  <c r="U22" i="1"/>
  <c r="U21" i="1"/>
  <c r="E3" i="83" l="1"/>
  <c r="B3" i="83"/>
  <c r="B1" i="83"/>
  <c r="F10" i="83"/>
  <c r="F9" i="83"/>
  <c r="B16" i="83" s="1"/>
  <c r="C5" i="83"/>
  <c r="D5" i="83" s="1"/>
  <c r="C4" i="83"/>
  <c r="D4" i="83" s="1"/>
  <c r="C16" i="83" l="1"/>
  <c r="C3" i="83"/>
  <c r="D3" i="83"/>
  <c r="B13" i="83"/>
  <c r="C13" i="83"/>
  <c r="V21" i="1"/>
  <c r="V22" i="1" l="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2" i="79"/>
  <c r="F21" i="79"/>
  <c r="F20" i="79"/>
  <c r="M19" i="79"/>
  <c r="F18" i="79"/>
  <c r="M17" i="79"/>
  <c r="F17" i="79"/>
  <c r="F15" i="79"/>
  <c r="D23" i="79" l="1"/>
  <c r="D24" i="80"/>
  <c r="P61" i="80"/>
  <c r="D22" i="80"/>
  <c r="J51" i="80"/>
  <c r="P61" i="79"/>
  <c r="J51" i="79"/>
  <c r="F21" i="6" l="1"/>
  <c r="Q3" i="78" s="1"/>
  <c r="F20" i="6"/>
  <c r="C21" i="6"/>
  <c r="C20" i="6"/>
  <c r="F19" i="6"/>
  <c r="C19" i="6"/>
  <c r="AL16" i="3"/>
  <c r="AN18" i="3" l="1"/>
  <c r="I23" i="78"/>
  <c r="D20" i="78"/>
  <c r="I19" i="78"/>
  <c r="I18" i="78"/>
  <c r="I17" i="78"/>
  <c r="E15" i="78"/>
  <c r="I14" i="78"/>
  <c r="I9" i="78"/>
  <c r="I8" i="78"/>
  <c r="B7" i="78"/>
  <c r="B6" i="78"/>
  <c r="I5" i="78"/>
  <c r="B4" i="78"/>
  <c r="Q2" i="78"/>
  <c r="B3" i="78"/>
  <c r="I20" i="78" l="1"/>
  <c r="Q9" i="78"/>
  <c r="D4" i="78" s="1"/>
  <c r="I4" i="78" s="1"/>
  <c r="Q5" i="78"/>
  <c r="D7" i="78" s="1"/>
  <c r="I7" i="78" s="1"/>
  <c r="Q7" i="78"/>
  <c r="D6" i="78" s="1"/>
  <c r="I6" i="78" s="1"/>
  <c r="Q11" i="78" l="1"/>
  <c r="D3" i="78" s="1"/>
  <c r="I3" i="78" s="1"/>
  <c r="I10" i="78" s="1"/>
  <c r="I21" i="78" l="1"/>
  <c r="I13" i="78"/>
  <c r="D1" i="78" l="1"/>
  <c r="J21" i="78" s="1"/>
  <c r="C27" i="78" l="1"/>
  <c r="J15" i="78"/>
  <c r="E10" i="78"/>
  <c r="J10" i="78"/>
  <c r="C32" i="78" l="1"/>
  <c r="C30" i="78"/>
  <c r="C31" i="78"/>
  <c r="E26" i="78" l="1"/>
  <c r="C8" i="77" l="1"/>
  <c r="C38" i="39"/>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E11" i="76"/>
  <c r="E7" i="76"/>
  <c r="E8" i="76"/>
  <c r="B11" i="76"/>
  <c r="E9" i="76"/>
  <c r="B9" i="76"/>
  <c r="E10" i="76"/>
  <c r="E12" i="76"/>
  <c r="E13" i="76"/>
  <c r="B8" i="76"/>
  <c r="B12" i="76"/>
  <c r="B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F3" i="73"/>
  <c r="F6" i="73"/>
  <c r="D6" i="73"/>
  <c r="I1" i="73" l="1"/>
  <c r="B39" i="1" s="1"/>
  <c r="D3" i="73"/>
  <c r="D4" i="73"/>
  <c r="D5" i="73"/>
  <c r="D7" i="73"/>
  <c r="F11" i="80" l="1"/>
  <c r="M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O21" i="71"/>
  <c r="Y21" i="71" s="1"/>
  <c r="Z21" i="71" s="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AA21"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AA6" i="71" s="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0"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AH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9"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0" i="3"/>
  <c r="AZ178" i="3"/>
  <c r="AZ186" i="3"/>
  <c r="AZ198"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12" i="21" l="1"/>
  <c r="AA12" i="21"/>
  <c r="U23" i="35"/>
  <c r="AB23" i="35"/>
  <c r="AB9" i="36"/>
  <c r="U9" i="36"/>
  <c r="AC24" i="36"/>
  <c r="W24" i="36"/>
  <c r="AC23" i="39"/>
  <c r="W23" i="39"/>
  <c r="U44" i="39"/>
  <c r="AB44" i="39"/>
  <c r="AC32" i="40"/>
  <c r="W32" i="40"/>
  <c r="AZ509" i="3"/>
  <c r="W12" i="34"/>
  <c r="AC12" i="34"/>
  <c r="U12" i="35"/>
  <c r="AB12" i="35"/>
  <c r="AB34" i="35"/>
  <c r="U34" i="35"/>
  <c r="W12" i="36"/>
  <c r="AC12" i="36"/>
  <c r="W43" i="39"/>
  <c r="AC43" i="39"/>
  <c r="AB45" i="39"/>
  <c r="U45" i="39"/>
  <c r="AC31" i="40"/>
  <c r="W31" i="40"/>
  <c r="W33" i="40"/>
  <c r="AC33" i="40"/>
  <c r="AA38" i="40"/>
  <c r="S38" i="40"/>
  <c r="W40" i="40"/>
  <c r="AC40" i="40"/>
  <c r="H82" i="43"/>
  <c r="H48" i="43"/>
  <c r="H50" i="43"/>
  <c r="H75" i="43"/>
  <c r="G28" i="6"/>
  <c r="AC5" i="3"/>
  <c r="AZ326" i="3"/>
  <c r="AZ311" i="3"/>
  <c r="AZ372" i="3"/>
  <c r="AZ347" i="3"/>
  <c r="AZ344" i="3"/>
  <c r="AZ337" i="3"/>
  <c r="AZ320" i="3"/>
  <c r="AZ313" i="3"/>
  <c r="AZ305" i="3"/>
  <c r="AZ362"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AA29" i="35"/>
  <c r="U33" i="35"/>
  <c r="AC11" i="40"/>
  <c r="AA39" i="37"/>
  <c r="AB12" i="33"/>
  <c r="S27" i="35"/>
  <c r="F26" i="33"/>
  <c r="W9" i="34"/>
  <c r="S34" i="35"/>
  <c r="W28" i="35"/>
  <c r="U31" i="36"/>
  <c r="J12" i="21"/>
  <c r="AC12" i="21" s="1"/>
  <c r="F12" i="34"/>
  <c r="J23" i="35"/>
  <c r="J36" i="35"/>
  <c r="H12" i="36"/>
  <c r="H24" i="36"/>
  <c r="AB24" i="36" s="1"/>
  <c r="H38" i="40"/>
  <c r="F40" i="40"/>
  <c r="G574" i="3"/>
  <c r="G558" i="3"/>
  <c r="A15" i="6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AZ16" i="3"/>
  <c r="AZ557" i="3"/>
  <c r="BL586" i="3"/>
  <c r="AZ585" i="3"/>
  <c r="BA551" i="3"/>
  <c r="BL550" i="3"/>
  <c r="BA550" i="3"/>
  <c r="BL548" i="3"/>
  <c r="AZ548" i="3" s="1"/>
  <c r="M20" i="15"/>
  <c r="F34" i="80"/>
  <c r="F62" i="80" s="1"/>
  <c r="F34" i="79"/>
  <c r="F62" i="79" s="1"/>
  <c r="M20" i="80"/>
  <c r="M20" i="79"/>
  <c r="G14" i="3"/>
  <c r="B61" i="72"/>
  <c r="AZ399" i="3"/>
  <c r="AZ403" i="3"/>
  <c r="AZ405" i="3"/>
  <c r="AZ406" i="3"/>
  <c r="AZ415" i="3"/>
  <c r="AZ419" i="3"/>
  <c r="AZ421" i="3"/>
  <c r="AZ422" i="3"/>
  <c r="AZ431" i="3"/>
  <c r="AZ435" i="3"/>
  <c r="AZ438" i="3"/>
  <c r="AZ442" i="3"/>
  <c r="AZ451" i="3"/>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54" i="3"/>
  <c r="AZ458" i="3"/>
  <c r="AZ468" i="3"/>
  <c r="AZ469" i="3"/>
  <c r="AZ486" i="3"/>
  <c r="AZ487" i="3"/>
  <c r="AZ277" i="3"/>
  <c r="AZ290" i="3"/>
  <c r="AZ300" i="3"/>
  <c r="AZ125" i="3"/>
  <c r="AZ161" i="3"/>
  <c r="AZ177" i="3"/>
  <c r="AZ193"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30" i="3"/>
  <c r="AZ49" i="3"/>
  <c r="AZ95" i="3"/>
  <c r="F3" i="35"/>
  <c r="G1" i="80"/>
  <c r="G1" i="79"/>
  <c r="BL194" i="3"/>
  <c r="AZ194" i="3" s="1"/>
  <c r="BA196" i="3"/>
  <c r="AZ196" i="3" s="1"/>
  <c r="BL197" i="3"/>
  <c r="G200" i="3"/>
  <c r="BL202" i="3"/>
  <c r="AZ202" i="3" s="1"/>
  <c r="BA204" i="3"/>
  <c r="AZ204" i="3" s="1"/>
  <c r="BA205" i="3"/>
  <c r="AZ205" i="3" s="1"/>
  <c r="BA206" i="3"/>
  <c r="AZ206" i="3" s="1"/>
  <c r="BL18" i="3"/>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F7" i="1"/>
  <c r="G7" i="1" s="1"/>
  <c r="G11" i="1"/>
  <c r="M8" i="1"/>
  <c r="G18" i="3"/>
  <c r="BL15" i="3"/>
  <c r="AZ15" i="3" s="1"/>
  <c r="F29" i="6"/>
  <c r="BA18" i="3"/>
  <c r="AZ18" i="3" s="1"/>
  <c r="E8" i="6"/>
  <c r="F27" i="6" s="1"/>
  <c r="I4" i="6"/>
  <c r="G3" i="43" s="1"/>
  <c r="B113" i="43" s="1"/>
  <c r="AB8" i="39"/>
  <c r="C25" i="39"/>
  <c r="D93" i="9"/>
  <c r="E12" i="6"/>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F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15"/>
  <c r="F37" i="15"/>
  <c r="M8" i="15"/>
  <c r="F36" i="15"/>
  <c r="F36" i="67"/>
  <c r="F7" i="67"/>
  <c r="L48" i="67"/>
  <c r="M9" i="15"/>
  <c r="M6" i="67"/>
  <c r="M22" i="15"/>
  <c r="M9" i="67"/>
  <c r="F13" i="15"/>
  <c r="L47" i="67"/>
  <c r="F42" i="15"/>
  <c r="J15" i="67"/>
  <c r="M29" i="67"/>
  <c r="M23" i="15"/>
  <c r="F16" i="67"/>
  <c r="M22" i="67"/>
  <c r="F40" i="15"/>
  <c r="F37" i="67"/>
  <c r="F42" i="67"/>
  <c r="F13" i="67"/>
  <c r="F43" i="67"/>
  <c r="M24" i="15"/>
  <c r="F8" i="67"/>
  <c r="M28" i="67"/>
  <c r="M29" i="15"/>
  <c r="M24" i="67"/>
  <c r="M26" i="15"/>
  <c r="L47" i="15"/>
  <c r="F16" i="15"/>
  <c r="M28" i="15"/>
  <c r="M23" i="67"/>
  <c r="F9" i="15"/>
  <c r="F38" i="67"/>
  <c r="F8" i="15"/>
  <c r="M29" i="79"/>
  <c r="F9" i="67"/>
  <c r="C76" i="67"/>
  <c r="F6" i="67"/>
  <c r="L48" i="79"/>
  <c r="F40" i="67"/>
  <c r="F26" i="15"/>
  <c r="J15" i="15"/>
  <c r="G1" i="73"/>
  <c r="F7" i="15"/>
  <c r="F43" i="15"/>
  <c r="M26" i="67"/>
  <c r="F43" i="79"/>
  <c r="C76" i="15"/>
  <c r="F26" i="67"/>
  <c r="M6" i="15"/>
  <c r="M8" i="67"/>
  <c r="F6" i="15"/>
  <c r="L48" i="15"/>
  <c r="E56" i="40" l="1"/>
  <c r="F53" i="9"/>
  <c r="F32" i="80"/>
  <c r="F60" i="80" s="1"/>
  <c r="F28" i="80"/>
  <c r="C28" i="80" s="1"/>
  <c r="M18" i="80"/>
  <c r="M18" i="79"/>
  <c r="F32" i="79"/>
  <c r="F60" i="79" s="1"/>
  <c r="F28" i="79"/>
  <c r="C28" i="79" s="1"/>
  <c r="E29" i="6"/>
  <c r="AA40" i="40"/>
  <c r="S40" i="40"/>
  <c r="AC36" i="35"/>
  <c r="W36" i="35"/>
  <c r="S12" i="34"/>
  <c r="AA12" i="34"/>
  <c r="AA26" i="33"/>
  <c r="S26" i="33"/>
  <c r="AB38" i="40"/>
  <c r="U38" i="40"/>
  <c r="U12" i="36"/>
  <c r="AB12" i="36"/>
  <c r="AC23" i="35"/>
  <c r="W23" i="35"/>
  <c r="J53" i="79"/>
  <c r="Q52" i="79" s="1"/>
  <c r="I54" i="79"/>
  <c r="L56" i="79"/>
  <c r="J57" i="79"/>
  <c r="J55" i="79" s="1"/>
  <c r="J58" i="79" s="1"/>
  <c r="Q50" i="79" s="1"/>
  <c r="F1" i="79"/>
  <c r="F71" i="79"/>
  <c r="O8" i="1"/>
  <c r="P8" i="1" s="1"/>
  <c r="AH7" i="1"/>
  <c r="J101" i="43"/>
  <c r="N101" i="43"/>
  <c r="G101" i="43"/>
  <c r="K101"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4" i="46"/>
  <c r="C101" i="43"/>
  <c r="E22" i="43"/>
  <c r="F101" i="43"/>
  <c r="D22" i="43"/>
  <c r="E4" i="4"/>
  <c r="B5" i="62" s="1"/>
  <c r="B73" i="72" s="1"/>
  <c r="C4" i="4"/>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8"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59" i="15"/>
  <c r="F31" i="67"/>
  <c r="M17" i="15"/>
  <c r="F31" i="15"/>
  <c r="F59" i="67"/>
  <c r="M17" i="67"/>
  <c r="M28" i="80"/>
  <c r="M22" i="80"/>
  <c r="F36" i="79"/>
  <c r="M26" i="80"/>
  <c r="F13" i="80"/>
  <c r="M27" i="80"/>
  <c r="F40" i="79"/>
  <c r="F36" i="80"/>
  <c r="M8" i="79"/>
  <c r="M6" i="80"/>
  <c r="F37" i="79"/>
  <c r="F6" i="80"/>
  <c r="M8" i="80"/>
  <c r="M27" i="79"/>
  <c r="J15" i="80"/>
  <c r="F9" i="79"/>
  <c r="C76" i="79"/>
  <c r="F8" i="80"/>
  <c r="F37" i="80"/>
  <c r="F16" i="80"/>
  <c r="L47" i="79"/>
  <c r="L48" i="80"/>
  <c r="M23" i="80"/>
  <c r="F7" i="80"/>
  <c r="F42" i="80"/>
  <c r="M22" i="79"/>
  <c r="F26" i="79"/>
  <c r="M9" i="80"/>
  <c r="C16" i="15"/>
  <c r="C17" i="15"/>
  <c r="C17" i="79"/>
  <c r="M29" i="80"/>
  <c r="F16" i="79"/>
  <c r="L47" i="80"/>
  <c r="F38" i="80"/>
  <c r="M24" i="79"/>
  <c r="F38" i="79"/>
  <c r="M9" i="79"/>
  <c r="F43" i="80"/>
  <c r="F8" i="79"/>
  <c r="F13" i="79"/>
  <c r="M6" i="79"/>
  <c r="J15" i="79"/>
  <c r="F40" i="80"/>
  <c r="M23" i="79"/>
  <c r="F6" i="79"/>
  <c r="F26" i="80"/>
  <c r="M28" i="79"/>
  <c r="C76" i="80"/>
  <c r="F42" i="79"/>
  <c r="M26" i="79"/>
  <c r="F7" i="79"/>
  <c r="M24" i="80"/>
  <c r="F9" i="80"/>
  <c r="C16" i="67"/>
  <c r="F64" i="79" l="1"/>
  <c r="C27" i="79"/>
  <c r="F71" i="80"/>
  <c r="J53" i="80"/>
  <c r="L56" i="80"/>
  <c r="J57" i="80"/>
  <c r="J55" i="80" s="1"/>
  <c r="J58" i="80" s="1"/>
  <c r="Q50" i="80" s="1"/>
  <c r="I54" i="80"/>
  <c r="M7" i="80"/>
  <c r="J6" i="80" s="1"/>
  <c r="J10" i="80" s="1"/>
  <c r="J5" i="80" s="1"/>
  <c r="F50" i="80"/>
  <c r="F68" i="80"/>
  <c r="F65" i="80"/>
  <c r="F64" i="80"/>
  <c r="Q71" i="80"/>
  <c r="F66" i="80"/>
  <c r="M59" i="79"/>
  <c r="N59" i="79"/>
  <c r="L59" i="79"/>
  <c r="L58" i="79"/>
  <c r="F51" i="79"/>
  <c r="F68" i="79"/>
  <c r="F66" i="79"/>
  <c r="F65" i="79"/>
  <c r="Q71" i="79"/>
  <c r="L59" i="80"/>
  <c r="M59" i="80"/>
  <c r="L58" i="80"/>
  <c r="N59" i="80"/>
  <c r="C6" i="80"/>
  <c r="C5" i="80" s="1"/>
  <c r="F51" i="80"/>
  <c r="C27" i="80"/>
  <c r="C6" i="79"/>
  <c r="C10" i="79" s="1"/>
  <c r="C5" i="79" s="1"/>
  <c r="F50" i="79"/>
  <c r="M7" i="79"/>
  <c r="J6" i="79" s="1"/>
  <c r="J10" i="79" s="1"/>
  <c r="J5" i="79" s="1"/>
  <c r="E7" i="70"/>
  <c r="O7" i="1"/>
  <c r="O16" i="1" s="1"/>
  <c r="F24" i="79"/>
  <c r="F24" i="80"/>
  <c r="C24" i="79"/>
  <c r="M21" i="6"/>
  <c r="I21" i="6" s="1"/>
  <c r="S21" i="6" s="1"/>
  <c r="S8" i="1"/>
  <c r="AQ7" i="1"/>
  <c r="J104" i="43"/>
  <c r="J107" i="43"/>
  <c r="J102" i="43"/>
  <c r="J106" i="43"/>
  <c r="J109" i="43"/>
  <c r="J103" i="43"/>
  <c r="J105" i="43"/>
  <c r="K16" i="1"/>
  <c r="AY6" i="3"/>
  <c r="E3" i="6"/>
  <c r="D3" i="21" s="1"/>
  <c r="N102" i="43"/>
  <c r="N103" i="43"/>
  <c r="N106" i="43"/>
  <c r="N104" i="43"/>
  <c r="N109" i="43"/>
  <c r="N105" i="43"/>
  <c r="N107" i="43"/>
  <c r="K103" i="43"/>
  <c r="K107" i="43"/>
  <c r="K104" i="43"/>
  <c r="K106" i="43"/>
  <c r="K109" i="43"/>
  <c r="K102" i="43"/>
  <c r="K105" i="43"/>
  <c r="G105" i="43"/>
  <c r="G103" i="43"/>
  <c r="G109" i="43"/>
  <c r="G102" i="43"/>
  <c r="G107" i="43"/>
  <c r="G104" i="43"/>
  <c r="G106" i="43"/>
  <c r="F104" i="43"/>
  <c r="F107" i="43"/>
  <c r="F106" i="43"/>
  <c r="F105" i="43"/>
  <c r="F109" i="43"/>
  <c r="F102" i="43"/>
  <c r="F103" i="43"/>
  <c r="C104" i="43"/>
  <c r="C106" i="43"/>
  <c r="C105" i="43"/>
  <c r="C102" i="43"/>
  <c r="S2" i="43" s="1"/>
  <c r="C107" i="43"/>
  <c r="C103" i="43"/>
  <c r="C109" i="43"/>
  <c r="M19" i="6"/>
  <c r="AR6" i="1"/>
  <c r="K4" i="4"/>
  <c r="B46" i="48" s="1"/>
  <c r="B4" i="72"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D14" i="12"/>
  <c r="D17" i="12" s="1"/>
  <c r="C17" i="1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9"/>
  <c r="C16" i="79"/>
  <c r="C16" i="80"/>
  <c r="C17" i="80"/>
  <c r="C49" i="79" l="1"/>
  <c r="C48" i="79" s="1"/>
  <c r="C60" i="79" s="1"/>
  <c r="Q61" i="79"/>
  <c r="Q74" i="79"/>
  <c r="C49" i="80"/>
  <c r="C48" i="80" s="1"/>
  <c r="C38" i="80"/>
  <c r="C32" i="80"/>
  <c r="Q60" i="80"/>
  <c r="Q73" i="80"/>
  <c r="Q61" i="80"/>
  <c r="Q74" i="80"/>
  <c r="Q60" i="79"/>
  <c r="Q73" i="79"/>
  <c r="J18" i="80"/>
  <c r="J26" i="80"/>
  <c r="J24" i="80"/>
  <c r="Q52" i="80"/>
  <c r="F1" i="80"/>
  <c r="C18" i="79"/>
  <c r="C15" i="79"/>
  <c r="E8" i="70"/>
  <c r="C66" i="79"/>
  <c r="J24" i="79"/>
  <c r="J26" i="79"/>
  <c r="J18" i="79"/>
  <c r="C38" i="79"/>
  <c r="C32" i="79"/>
  <c r="C24" i="80"/>
  <c r="AR8" i="1"/>
  <c r="T8" i="1"/>
  <c r="AQ8" i="1"/>
  <c r="D19" i="11"/>
  <c r="C19" i="11" s="1"/>
  <c r="C20" i="11" s="1"/>
  <c r="M18" i="9"/>
  <c r="B118" i="9" s="1"/>
  <c r="B14" i="74" s="1"/>
  <c r="B1" i="74" s="1"/>
  <c r="D37" i="11"/>
  <c r="D3" i="33"/>
  <c r="D3" i="37"/>
  <c r="L18" i="9"/>
  <c r="C17" i="4"/>
  <c r="B4" i="52" s="1"/>
  <c r="B43" i="72" s="1"/>
  <c r="E6" i="6"/>
  <c r="D10"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4"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66" i="80" l="1"/>
  <c r="C60" i="80"/>
  <c r="C37" i="11"/>
  <c r="C19" i="79"/>
  <c r="C20" i="79" s="1"/>
  <c r="C15" i="80"/>
  <c r="C18" i="80"/>
  <c r="D20" i="12"/>
  <c r="C20" i="12" s="1"/>
  <c r="C18" i="12"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9"/>
  <c r="F35" i="80"/>
  <c r="E6" i="76"/>
  <c r="M21" i="80"/>
  <c r="F35" i="79"/>
  <c r="C26" i="79" l="1"/>
  <c r="C23" i="79"/>
  <c r="C19" i="80"/>
  <c r="C20" i="80" s="1"/>
  <c r="C26" i="80" s="1"/>
  <c r="J20" i="80"/>
  <c r="F63" i="80"/>
  <c r="C62" i="80" s="1"/>
  <c r="C34" i="80"/>
  <c r="F63" i="79"/>
  <c r="C62" i="79" s="1"/>
  <c r="C34" i="79"/>
  <c r="J20" i="79"/>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15"/>
  <c r="F35" i="67"/>
  <c r="B6" i="76"/>
  <c r="C29" i="79" l="1"/>
  <c r="J19" i="79" s="1"/>
  <c r="J17" i="79" s="1"/>
  <c r="C23" i="80"/>
  <c r="C29" i="80" s="1"/>
  <c r="Q49" i="80" s="1"/>
  <c r="F11" i="39"/>
  <c r="H11" i="39"/>
  <c r="J11" i="39"/>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33" i="79" l="1"/>
  <c r="C31" i="79" s="1"/>
  <c r="C36" i="79"/>
  <c r="C13" i="79"/>
  <c r="Q49" i="79"/>
  <c r="C57" i="79"/>
  <c r="J59" i="79"/>
  <c r="J60" i="79" s="1"/>
  <c r="Q48" i="79" s="1"/>
  <c r="J14" i="79"/>
  <c r="C33" i="80"/>
  <c r="C31" i="80" s="1"/>
  <c r="C36" i="80"/>
  <c r="J59" i="80"/>
  <c r="J60" i="80" s="1"/>
  <c r="Q48" i="80" s="1"/>
  <c r="C57" i="80"/>
  <c r="C64" i="80" s="1"/>
  <c r="J19" i="80"/>
  <c r="J17" i="80" s="1"/>
  <c r="J14" i="80"/>
  <c r="J13" i="80" s="1"/>
  <c r="J23" i="80" s="1"/>
  <c r="C13" i="80"/>
  <c r="Q70" i="80" s="1"/>
  <c r="L57" i="80"/>
  <c r="L60" i="80" s="1"/>
  <c r="L57" i="79"/>
  <c r="L60" i="79" s="1"/>
  <c r="L46" i="79" s="1"/>
  <c r="U11" i="39"/>
  <c r="AB11" i="39"/>
  <c r="W11" i="39"/>
  <c r="AC11" i="39"/>
  <c r="AA11" i="39"/>
  <c r="S11" i="39"/>
  <c r="C27" i="12"/>
  <c r="C25" i="12" s="1"/>
  <c r="C32" i="12" s="1"/>
  <c r="B2" i="12" s="1"/>
  <c r="B3" i="12" s="1"/>
  <c r="C39" i="68"/>
  <c r="C43" i="68" s="1"/>
  <c r="C42" i="68"/>
  <c r="J63" i="40"/>
  <c r="I65" i="40"/>
  <c r="C46" i="11"/>
  <c r="C45" i="11" s="1"/>
  <c r="C49" i="11" s="1"/>
  <c r="C51" i="11" s="1"/>
  <c r="C52" i="11" s="1"/>
  <c r="B2" i="11" s="1"/>
  <c r="B3" i="11" s="1"/>
  <c r="J70" i="39"/>
  <c r="L46" i="80" l="1"/>
  <c r="J22" i="80"/>
  <c r="J13" i="79"/>
  <c r="J23" i="79" s="1"/>
  <c r="J22" i="79"/>
  <c r="C64" i="79"/>
  <c r="C61" i="79"/>
  <c r="C59" i="79" s="1"/>
  <c r="C75" i="79"/>
  <c r="Q70" i="79"/>
  <c r="C56" i="79"/>
  <c r="C65" i="79" s="1"/>
  <c r="C37" i="79"/>
  <c r="C30" i="79" s="1"/>
  <c r="C39" i="79" s="1"/>
  <c r="C61" i="80"/>
  <c r="C59" i="80" s="1"/>
  <c r="J16" i="80"/>
  <c r="J25" i="80" s="1"/>
  <c r="C75" i="80"/>
  <c r="C56" i="80"/>
  <c r="C65" i="80" s="1"/>
  <c r="C37" i="80"/>
  <c r="C30" i="80" s="1"/>
  <c r="C39" i="80" s="1"/>
  <c r="Q66" i="80"/>
  <c r="Q57" i="80"/>
  <c r="Q66" i="79"/>
  <c r="Q57" i="79"/>
  <c r="C41" i="68"/>
  <c r="C46" i="68"/>
  <c r="C45" i="68" s="1"/>
  <c r="K63" i="40"/>
  <c r="J65" i="40"/>
  <c r="K70" i="39"/>
  <c r="C56" i="11"/>
  <c r="C57" i="11" s="1"/>
  <c r="L51" i="79"/>
  <c r="L51" i="80"/>
  <c r="C80" i="79" l="1"/>
  <c r="C79" i="79" s="1"/>
  <c r="Q67" i="79"/>
  <c r="Q69" i="79"/>
  <c r="Q68" i="79" s="1"/>
  <c r="C58" i="79"/>
  <c r="C67" i="79" s="1"/>
  <c r="J16" i="79"/>
  <c r="J25" i="79" s="1"/>
  <c r="C58" i="80"/>
  <c r="C67" i="80" s="1"/>
  <c r="Q67" i="80"/>
  <c r="C80" i="80"/>
  <c r="C79" i="80" s="1"/>
  <c r="Q69" i="80"/>
  <c r="Q68" i="80"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9"/>
  <c r="F69" i="79" l="1"/>
  <c r="C68" i="79" s="1"/>
  <c r="C71" i="79" s="1"/>
  <c r="C40" i="79"/>
  <c r="J29" i="79"/>
  <c r="C83" i="79"/>
  <c r="C82" i="79" s="1"/>
  <c r="Q66" i="67"/>
  <c r="Q57" i="67"/>
  <c r="C58" i="67"/>
  <c r="C67" i="67" s="1"/>
  <c r="C19" i="15"/>
  <c r="B2" i="79" l="1"/>
  <c r="B3" i="79" s="1"/>
  <c r="Q65" i="79"/>
  <c r="Q75" i="79" s="1"/>
  <c r="Q56" i="79"/>
  <c r="Q62" i="79" s="1"/>
  <c r="C46" i="79"/>
  <c r="C43" i="79"/>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8" i="1"/>
  <c r="AE6" i="1"/>
  <c r="C66" i="15" l="1"/>
  <c r="C60" i="15"/>
  <c r="C59" i="15" s="1"/>
  <c r="AG6" i="1"/>
  <c r="C80" i="15"/>
  <c r="C79" i="15" s="1"/>
  <c r="C65" i="15"/>
  <c r="Q68" i="15"/>
  <c r="L57" i="15"/>
  <c r="L60" i="15" s="1"/>
  <c r="Q67" i="15"/>
  <c r="M27" i="15"/>
  <c r="F41" i="80"/>
  <c r="M27" i="67"/>
  <c r="F41" i="67"/>
  <c r="F41" i="15"/>
  <c r="F69" i="80" l="1"/>
  <c r="C68" i="80" s="1"/>
  <c r="C71" i="80" s="1"/>
  <c r="C40" i="80"/>
  <c r="C43" i="80" s="1"/>
  <c r="J29" i="80"/>
  <c r="C83" i="80"/>
  <c r="C82" i="80" s="1"/>
  <c r="J26" i="15"/>
  <c r="J29" i="15" s="1"/>
  <c r="J26" i="67"/>
  <c r="J29" i="67" s="1"/>
  <c r="C58" i="15"/>
  <c r="C67" i="15" s="1"/>
  <c r="F69" i="15"/>
  <c r="C40" i="15"/>
  <c r="C43" i="15" s="1"/>
  <c r="L46" i="15"/>
  <c r="Q57" i="15"/>
  <c r="Q66" i="15"/>
  <c r="F69" i="67"/>
  <c r="C68" i="67" s="1"/>
  <c r="C71" i="67" s="1"/>
  <c r="C40" i="67"/>
  <c r="C83" i="67" s="1"/>
  <c r="C82" i="67" s="1"/>
  <c r="B2" i="80" l="1"/>
  <c r="B3" i="80" s="1"/>
  <c r="C46" i="80"/>
  <c r="Q47" i="80"/>
  <c r="Q53" i="80" s="1"/>
  <c r="Q56" i="80"/>
  <c r="Q62" i="80" s="1"/>
  <c r="Q65" i="80"/>
  <c r="Q75"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3" i="67"/>
  <c r="E2" i="68"/>
  <c r="D2" i="34"/>
  <c r="D2" i="35"/>
  <c r="D2" i="21"/>
  <c r="F20" i="31"/>
  <c r="D2" i="37"/>
  <c r="D2" i="36"/>
  <c r="D2" i="33"/>
  <c r="B20" i="31" l="1"/>
  <c r="B2" i="36"/>
  <c r="B3" i="36" s="1"/>
  <c r="B2" i="35"/>
  <c r="B3" i="35" s="1"/>
  <c r="B2" i="37"/>
  <c r="B3" i="37" s="1"/>
  <c r="B2" i="34"/>
  <c r="B3" i="34" s="1"/>
  <c r="B2" i="21"/>
  <c r="B3" i="21" s="1"/>
  <c r="B2" i="70"/>
  <c r="B3" i="70" s="1"/>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C5" i="68" s="1"/>
  <c r="F66" i="39"/>
  <c r="B2" i="39" s="1"/>
  <c r="B3" i="39" s="1"/>
  <c r="D35" i="9"/>
  <c r="C23" i="68" l="1"/>
  <c r="C20" i="68"/>
  <c r="C28" i="68" l="1"/>
  <c r="C27" i="68" s="1"/>
  <c r="C25" i="68"/>
  <c r="C22" i="68" s="1"/>
  <c r="C31" i="68" l="1"/>
  <c r="C52" i="68" s="1"/>
  <c r="C57" i="68" s="1"/>
  <c r="C56" i="68" s="1"/>
  <c r="H112" i="9"/>
  <c r="D21" i="53" s="1"/>
  <c r="B39" i="72" s="1"/>
  <c r="H111" i="9"/>
  <c r="D126" i="9" s="1"/>
  <c r="D59" i="9"/>
  <c r="M55" i="9" s="1"/>
  <c r="D19" i="53" l="1"/>
  <c r="D20" i="53" s="1"/>
  <c r="B40" i="72" s="1"/>
  <c r="B2" i="68"/>
  <c r="B38" i="72"/>
  <c r="I14" i="74"/>
  <c r="B8" i="74" s="1"/>
  <c r="D127" i="9"/>
  <c r="D13" i="52" s="1"/>
  <c r="D12" i="52"/>
  <c r="C19" i="9"/>
  <c r="C21" i="9" l="1"/>
  <c r="G19" i="9"/>
  <c r="C32" i="9" s="1"/>
  <c r="C102" i="9"/>
  <c r="D22" i="9"/>
  <c r="B3" i="68"/>
  <c r="G21" i="9"/>
  <c r="D8" i="74"/>
  <c r="C8" i="74"/>
  <c r="C20" i="9"/>
  <c r="C103" i="9" l="1"/>
  <c r="G20" i="9"/>
  <c r="C35" i="9"/>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E14" i="74"/>
  <c r="F14" i="74"/>
  <c r="B5" i="74"/>
  <c r="M48" i="9"/>
  <c r="H107" i="9"/>
  <c r="D45" i="9"/>
  <c r="D5" i="53"/>
  <c r="D119" i="9"/>
  <c r="D5" i="52" s="1"/>
  <c r="B49" i="72" s="1"/>
  <c r="D4" i="52"/>
  <c r="B47" i="72" s="1"/>
  <c r="D53" i="9" l="1"/>
  <c r="C93" i="9"/>
  <c r="C86" i="9" s="1"/>
  <c r="C78" i="9"/>
  <c r="C73" i="9" s="1"/>
  <c r="C72" i="9"/>
  <c r="C64" i="9"/>
  <c r="C63" i="9" s="1"/>
  <c r="C67" i="9" s="1"/>
  <c r="C68" i="9" s="1"/>
  <c r="D54" i="9" s="1"/>
  <c r="D52" i="9"/>
  <c r="C85" i="9"/>
  <c r="D55" i="9"/>
  <c r="M53" i="9" s="1"/>
  <c r="B20" i="72"/>
  <c r="D6" i="53"/>
  <c r="B22" i="72" s="1"/>
  <c r="M49" i="9"/>
  <c r="D122" i="9"/>
  <c r="H108" i="9"/>
  <c r="D15" i="53" s="1"/>
  <c r="B31" i="72" s="1"/>
  <c r="D13" i="53"/>
  <c r="D5" i="74"/>
  <c r="C5" i="74"/>
  <c r="C95" i="9" l="1"/>
  <c r="C96" i="9" s="1"/>
  <c r="E96" i="9" s="1"/>
  <c r="E97" i="9" s="1"/>
  <c r="C79" i="9"/>
  <c r="C80" i="9" s="1"/>
  <c r="E80" i="9" s="1"/>
  <c r="E81" i="9" s="1"/>
  <c r="D14" i="53"/>
  <c r="B32" i="72" s="1"/>
  <c r="B30" i="72"/>
  <c r="G14" i="74"/>
  <c r="B6" i="74" s="1"/>
  <c r="D8" i="52"/>
  <c r="D123" i="9"/>
  <c r="D9" i="52" s="1"/>
  <c r="L68" i="9"/>
  <c r="M68" i="9" s="1"/>
  <c r="L65" i="9"/>
  <c r="M65" i="9" s="1"/>
  <c r="L67" i="9"/>
  <c r="M67" i="9" s="1"/>
  <c r="L63" i="9"/>
  <c r="M63" i="9" s="1"/>
  <c r="L64" i="9"/>
  <c r="M64" i="9" s="1"/>
  <c r="L66" i="9"/>
  <c r="M66" i="9" s="1"/>
  <c r="C97" i="9" l="1"/>
  <c r="D58" i="9" s="1"/>
  <c r="D56" i="9" s="1"/>
  <c r="M54" i="9" s="1"/>
  <c r="N57" i="9" s="1"/>
  <c r="N58" i="9" s="1"/>
  <c r="C81" i="9"/>
  <c r="M69" i="9"/>
  <c r="N69" i="9" s="1"/>
  <c r="D6" i="74"/>
  <c r="C6" i="74"/>
  <c r="AD3" i="71"/>
  <c r="P21" i="43" s="1"/>
  <c r="P57" i="9" l="1"/>
  <c r="N59" i="9"/>
  <c r="N60" i="9" s="1"/>
  <c r="P22" i="43"/>
  <c r="P23" i="43"/>
  <c r="B71" i="39" s="1"/>
  <c r="P24" i="43"/>
  <c r="B66" i="40" s="1"/>
  <c r="P25" i="43"/>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<sst xmlns="http://schemas.openxmlformats.org/spreadsheetml/2006/main" count="8338" uniqueCount="3233">
  <si>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</si>
  <si>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</si>
  <si>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</si>
  <si>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</si>
  <si>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</si>
  <si>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</si>
  <si>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</si>
  <si>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</si>
  <si>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</si>
  <si>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</si>
  <si>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</si>
  <si>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</si>
  <si>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</si>
  <si>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</si>
  <si>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</si>
  <si>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</si>
  <si>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</si>
  <si>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</si>
  <si>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</si>
  <si>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</si>
  <si>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</si>
  <si>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</si>
  <si>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</si>
  <si>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</si>
  <si>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</si>
  <si>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</si>
  <si>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</si>
  <si>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</si>
  <si>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</si>
  <si>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</si>
  <si>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</si>
  <si>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</si>
  <si>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</si>
  <si>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</si>
  <si>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</si>
  <si>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</si>
  <si>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</si>
  <si>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</si>
  <si>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</si>
  <si>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</si>
  <si>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</si>
  <si>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</si>
  <si>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</si>
  <si>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</si>
  <si>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</si>
  <si>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</si>
  <si>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</si>
  <si>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</si>
  <si>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</si>
  <si>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</si>
  <si>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</si>
  <si>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</si>
  <si>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</si>
  <si>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</si>
  <si>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</si>
  <si>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</si>
  <si>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</si>
  <si>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</si>
  <si>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</si>
  <si>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</si>
  <si>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</si>
  <si>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</si>
  <si>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</si>
  <si>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</si>
  <si>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</si>
  <si>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</si>
  <si>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</si>
  <si>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</si>
  <si>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</si>
  <si>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</si>
  <si>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</si>
  <si>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</si>
  <si>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</si>
  <si>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</si>
  <si>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</si>
  <si>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</si>
  <si>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</si>
  <si>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</si>
  <si>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</si>
  <si>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</si>
  <si>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</si>
  <si>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</si>
  <si>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</si>
  <si>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</si>
  <si>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</si>
  <si>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</si>
  <si>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</si>
  <si>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</si>
  <si>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</si>
  <si>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</si>
  <si>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</si>
  <si>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</si>
  <si>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</si>
  <si>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</si>
  <si>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</si>
  <si>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</si>
  <si>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</si>
  <si>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</si>
  <si>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</si>
  <si>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</si>
  <si>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</si>
  <si>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</si>
  <si>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</si>
  <si>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</si>
  <si>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</si>
  <si>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</si>
  <si>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</si>
  <si>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</si>
  <si>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</si>
  <si>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</si>
  <si>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</si>
  <si>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</si>
  <si>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</si>
  <si>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</si>
  <si>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</si>
  <si>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</si>
  <si>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</si>
  <si>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</si>
  <si>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</si>
  <si>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</si>
  <si>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</si>
  <si>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</si>
  <si>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</si>
  <si>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</si>
  <si>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</si>
  <si>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</si>
  <si>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</si>
  <si>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</si>
  <si>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</si>
  <si>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</si>
  <si>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</si>
  <si>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</si>
  <si>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</si>
  <si>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</si>
  <si>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</si>
  <si>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</si>
  <si>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</si>
  <si>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</si>
  <si>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</si>
  <si>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</si>
  <si>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</si>
  <si>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</si>
  <si>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</si>
  <si>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</si>
  <si>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</si>
  <si>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</si>
  <si>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</si>
  <si>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</si>
  <si>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</si>
  <si>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</si>
  <si>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</si>
  <si>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</si>
  <si>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</si>
  <si>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</si>
  <si>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</si>
  <si>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</si>
  <si>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</si>
  <si>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</si>
  <si>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</si>
  <si>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</si>
  <si>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</si>
  <si>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</si>
  <si>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</si>
  <si>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</si>
  <si>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</si>
  <si>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</si>
  <si>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</si>
  <si>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</si>
  <si>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</si>
  <si>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</si>
  <si>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</si>
  <si>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</si>
  <si>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</si>
  <si>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</si>
  <si>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</si>
  <si>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</si>
  <si>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</si>
  <si>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</si>
  <si>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</si>
  <si>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</si>
  <si>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</si>
  <si>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</si>
  <si>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</si>
  <si>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</si>
  <si>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</si>
  <si>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</si>
  <si>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</si>
  <si>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</si>
  <si>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</si>
  <si>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</si>
  <si>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</si>
  <si>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</si>
  <si>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</si>
  <si>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</si>
  <si>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</si>
  <si>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</si>
  <si>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</si>
  <si>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</si>
  <si>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</si>
  <si>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</si>
  <si>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</si>
  <si>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</si>
  <si>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</si>
  <si>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</si>
  <si>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</si>
  <si>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</si>
  <si>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</si>
  <si>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</si>
  <si>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</si>
  <si>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</si>
  <si>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</si>
  <si>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</si>
  <si>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</si>
  <si>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</si>
  <si>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</si>
  <si>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</si>
  <si>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</si>
  <si>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</si>
  <si>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</si>
  <si>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</si>
  <si>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</si>
  <si>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</si>
  <si>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</si>
  <si>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</si>
  <si>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</si>
  <si>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</si>
  <si>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</si>
  <si>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</si>
  <si>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</si>
  <si>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</si>
  <si>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</si>
  <si>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</si>
  <si>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</si>
  <si>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</si>
  <si>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</si>
  <si>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</si>
  <si>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</si>
  <si>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</si>
  <si>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</si>
  <si>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</si>
  <si>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</si>
  <si>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</si>
  <si>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</si>
  <si>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</si>
  <si>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</si>
  <si>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</si>
  <si>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</si>
  <si>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</si>
  <si>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</si>
  <si>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</si>
  <si>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</si>
  <si>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</si>
  <si>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</si>
  <si>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</si>
  <si>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</si>
  <si>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</si>
  <si>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</si>
  <si>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</si>
  <si>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</si>
  <si>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</si>
  <si>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</si>
  <si>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</si>
  <si>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</si>
  <si>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</si>
  <si>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</si>
  <si>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</si>
  <si>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</si>
  <si>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</si>
  <si>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</si>
  <si>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</si>
  <si>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</si>
  <si>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</si>
  <si>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</si>
  <si>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</si>
  <si>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</si>
  <si>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</si>
  <si>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</si>
  <si>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</si>
  <si>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</si>
  <si>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</si>
  <si>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</si>
  <si>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</si>
  <si>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</si>
  <si>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</si>
  <si>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</si>
  <si>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</si>
  <si>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</si>
  <si>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</si>
  <si>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</si>
  <si>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</si>
  <si>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</si>
  <si>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</si>
  <si>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</si>
  <si>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</si>
  <si>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</si>
  <si>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</si>
  <si>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</si>
  <si>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</si>
  <si>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</si>
  <si>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</si>
  <si>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</si>
  <si>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</si>
  <si>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</si>
  <si>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</si>
  <si>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</si>
  <si>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</si>
  <si>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</si>
  <si>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</si>
  <si>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</si>
  <si>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</si>
  <si>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</si>
  <si>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</si>
  <si>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</si>
  <si>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</si>
  <si>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</si>
  <si>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</si>
  <si>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</si>
  <si>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</si>
  <si>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</si>
  <si>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</si>
  <si>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</si>
  <si>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</si>
  <si>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</si>
  <si>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</si>
  <si>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</si>
  <si>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</si>
  <si>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</si>
  <si>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</si>
  <si>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</si>
  <si>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</si>
  <si>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</si>
  <si>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</si>
  <si>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</si>
  <si>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</si>
  <si>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</si>
  <si>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</si>
  <si>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</si>
  <si>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</si>
  <si>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</si>
  <si>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</si>
  <si>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</si>
  <si>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</si>
  <si>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</si>
  <si>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</si>
  <si>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</si>
  <si>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</si>
  <si>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</si>
  <si>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</si>
  <si>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</si>
  <si>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</si>
  <si>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</si>
  <si>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</si>
  <si>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</si>
  <si>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</si>
  <si>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</si>
  <si>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</si>
  <si>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</si>
  <si>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</si>
  <si>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</si>
  <si>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</si>
  <si>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</si>
  <si>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</si>
  <si>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</si>
  <si>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</si>
  <si>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</si>
  <si>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</si>
  <si>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</si>
  <si>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</si>
  <si>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</si>
  <si>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</si>
  <si>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</si>
  <si>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</si>
  <si>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</si>
  <si>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</si>
  <si>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</si>
  <si>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</si>
  <si>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</si>
  <si>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</si>
  <si>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</si>
  <si>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</si>
  <si>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</si>
  <si>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</si>
  <si>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</si>
  <si>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</si>
  <si>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</si>
  <si>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</si>
  <si>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</si>
  <si>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</si>
  <si>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</si>
  <si>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</si>
  <si>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</si>
  <si>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</si>
  <si>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</si>
  <si>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</si>
  <si>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</si>
  <si>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</si>
  <si>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</si>
  <si>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</si>
  <si>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</si>
  <si>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</si>
  <si>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</si>
  <si>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</si>
  <si>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</si>
  <si>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</si>
  <si>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</si>
  <si>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</si>
  <si>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</si>
  <si>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</si>
  <si>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</si>
  <si>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</si>
  <si>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</si>
  <si>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</si>
  <si>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</si>
  <si>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</si>
  <si>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</si>
  <si>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</si>
  <si>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</si>
  <si>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</si>
  <si>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</si>
  <si>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</si>
  <si>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</si>
  <si>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</si>
  <si>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</si>
  <si>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</si>
  <si>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</si>
  <si>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</si>
  <si>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</si>
  <si>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</si>
  <si>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</si>
  <si>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</si>
  <si>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</si>
  <si>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</si>
  <si>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</si>
  <si>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</si>
  <si>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</si>
  <si>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</si>
  <si>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</si>
  <si>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</si>
  <si>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</si>
  <si>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</si>
  <si>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</si>
  <si>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</si>
  <si>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</si>
  <si>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</si>
  <si>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</si>
  <si>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</si>
  <si>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</si>
  <si>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</si>
  <si>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</si>
  <si>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</si>
  <si>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</si>
  <si>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</si>
  <si>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</si>
  <si>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</si>
  <si>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</si>
  <si>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</si>
  <si>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</si>
  <si>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</si>
  <si>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</si>
  <si>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</si>
  <si>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</si>
  <si>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</si>
  <si>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</si>
  <si>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</si>
  <si>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</si>
  <si>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</si>
  <si>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</si>
  <si>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</si>
  <si>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</si>
  <si>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</si>
  <si>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</si>
  <si>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</si>
  <si>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</si>
  <si>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</si>
  <si>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</si>
  <si>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</si>
  <si>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</si>
  <si>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</si>
  <si>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</si>
  <si>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</si>
  <si>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</si>
  <si>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</si>
  <si>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</si>
  <si>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</si>
  <si>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</si>
  <si>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</si>
  <si>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</si>
  <si>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</si>
  <si>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</si>
  <si>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</si>
  <si>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</si>
  <si>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</si>
  <si>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</si>
  <si>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</si>
  <si>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</si>
  <si>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</si>
  <si>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</si>
  <si>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</si>
  <si>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</si>
  <si>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</si>
  <si>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</si>
  <si>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</si>
  <si>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</si>
  <si>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</si>
  <si>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</si>
  <si>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</si>
  <si>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</si>
  <si>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</si>
  <si>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</si>
  <si>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</si>
  <si>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</si>
  <si>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</si>
  <si>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</si>
  <si>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</si>
  <si>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</si>
  <si>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</si>
  <si>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</si>
  <si>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</si>
  <si>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</si>
  <si>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</si>
  <si>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</si>
  <si>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</si>
  <si>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</si>
  <si>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</si>
  <si>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</si>
  <si>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</si>
  <si>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</si>
  <si>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</si>
  <si>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</si>
  <si>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</si>
  <si>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</si>
  <si>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</si>
  <si>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</si>
  <si>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</si>
  <si>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</si>
  <si>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</si>
  <si>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</si>
  <si>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</si>
  <si>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</si>
  <si>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</si>
  <si>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</si>
  <si>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</si>
  <si>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</si>
  <si>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</si>
  <si>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</si>
  <si>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</si>
  <si>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</si>
  <si>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</si>
  <si>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</si>
  <si>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</si>
  <si>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</si>
  <si>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</si>
  <si>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</si>
  <si>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</si>
  <si>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</si>
  <si>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</si>
  <si>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</si>
  <si>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</si>
  <si>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</si>
  <si>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</si>
  <si>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</si>
  <si>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</si>
  <si>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</si>
  <si>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</si>
  <si>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</si>
  <si>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</si>
  <si>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</si>
  <si>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</si>
  <si>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</si>
  <si>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</si>
  <si>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</si>
  <si>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</si>
  <si>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</si>
  <si>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</si>
  <si>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</si>
  <si>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</si>
  <si>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</si>
  <si>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</si>
  <si>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</si>
  <si>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</si>
  <si>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</si>
  <si>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</si>
  <si>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</si>
  <si>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</si>
  <si>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</si>
  <si>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</si>
  <si>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</si>
  <si>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</si>
  <si>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</si>
  <si>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</si>
  <si>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</si>
  <si>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</si>
  <si>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</si>
  <si>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</si>
  <si>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</si>
  <si>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</si>
  <si>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</si>
  <si>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</si>
  <si>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</si>
  <si>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</si>
  <si>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</si>
  <si>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</si>
  <si>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</si>
  <si>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</si>
  <si>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</si>
  <si>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</si>
  <si>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</si>
  <si>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</si>
  <si>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</si>
  <si>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</si>
  <si>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</si>
  <si>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</si>
  <si>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</si>
  <si>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</si>
  <si>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</si>
  <si>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</si>
  <si>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</si>
  <si>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</si>
  <si>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</si>
  <si>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</si>
  <si>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</si>
  <si>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</si>
  <si>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</si>
  <si>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</si>
  <si>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</si>
  <si>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</si>
  <si>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</si>
  <si>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</si>
  <si>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</si>
  <si>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</si>
  <si>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</si>
  <si>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</si>
  <si>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</si>
  <si>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</si>
  <si>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</si>
  <si>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</si>
  <si>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</si>
  <si>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</si>
  <si>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</si>
  <si>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</si>
  <si>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</si>
  <si>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</si>
  <si>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</si>
  <si>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</si>
  <si>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</si>
  <si>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</si>
  <si>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</si>
  <si>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</si>
  <si>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</si>
  <si>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</si>
  <si>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</si>
  <si>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</si>
  <si>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</si>
  <si>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</si>
  <si>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</si>
  <si>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</si>
  <si>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</si>
  <si>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</si>
  <si>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</si>
  <si>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</si>
  <si>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</si>
  <si>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</si>
  <si>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</si>
  <si>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</si>
  <si>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</si>
  <si>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</si>
  <si>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</si>
  <si>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</si>
  <si>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</si>
  <si>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</si>
  <si>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</si>
  <si>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</si>
  <si>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</si>
  <si>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</si>
  <si>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</si>
  <si>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</si>
  <si>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</si>
  <si>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</si>
  <si>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</si>
  <si>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</si>
  <si>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</si>
  <si>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</si>
  <si>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</si>
  <si>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</si>
  <si>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</si>
  <si>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</si>
  <si>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</si>
  <si>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</si>
  <si>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</si>
  <si>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</si>
  <si>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</si>
  <si>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</si>
  <si>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</si>
  <si>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</si>
  <si>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</si>
  <si>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</si>
  <si>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</si>
  <si>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</si>
  <si>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</si>
  <si>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</si>
  <si>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</si>
  <si>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</si>
  <si>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</si>
  <si>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</si>
  <si>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</si>
  <si>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</si>
  <si>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</si>
  <si>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</si>
  <si>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</si>
  <si>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</si>
  <si>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</si>
  <si>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</si>
  <si>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</si>
  <si>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</si>
  <si>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</si>
  <si>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</si>
  <si>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</si>
  <si>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</si>
  <si>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</si>
  <si>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</si>
  <si>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</si>
  <si>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</si>
  <si>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</si>
  <si>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</si>
  <si>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</si>
  <si>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</si>
  <si>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</si>
  <si>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</si>
  <si>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</si>
  <si>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</si>
  <si>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</si>
  <si>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</si>
  <si>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</si>
  <si>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</si>
  <si>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</si>
  <si>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</si>
  <si>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</si>
  <si>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</si>
  <si>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</si>
  <si>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</si>
  <si>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</si>
  <si>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</si>
  <si>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</si>
  <si>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</si>
  <si>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</si>
  <si>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</si>
  <si>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</si>
  <si>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</si>
  <si>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</si>
  <si>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</si>
  <si>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</si>
  <si>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</si>
  <si>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</si>
  <si>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</si>
  <si>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</si>
  <si>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</si>
  <si>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</si>
  <si>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</si>
  <si>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</si>
  <si>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</si>
  <si>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</si>
  <si>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</si>
  <si>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</si>
  <si>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</si>
  <si>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</si>
  <si>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</si>
  <si>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</si>
  <si>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</si>
  <si>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</si>
  <si>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</si>
  <si>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</si>
  <si>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</si>
  <si>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</si>
  <si>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</si>
  <si>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</si>
  <si>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</si>
  <si>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</si>
  <si>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</si>
  <si>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</si>
  <si>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</si>
  <si>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</si>
  <si>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</si>
  <si>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</si>
  <si>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</si>
  <si>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</si>
  <si>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</si>
  <si>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</si>
  <si>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</si>
  <si>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</si>
  <si>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</si>
  <si>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</si>
  <si>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</si>
  <si>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</si>
  <si>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</si>
  <si>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</si>
  <si>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</si>
  <si>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</si>
  <si>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</si>
  <si>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</si>
  <si>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</si>
  <si>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</si>
  <si>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</si>
  <si>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</si>
  <si>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</si>
  <si>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</si>
  <si>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</si>
  <si>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</si>
  <si>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</si>
  <si>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</si>
  <si>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</si>
  <si>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</si>
  <si>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</si>
  <si>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</si>
  <si>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</si>
  <si>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</si>
  <si>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</si>
  <si>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</si>
  <si>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</si>
  <si>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</si>
  <si>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</si>
  <si>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</si>
  <si>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</si>
  <si>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</si>
  <si>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</si>
  <si>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</si>
  <si>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</si>
  <si>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</si>
  <si>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</si>
  <si>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</si>
  <si>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</si>
  <si>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</si>
  <si>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</si>
  <si>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</si>
  <si>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</si>
  <si>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</si>
  <si>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</si>
  <si>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</si>
  <si>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</si>
  <si>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</si>
  <si>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</si>
  <si>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</si>
  <si>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</si>
  <si>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</si>
  <si>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</si>
  <si>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</si>
  <si>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</si>
  <si>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</si>
  <si>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</si>
  <si>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</si>
  <si>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</si>
  <si>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</si>
  <si>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</si>
  <si>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</si>
  <si>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</si>
  <si>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</si>
  <si>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</si>
  <si>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</si>
  <si>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</si>
  <si>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</si>
  <si>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</si>
  <si>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</si>
  <si>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</si>
  <si>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</si>
  <si>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</si>
  <si>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</si>
  <si>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</si>
  <si>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</si>
  <si>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</si>
  <si>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</si>
  <si>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</si>
  <si>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</si>
  <si>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</si>
  <si>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</si>
  <si>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</si>
  <si>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</si>
  <si>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</si>
  <si>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</si>
  <si>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</si>
  <si>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</si>
  <si>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</si>
  <si>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</si>
  <si>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</si>
  <si>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</si>
  <si>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</si>
  <si>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</si>
  <si>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</si>
  <si>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</si>
  <si>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</si>
  <si>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</si>
  <si>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</si>
  <si>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</si>
  <si>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</si>
  <si>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</si>
  <si>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</si>
  <si>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</si>
  <si>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</si>
  <si>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</si>
  <si>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</si>
  <si>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</si>
  <si>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</si>
  <si>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</si>
  <si>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</si>
  <si>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</si>
  <si>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</si>
  <si>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</si>
  <si>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</si>
  <si>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</si>
  <si>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</si>
  <si>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</si>
  <si>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</si>
  <si>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</si>
  <si>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</si>
  <si>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</si>
  <si>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</si>
  <si>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</si>
  <si>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</si>
  <si>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</si>
  <si>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</si>
  <si>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</si>
  <si>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</si>
  <si>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</si>
  <si>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</si>
  <si>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</si>
  <si>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</si>
  <si>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</si>
  <si>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</si>
  <si>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</si>
  <si>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</si>
  <si>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</si>
  <si>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</si>
  <si>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</si>
  <si>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</si>
  <si>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</si>
  <si>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</si>
  <si>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</si>
  <si>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</si>
  <si>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</si>
  <si>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</si>
  <si>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</si>
  <si>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</si>
  <si>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</si>
  <si>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</si>
  <si>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</si>
  <si>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</si>
  <si>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</si>
  <si>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</si>
  <si>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</si>
  <si>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</si>
  <si>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</si>
  <si>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</si>
  <si>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</si>
  <si>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</si>
  <si>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</si>
  <si>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</si>
  <si>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</si>
  <si>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</si>
  <si>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</si>
  <si>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</si>
  <si>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</si>
  <si>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</si>
  <si>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</si>
  <si>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</si>
  <si>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</si>
  <si>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</si>
  <si>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</si>
  <si>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</si>
  <si>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</si>
  <si>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</si>
  <si>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</si>
  <si>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</si>
  <si>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</si>
  <si>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</si>
  <si>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</si>
  <si>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</si>
  <si>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</si>
  <si>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</si>
  <si>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</si>
  <si>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</si>
  <si>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</si>
  <si>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</si>
  <si>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</si>
  <si>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</si>
  <si>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</si>
  <si>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</si>
  <si>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</si>
  <si>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</si>
  <si>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</si>
  <si>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</si>
  <si>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</si>
  <si>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</si>
  <si>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</si>
  <si>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</si>
  <si>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</si>
  <si>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</si>
  <si>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</si>
  <si>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</si>
  <si>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</si>
  <si>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</si>
  <si>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</si>
  <si>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</si>
  <si>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</si>
  <si>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</si>
  <si>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</si>
  <si>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</si>
  <si>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</si>
  <si>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</si>
  <si>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</si>
  <si>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</si>
  <si>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</si>
  <si>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</si>
  <si>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</si>
  <si>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</si>
  <si>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</si>
  <si>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</si>
  <si>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</si>
  <si>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</si>
  <si>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</si>
  <si>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</si>
  <si>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</si>
  <si>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</si>
  <si>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</si>
  <si>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</si>
  <si>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</si>
  <si>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</si>
  <si>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</si>
  <si>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</si>
  <si>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</si>
  <si>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</si>
  <si>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</si>
  <si>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</si>
  <si>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</si>
  <si>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</si>
  <si>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</si>
  <si>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</si>
  <si>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</si>
  <si>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</si>
  <si>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</si>
  <si>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</si>
  <si>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</si>
  <si>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</si>
  <si>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</si>
  <si>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</si>
  <si>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</si>
  <si>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</si>
  <si>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</si>
  <si>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</si>
  <si>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</si>
  <si>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</si>
  <si>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</si>
  <si>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</si>
  <si>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</si>
  <si>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</si>
  <si>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</si>
  <si>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</si>
  <si>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</si>
  <si>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</si>
  <si>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</si>
  <si>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</si>
  <si>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</si>
  <si>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</si>
  <si>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</si>
  <si>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</si>
  <si>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</si>
  <si>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</si>
  <si>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</si>
  <si>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</si>
  <si>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</si>
  <si>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</si>
  <si>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</si>
  <si>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</si>
  <si>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</si>
  <si>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</si>
  <si>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</si>
  <si>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</si>
  <si>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</si>
  <si>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</si>
  <si>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</si>
  <si>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</si>
  <si>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</si>
  <si>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</si>
  <si>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</si>
  <si>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</si>
  <si>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</si>
  <si>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</si>
  <si>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</si>
  <si>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</si>
  <si>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</si>
  <si>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</si>
  <si>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</si>
  <si>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</si>
  <si>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</si>
  <si>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</si>
  <si>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</si>
  <si>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</si>
  <si>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</si>
  <si>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</si>
  <si>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</si>
  <si>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</si>
  <si>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</si>
  <si>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</si>
  <si>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</si>
  <si>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</si>
  <si>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</si>
  <si>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</si>
  <si>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</si>
  <si>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</si>
  <si>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</si>
  <si>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</si>
  <si>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</si>
  <si>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</si>
  <si>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</si>
  <si>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</si>
  <si>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</si>
  <si>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</si>
  <si>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</si>
  <si>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</si>
  <si>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</si>
  <si>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</si>
  <si>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</si>
  <si>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</si>
  <si>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</si>
  <si>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</si>
  <si>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</si>
  <si>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</si>
  <si>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</si>
  <si>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</si>
  <si>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</si>
  <si>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</si>
  <si>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</si>
  <si>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</si>
  <si>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</si>
  <si>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</si>
  <si>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</si>
  <si>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</si>
  <si>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</si>
  <si>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</si>
  <si>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</si>
  <si>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</si>
  <si>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</si>
  <si>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</si>
  <si>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</si>
  <si>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</si>
  <si>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</si>
  <si>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</si>
  <si>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</si>
  <si>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</si>
  <si>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</si>
  <si>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</si>
  <si>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</si>
  <si>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</si>
  <si>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</si>
  <si>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</si>
  <si>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</si>
  <si>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</si>
  <si>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</si>
  <si>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</si>
  <si>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</si>
  <si>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</si>
  <si>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</si>
  <si>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</si>
  <si>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</si>
  <si>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</si>
  <si>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</si>
  <si>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</si>
  <si>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</si>
  <si>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</si>
  <si>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</si>
  <si>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</si>
  <si>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</si>
  <si>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</si>
  <si>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</si>
  <si>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</si>
  <si>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</si>
  <si>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</si>
  <si>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</si>
  <si>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</si>
  <si>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</si>
  <si>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</si>
  <si>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</si>
  <si>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</si>
  <si>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</si>
  <si>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</si>
  <si>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</si>
  <si>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</si>
  <si>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</si>
  <si>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</si>
  <si>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</si>
  <si>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</si>
  <si>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</si>
  <si>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</si>
  <si>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</si>
  <si>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</si>
  <si>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</si>
  <si>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</si>
  <si>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</si>
  <si>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</si>
  <si>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</si>
  <si>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</si>
  <si>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</si>
  <si>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</si>
  <si>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</si>
  <si>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</si>
  <si>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</si>
  <si>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</si>
  <si>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</si>
  <si>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</si>
  <si>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</si>
  <si>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</si>
  <si>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</si>
  <si>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</si>
  <si>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</si>
  <si>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</si>
  <si>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</si>
  <si>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</si>
  <si>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</si>
  <si>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</si>
  <si>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</si>
  <si>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</si>
  <si>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</si>
  <si>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</si>
  <si>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</si>
  <si>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</si>
  <si>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</si>
  <si>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</si>
  <si>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</si>
  <si>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</si>
  <si>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</si>
  <si>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</si>
  <si>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</si>
  <si>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</si>
  <si>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</si>
  <si>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</si>
  <si>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</si>
  <si>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</si>
  <si>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</si>
  <si>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</si>
  <si>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</si>
  <si>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</si>
  <si>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</si>
  <si>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</si>
  <si>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</si>
  <si>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</si>
  <si>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</si>
  <si>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</si>
  <si>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</si>
  <si>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</si>
  <si>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</si>
  <si>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</si>
  <si>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</si>
  <si>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</si>
  <si>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</si>
  <si>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</si>
  <si>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</si>
  <si>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</si>
  <si>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</si>
  <si>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</si>
  <si>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</si>
  <si>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</si>
  <si>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</si>
  <si>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</si>
  <si>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</si>
  <si>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</si>
  <si>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</si>
  <si>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</si>
  <si>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</si>
  <si>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</si>
  <si>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</si>
  <si>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</si>
  <si>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</si>
  <si>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</si>
  <si>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</si>
  <si>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</si>
  <si>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</si>
  <si>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</si>
  <si>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</si>
  <si>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</si>
  <si>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</si>
  <si>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</si>
  <si>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</si>
  <si>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</si>
  <si>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</si>
  <si>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</si>
  <si>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</si>
  <si>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</si>
  <si>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</si>
  <si>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</si>
  <si>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</si>
  <si>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</si>
  <si>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</si>
  <si>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</si>
  <si>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</si>
  <si>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</si>
  <si>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</si>
  <si>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</si>
  <si>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</si>
  <si>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</si>
  <si>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</si>
  <si>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</si>
  <si>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</si>
  <si>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</si>
  <si>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</si>
  <si>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</si>
  <si>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</si>
  <si>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</si>
  <si>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</si>
  <si>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</si>
  <si>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</si>
  <si>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</si>
  <si>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</si>
  <si>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</si>
  <si>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</si>
  <si>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</si>
  <si>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</si>
  <si>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</si>
  <si>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</si>
  <si>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</si>
  <si>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</si>
  <si>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</si>
  <si>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</si>
  <si>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</si>
  <si>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</si>
  <si>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</si>
  <si>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</si>
  <si>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</si>
  <si>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</si>
  <si>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</si>
  <si>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</si>
  <si>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</si>
  <si>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</si>
  <si>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</si>
  <si>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</si>
  <si>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</si>
  <si>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</si>
  <si>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</si>
  <si>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</si>
  <si>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</si>
  <si>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</si>
  <si>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</si>
  <si>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</si>
  <si>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</si>
  <si>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</si>
  <si>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</si>
  <si>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</si>
  <si>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</si>
  <si>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</si>
  <si>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</si>
  <si>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</si>
  <si>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</si>
  <si>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</si>
  <si>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</si>
  <si>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</si>
  <si>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</si>
  <si>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</si>
  <si>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</si>
  <si>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</si>
  <si>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</si>
  <si>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</si>
  <si>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</si>
  <si>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</si>
  <si>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</si>
  <si>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</si>
  <si>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</si>
  <si>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</si>
  <si>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</si>
  <si>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</si>
  <si>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</si>
  <si>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</si>
  <si>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</si>
  <si>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</si>
  <si>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</si>
  <si>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</si>
  <si>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</si>
  <si>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</si>
  <si>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</si>
  <si>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</si>
  <si>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</si>
  <si>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</si>
  <si>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</si>
  <si>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</si>
  <si>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</si>
  <si>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</si>
  <si>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</si>
  <si>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</si>
  <si>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</si>
  <si>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</si>
  <si>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</si>
  <si>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</si>
  <si>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</si>
  <si>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</si>
  <si>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</si>
  <si>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</si>
  <si>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</si>
  <si>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</si>
  <si>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</si>
  <si>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</si>
  <si>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</si>
  <si>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</si>
  <si>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</si>
  <si>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</si>
  <si>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</si>
  <si>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</si>
  <si>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</si>
  <si>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</si>
  <si>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</si>
  <si>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</si>
  <si>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</si>
  <si>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</si>
  <si>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</si>
  <si>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</si>
  <si>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</si>
  <si>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</si>
  <si>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</si>
  <si>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</si>
  <si>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</si>
  <si>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</si>
  <si>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</si>
  <si>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</si>
  <si>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</si>
  <si>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</si>
  <si>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</si>
  <si>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</si>
  <si>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</si>
  <si>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</si>
  <si>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</si>
  <si>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</si>
  <si>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</si>
  <si>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</si>
  <si>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</si>
  <si>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</si>
  <si>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</si>
  <si>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</si>
  <si>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</si>
  <si>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</si>
  <si>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</si>
  <si>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</si>
  <si>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</si>
  <si>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</si>
  <si>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</si>
  <si>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</si>
  <si>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</si>
  <si>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</si>
  <si>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</si>
  <si>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</si>
  <si>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</si>
  <si>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</si>
  <si>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</si>
  <si>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</si>
  <si>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</si>
  <si>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</si>
  <si>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</si>
  <si>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</si>
  <si>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</si>
  <si>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</si>
  <si>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</si>
  <si>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</si>
  <si>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</si>
  <si>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</si>
  <si>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</si>
  <si>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</si>
  <si>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</si>
  <si>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</si>
  <si>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</si>
  <si>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</si>
  <si>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</si>
  <si>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</si>
  <si>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</si>
  <si>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</si>
  <si>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</si>
  <si>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</si>
  <si>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</si>
  <si>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</si>
  <si>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</si>
  <si>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</si>
  <si>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</si>
  <si>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</si>
  <si>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</si>
  <si>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</si>
  <si>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</si>
  <si>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</si>
  <si>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</si>
  <si>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</si>
  <si>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</si>
  <si>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</si>
  <si>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</si>
  <si>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</si>
  <si>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</si>
  <si>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</si>
  <si>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</si>
  <si>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</si>
  <si>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</si>
  <si>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</si>
  <si>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</si>
  <si>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</si>
  <si>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</si>
  <si>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</si>
  <si>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</si>
  <si>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</si>
  <si>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</si>
  <si>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</si>
  <si>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</si>
  <si>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</si>
  <si>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</si>
  <si>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</si>
  <si>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</si>
  <si>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</si>
  <si>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</si>
  <si>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</si>
  <si>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</si>
  <si>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</si>
  <si>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</si>
  <si>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</si>
  <si>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</si>
  <si>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</si>
  <si>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</si>
  <si>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</si>
  <si>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</si>
  <si>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</si>
  <si>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</si>
  <si>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</si>
  <si>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</si>
  <si>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</si>
  <si>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</si>
  <si>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</si>
  <si>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</si>
  <si>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</si>
  <si>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</si>
  <si>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</si>
  <si>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</si>
  <si>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</si>
  <si>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</si>
  <si>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</si>
  <si>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</si>
  <si>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</si>
  <si>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</si>
  <si>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</si>
  <si>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</si>
  <si>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</si>
  <si>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</si>
  <si>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</si>
  <si>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</si>
  <si>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</si>
  <si>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</si>
  <si>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</si>
  <si>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</si>
  <si>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</si>
  <si>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</si>
  <si>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</si>
  <si>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</si>
  <si>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</si>
  <si>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</si>
  <si>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</si>
  <si>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</si>
  <si>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</si>
  <si>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</si>
  <si>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</si>
  <si>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</si>
  <si>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</si>
  <si>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</si>
  <si>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</si>
  <si>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</si>
  <si>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</si>
  <si>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</si>
  <si>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</si>
  <si>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</si>
  <si>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</si>
  <si>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</si>
  <si>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</si>
  <si>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</si>
  <si>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</si>
  <si>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</si>
  <si>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</si>
  <si>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</si>
  <si>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</si>
  <si>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</si>
  <si>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</si>
  <si>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</si>
  <si>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</si>
  <si>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</si>
  <si>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</si>
  <si>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</si>
  <si>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</si>
  <si>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</si>
  <si>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</si>
  <si>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</si>
  <si>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</si>
  <si>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</si>
  <si>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</si>
  <si>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</si>
  <si>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</si>
  <si>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</si>
  <si>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</si>
  <si>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</si>
  <si>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</si>
  <si>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</si>
  <si>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</si>
  <si>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</si>
  <si>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</si>
  <si>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</si>
  <si>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</si>
  <si>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</si>
  <si>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</si>
  <si>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</si>
  <si>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</si>
  <si>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</si>
  <si>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</si>
  <si>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</si>
  <si>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</si>
  <si>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</si>
  <si>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</si>
  <si>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</si>
  <si>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</si>
  <si>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</si>
  <si>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</si>
  <si>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</si>
  <si>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</si>
  <si>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</si>
  <si>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</si>
  <si>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</si>
  <si>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</si>
  <si>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</si>
  <si>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</si>
  <si>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</si>
  <si>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</si>
  <si>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</si>
  <si>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</si>
  <si>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</si>
  <si>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</si>
  <si>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</si>
  <si>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</si>
  <si>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</si>
  <si>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</si>
  <si>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</si>
  <si>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</si>
  <si>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</si>
  <si>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</si>
  <si>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</si>
  <si>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</si>
  <si>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</si>
  <si>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</si>
  <si>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</si>
  <si>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</si>
  <si>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</si>
  <si>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</si>
  <si>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</si>
  <si>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</si>
  <si>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</si>
  <si>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</si>
  <si>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</si>
  <si>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</si>
  <si>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</si>
  <si>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</si>
  <si>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</si>
  <si>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</si>
  <si>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</si>
  <si>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</si>
  <si>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</si>
  <si>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</si>
  <si>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</si>
  <si>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</si>
  <si>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</si>
  <si>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</si>
  <si>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</si>
  <si>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</si>
  <si>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</si>
  <si>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</si>
  <si>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</si>
  <si>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</si>
  <si>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</si>
  <si>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</si>
  <si>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</si>
  <si>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</si>
  <si>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</si>
  <si>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</si>
  <si>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</si>
  <si>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</si>
  <si>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</si>
  <si>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</si>
  <si>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</si>
  <si>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</si>
  <si>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</si>
  <si>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</si>
  <si>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</si>
  <si>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</si>
  <si>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</si>
  <si>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</si>
  <si>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</si>
  <si>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</si>
  <si>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</si>
  <si>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</si>
  <si>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</si>
  <si>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</si>
  <si>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</si>
  <si>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</si>
  <si>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</si>
  <si>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</si>
  <si>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</si>
  <si>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</si>
  <si>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</si>
  <si>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</si>
  <si>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</si>
  <si>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</si>
  <si>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</si>
  <si>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</si>
  <si>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</si>
  <si>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</si>
  <si>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</si>
  <si>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</si>
  <si>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</si>
  <si>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</si>
  <si>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</si>
  <si>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</si>
  <si>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</si>
  <si>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</si>
  <si>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</si>
  <si>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</si>
  <si>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</si>
  <si>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</si>
  <si>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</si>
  <si>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</si>
  <si>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</si>
  <si>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</si>
  <si>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</si>
  <si>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</si>
  <si>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</si>
  <si>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</si>
  <si>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</si>
  <si>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</si>
  <si>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</si>
  <si>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</si>
  <si>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</si>
  <si>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</si>
  <si>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</si>
  <si>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</si>
  <si>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</si>
  <si>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</si>
  <si>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</si>
  <si>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</si>
  <si>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</si>
  <si>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</si>
  <si>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</si>
  <si>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</si>
  <si>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</si>
  <si>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</si>
  <si>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</si>
  <si>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</si>
  <si>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</si>
  <si>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</si>
  <si>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</si>
  <si>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</si>
  <si>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</si>
  <si>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</si>
  <si>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</si>
  <si>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</si>
  <si>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</si>
  <si>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</si>
  <si>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</si>
  <si>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</si>
  <si>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</si>
  <si>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</si>
  <si>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</si>
  <si>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</si>
  <si>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</si>
  <si>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</si>
  <si>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</si>
  <si>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</si>
  <si>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</si>
  <si>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</si>
  <si>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</si>
  <si>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</si>
  <si>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</si>
  <si>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</si>
  <si>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</si>
  <si>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</si>
  <si>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</si>
  <si>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</si>
  <si>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</si>
  <si>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</si>
  <si>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</si>
  <si>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</si>
  <si>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</si>
  <si>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</si>
  <si>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</si>
  <si>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</si>
  <si>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</si>
  <si>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</si>
  <si>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</si>
  <si>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</si>
  <si>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</si>
  <si>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</si>
  <si>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</si>
  <si>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</si>
  <si>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</si>
  <si>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</si>
  <si>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</si>
  <si>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</si>
  <si>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</si>
  <si>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</si>
  <si>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</si>
  <si>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</si>
  <si>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</si>
  <si>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</si>
  <si>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</si>
  <si>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</si>
  <si>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</si>
  <si>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</si>
  <si>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</si>
  <si>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</si>
  <si>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</si>
  <si>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</si>
  <si>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</si>
  <si>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</si>
  <si>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</si>
  <si>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</si>
  <si>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</si>
  <si>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</si>
  <si>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</si>
  <si>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</si>
  <si>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</si>
  <si>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</si>
  <si>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</si>
  <si>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</si>
  <si>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</si>
  <si>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</si>
  <si>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</si>
  <si>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</si>
  <si>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</si>
  <si>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</si>
  <si>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</si>
  <si>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</si>
  <si>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</si>
  <si>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</si>
  <si>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</si>
  <si>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</si>
  <si>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</si>
  <si>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</si>
  <si>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</si>
  <si>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</si>
  <si>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</si>
  <si>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</si>
  <si>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</si>
  <si>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</si>
  <si>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</si>
  <si>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</si>
  <si>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</si>
  <si>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</si>
  <si>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</si>
  <si>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</si>
  <si>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</si>
  <si>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</si>
  <si>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</si>
  <si>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</si>
  <si>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</si>
  <si>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</si>
  <si>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</si>
  <si>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</si>
  <si>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</si>
  <si>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</si>
  <si>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</si>
  <si>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</si>
  <si>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</si>
  <si>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</si>
  <si>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</si>
  <si>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</si>
  <si>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</si>
  <si>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</si>
  <si>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</si>
  <si>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</si>
  <si>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</si>
  <si>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</si>
  <si>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</si>
  <si>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</si>
  <si>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</si>
  <si>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</si>
  <si>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</si>
  <si>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</si>
  <si>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</si>
  <si>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</si>
  <si>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</si>
  <si>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</si>
  <si>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</si>
  <si>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</si>
  <si>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</si>
  <si>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</si>
  <si>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</si>
  <si>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</si>
  <si>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</si>
  <si>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</si>
  <si>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</si>
  <si>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</si>
  <si>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</si>
  <si>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</si>
  <si>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</si>
  <si>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</si>
  <si>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</si>
  <si>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</si>
  <si>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</si>
  <si>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</si>
  <si>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</si>
  <si>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</si>
  <si>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</si>
  <si>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</si>
  <si>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</si>
  <si>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</si>
  <si>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</si>
  <si>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</si>
  <si>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</si>
  <si>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</si>
  <si>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</si>
  <si>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</si>
  <si>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</si>
  <si>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</si>
  <si>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</si>
  <si>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</si>
  <si>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</si>
  <si>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</si>
  <si>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</si>
  <si>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</si>
  <si>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</si>
  <si>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</si>
  <si>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</si>
  <si>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</si>
  <si>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</si>
  <si>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</si>
  <si>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</si>
  <si>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</si>
  <si>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</si>
  <si>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</si>
  <si>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</si>
  <si>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</si>
  <si>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</si>
  <si>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</si>
  <si>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</si>
  <si>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</si>
  <si>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</si>
  <si>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</si>
  <si>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</si>
  <si>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</si>
  <si>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</si>
  <si>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</si>
  <si>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</si>
  <si>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</si>
  <si>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</si>
  <si>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</si>
  <si>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</si>
  <si>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</si>
  <si>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</si>
  <si>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</si>
  <si>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</si>
  <si>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</si>
  <si>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</si>
  <si>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</si>
  <si>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</si>
  <si>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</si>
  <si>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</si>
  <si>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</si>
  <si>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</si>
  <si>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</si>
  <si>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</si>
  <si>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</si>
  <si>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</si>
  <si>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</si>
  <si>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</si>
  <si>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</si>
  <si>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</si>
  <si>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</si>
  <si>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</si>
  <si>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</si>
  <si>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</si>
  <si>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</si>
  <si>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</si>
  <si>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</si>
  <si>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</si>
  <si>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</si>
  <si>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</si>
  <si>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</si>
  <si>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</si>
  <si>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</si>
  <si>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</si>
  <si>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</si>
  <si>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</si>
  <si>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</si>
  <si>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</si>
  <si>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</si>
  <si>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</si>
  <si>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</si>
  <si>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</si>
  <si>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</si>
  <si>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</si>
  <si>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</si>
  <si>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</si>
  <si>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</si>
  <si>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</si>
  <si>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</si>
  <si>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</si>
  <si>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</si>
  <si>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</si>
  <si>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</si>
  <si>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</si>
  <si>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</si>
  <si>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</si>
  <si>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</si>
  <si>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</si>
  <si>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</si>
  <si>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</si>
  <si>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</si>
  <si>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</si>
  <si>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</si>
  <si>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</si>
  <si>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</si>
  <si>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</si>
  <si>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</si>
  <si>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</si>
  <si>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</si>
  <si>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</si>
  <si>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</si>
  <si>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</si>
  <si>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</si>
  <si>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</si>
  <si>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</si>
  <si>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</si>
  <si>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</si>
  <si>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</si>
  <si>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</si>
  <si>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</si>
  <si>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</si>
  <si>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</si>
  <si>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</si>
  <si>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</si>
  <si>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</si>
  <si>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</si>
  <si>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</si>
  <si>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</si>
  <si>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</si>
  <si>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</si>
  <si>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</si>
  <si>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</si>
  <si>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</si>
  <si>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</si>
  <si>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</si>
  <si>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</si>
  <si>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</si>
  <si>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</si>
  <si>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</si>
  <si>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</si>
  <si>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</si>
  <si>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</si>
  <si>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</si>
  <si>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</si>
  <si>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</si>
  <si>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</si>
  <si>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</si>
  <si>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</si>
  <si>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</si>
  <si>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</si>
  <si>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</si>
  <si>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</si>
  <si>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</si>
  <si>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</si>
  <si>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</si>
  <si>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</si>
  <si>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</si>
  <si>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</si>
  <si>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</si>
  <si>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</si>
  <si>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</si>
  <si>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</si>
  <si>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</si>
  <si>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</si>
  <si>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</si>
  <si>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</si>
  <si>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</si>
  <si>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</si>
  <si>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</si>
  <si>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</si>
  <si>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</si>
  <si>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</si>
  <si>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</si>
  <si>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</si>
  <si>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</si>
  <si>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</si>
  <si>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</si>
  <si>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</si>
  <si>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</si>
  <si>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</si>
  <si>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</si>
  <si>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</si>
  <si>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</si>
  <si>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</si>
  <si>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</si>
  <si>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</si>
  <si>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</si>
  <si>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</si>
  <si>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</si>
  <si>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</si>
  <si>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</si>
  <si>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</si>
  <si>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</si>
  <si>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</si>
  <si>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</si>
  <si>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</si>
  <si>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</si>
  <si>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</si>
  <si>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</si>
  <si>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</si>
  <si>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</si>
  <si>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</si>
  <si>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</si>
  <si>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</si>
  <si>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</si>
  <si>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</si>
  <si>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</si>
  <si>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</si>
  <si>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</si>
  <si>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</si>
  <si>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</si>
  <si>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</si>
  <si>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</si>
  <si>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</si>
  <si>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</si>
  <si>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</si>
  <si>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</si>
  <si>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</si>
  <si>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</si>
  <si>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</si>
  <si>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</si>
  <si>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</si>
  <si>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</si>
  <si>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</si>
  <si>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</si>
  <si>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</si>
  <si>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</si>
  <si>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</si>
  <si>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</si>
  <si>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</si>
  <si>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</si>
  <si>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</si>
  <si>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</si>
  <si>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</si>
  <si>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</si>
  <si>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</si>
  <si>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</si>
  <si>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</si>
  <si>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</si>
  <si>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</si>
  <si>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</si>
  <si>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</si>
  <si>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</si>
  <si>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</si>
  <si>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</si>
  <si>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</si>
  <si>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</si>
  <si>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</si>
  <si>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</si>
  <si>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</si>
  <si>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</si>
  <si>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</si>
  <si>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</si>
  <si>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</si>
  <si>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</si>
  <si>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</si>
  <si>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</si>
  <si>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</si>
  <si>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</si>
  <si>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</si>
  <si>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</si>
  <si>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</si>
  <si>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</si>
  <si>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</si>
  <si>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</si>
  <si>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</si>
  <si>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</si>
  <si>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</si>
  <si>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</si>
  <si>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</si>
  <si>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</si>
  <si>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</si>
  <si>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</si>
  <si>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</si>
  <si>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</si>
  <si>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</si>
  <si>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</si>
  <si>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</si>
  <si>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</si>
  <si>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</si>
  <si>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</si>
  <si>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</si>
  <si>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</si>
  <si>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</si>
  <si>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</si>
  <si>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</si>
  <si>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</si>
  <si>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</si>
  <si>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</si>
  <si>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</si>
  <si>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</si>
  <si>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</si>
  <si>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</si>
  <si>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</si>
  <si>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</si>
  <si>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</si>
  <si>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</si>
  <si>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</si>
  <si>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</si>
  <si>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</si>
  <si>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</si>
  <si>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</si>
  <si>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</si>
  <si>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</si>
  <si>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</si>
  <si>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</si>
  <si>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</si>
  <si>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</si>
  <si>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</si>
  <si>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</si>
  <si>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</si>
  <si>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</si>
  <si>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</si>
  <si>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</si>
  <si>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</si>
  <si>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</si>
  <si>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</si>
  <si>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</si>
  <si>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</si>
  <si>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</si>
  <si>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</si>
  <si>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</si>
  <si>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</si>
  <si>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</si>
  <si>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</si>
  <si>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</si>
  <si>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</si>
  <si>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</si>
  <si>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</si>
  <si>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</si>
  <si>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</si>
  <si>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</si>
  <si>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</si>
  <si>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</si>
  <si>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</si>
  <si>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</si>
  <si>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</si>
  <si>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</si>
  <si>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</si>
  <si>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</si>
  <si>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</si>
  <si>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</si>
  <si>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</si>
  <si>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</si>
  <si>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</si>
  <si>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</si>
  <si>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</si>
  <si>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</si>
  <si>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</si>
  <si>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</si>
  <si>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</si>
  <si>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</si>
  <si>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</si>
  <si>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</si>
  <si>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</si>
  <si>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</si>
  <si>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</si>
  <si>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</si>
  <si>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</si>
  <si>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</si>
  <si>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</si>
  <si>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</si>
  <si>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</si>
  <si>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</si>
  <si>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</si>
  <si>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</si>
  <si>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</si>
  <si>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</si>
  <si>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</si>
  <si>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</si>
  <si>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</si>
  <si>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</si>
  <si>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</si>
  <si>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</si>
  <si>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</si>
  <si>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</si>
  <si>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</si>
  <si>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</si>
  <si>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</si>
  <si>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</si>
  <si>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</si>
  <si>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</si>
  <si>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</si>
  <si>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</si>
  <si>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</si>
  <si>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</si>
  <si>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</si>
  <si>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</si>
  <si>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</si>
  <si>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</si>
  <si>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</si>
  <si>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</si>
  <si>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</si>
  <si>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</si>
  <si>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</si>
  <si>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</si>
  <si>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</si>
  <si>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</si>
  <si>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</si>
  <si>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</si>
  <si>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</si>
  <si>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</si>
  <si>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</si>
  <si>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</si>
  <si>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</si>
  <si>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</si>
  <si>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</si>
  <si>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</si>
  <si>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</si>
  <si>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</si>
  <si>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</si>
  <si>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</si>
  <si>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</si>
  <si>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</si>
  <si>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</si>
  <si>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</si>
  <si>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</si>
  <si>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</si>
  <si>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</si>
  <si>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</si>
  <si>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</si>
  <si>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</si>
  <si>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</si>
  <si>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</si>
  <si>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</si>
  <si>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</si>
  <si>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</si>
  <si>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</si>
  <si>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</si>
  <si>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</si>
  <si>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</si>
  <si>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</si>
  <si>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</si>
  <si>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</si>
  <si>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</si>
  <si>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</si>
  <si>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</si>
  <si>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</si>
  <si>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</si>
  <si>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</si>
  <si>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</si>
  <si>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</si>
  <si>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</si>
  <si>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</si>
  <si>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</si>
  <si>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</si>
  <si>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</si>
  <si>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</si>
  <si>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</si>
  <si>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</si>
  <si>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</si>
  <si>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</si>
  <si>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</si>
  <si>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</si>
  <si>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</si>
  <si>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</si>
  <si>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</si>
  <si>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</si>
  <si>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</si>
  <si>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</si>
  <si>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</si>
  <si>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</si>
  <si>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</si>
  <si>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</si>
  <si>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</si>
  <si>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</si>
  <si>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</si>
  <si>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</si>
  <si>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</si>
  <si>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</si>
  <si>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</si>
  <si>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</si>
  <si>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</si>
  <si>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</si>
  <si>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</si>
  <si>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</si>
  <si>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</si>
  <si>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</si>
  <si>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</si>
  <si>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</si>
  <si>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</si>
  <si>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</si>
  <si>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</si>
  <si>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</si>
  <si>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</si>
  <si>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</si>
  <si>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</si>
  <si>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</si>
  <si>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</si>
  <si>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</si>
  <si>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</si>
  <si>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</si>
  <si>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</si>
  <si>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</si>
  <si>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</si>
  <si>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</si>
  <si>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</si>
  <si>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</si>
  <si>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</si>
  <si>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</si>
  <si>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</si>
  <si>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</si>
  <si>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</si>
  <si>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</si>
  <si>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</si>
  <si>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</si>
  <si>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</si>
  <si>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</si>
  <si>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</si>
  <si>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</si>
  <si>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</si>
  <si>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</si>
  <si>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</si>
  <si>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</si>
  <si>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</si>
  <si>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</si>
  <si>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</si>
  <si>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</si>
  <si>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</si>
  <si>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</si>
  <si>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</si>
  <si>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</si>
  <si>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</si>
  <si>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</si>
  <si>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</si>
  <si>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</si>
  <si>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</si>
  <si>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</si>
  <si>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</si>
  <si>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</si>
  <si>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</si>
  <si>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</si>
  <si>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</si>
  <si>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</si>
  <si>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</si>
  <si>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</si>
  <si>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</si>
  <si>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</si>
  <si>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</si>
  <si>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</si>
  <si>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</si>
  <si>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</si>
  <si>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</si>
  <si>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</si>
  <si>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</si>
  <si>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</si>
  <si>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</si>
  <si>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</si>
  <si>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</si>
  <si>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</si>
  <si>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</si>
  <si>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</si>
  <si>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</si>
  <si>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</si>
  <si>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</si>
  <si>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</si>
  <si>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</si>
  <si>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</si>
  <si>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</si>
  <si>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</si>
  <si>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</si>
  <si>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</si>
  <si>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</si>
  <si>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</si>
  <si>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</si>
  <si>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</si>
  <si>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</si>
  <si>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</si>
  <si>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</si>
  <si>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</si>
  <si>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</si>
  <si>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</si>
  <si>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</si>
  <si>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</si>
  <si>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</si>
  <si>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</si>
  <si>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</si>
  <si>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</si>
  <si>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</si>
  <si>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</si>
  <si>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</si>
  <si>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</si>
  <si>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</si>
  <si>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</si>
  <si>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</si>
  <si>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</si>
  <si>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</si>
  <si>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</si>
  <si>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</si>
  <si>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</si>
  <si>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</si>
  <si>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</si>
  <si>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</si>
  <si>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</si>
  <si>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</si>
  <si>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</si>
  <si>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</si>
  <si>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</si>
  <si>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</si>
  <si>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</si>
  <si>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</si>
  <si>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</si>
  <si>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</si>
  <si>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</si>
  <si>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</si>
  <si>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</si>
  <si>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</si>
  <si>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</si>
  <si>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</si>
  <si>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</si>
  <si>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</si>
  <si>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</si>
  <si>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</si>
  <si>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</si>
  <si>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</si>
  <si>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</si>
  <si>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</si>
  <si>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</si>
  <si>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</si>
  <si>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</si>
  <si>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</si>
  <si>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</si>
  <si>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</si>
  <si>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</si>
  <si>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</si>
  <si>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</si>
  <si>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</si>
  <si>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</si>
  <si>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</si>
  <si>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</si>
  <si>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</si>
  <si>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</si>
  <si>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</si>
  <si>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</si>
  <si>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</si>
  <si>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</si>
  <si>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</si>
  <si>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</si>
  <si>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</si>
  <si>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</si>
  <si>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</si>
  <si>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</si>
  <si>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</si>
  <si>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</si>
  <si>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</si>
  <si>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</si>
  <si>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</si>
  <si>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</si>
  <si>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</si>
  <si>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</si>
  <si>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</si>
  <si>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</si>
  <si>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</si>
  <si>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</si>
  <si>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</si>
  <si>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</si>
  <si>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</si>
  <si>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</si>
  <si>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</si>
  <si>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</si>
  <si>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</si>
  <si>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</si>
  <si>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</si>
  <si>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</si>
  <si>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</si>
  <si>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</si>
  <si>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</si>
  <si>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</si>
  <si>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</si>
  <si>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</si>
  <si>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</si>
  <si>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</si>
  <si>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</si>
  <si>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</si>
  <si>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</si>
  <si>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</si>
  <si>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</si>
  <si>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</si>
  <si>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</si>
  <si>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</si>
  <si>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</si>
  <si>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</si>
  <si>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</si>
  <si>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</si>
  <si>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</si>
  <si>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</si>
  <si>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</si>
  <si>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</si>
  <si>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</si>
  <si>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</si>
  <si>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</si>
  <si>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</si>
  <si>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</si>
  <si>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</si>
  <si>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</si>
  <si>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</si>
  <si>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</si>
  <si>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</si>
  <si>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</si>
  <si>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</si>
  <si>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</si>
  <si>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</si>
  <si>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</si>
  <si>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</si>
  <si>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</si>
  <si>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</si>
  <si>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</si>
  <si>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</si>
  <si>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</si>
  <si>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</si>
  <si>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</si>
  <si>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</si>
  <si>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</si>
  <si>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</si>
  <si>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</si>
  <si>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</si>
  <si>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</si>
  <si>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</si>
  <si>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</si>
  <si>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</si>
  <si>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</si>
  <si>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</si>
  <si>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</si>
  <si>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</si>
  <si>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</si>
  <si>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</si>
  <si>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</si>
  <si>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</si>
  <si>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</si>
  <si>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</si>
  <si>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</si>
  <si>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</si>
  <si>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</si>
  <si>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</si>
  <si>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</si>
  <si>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</si>
  <si>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</si>
  <si>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</si>
  <si>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</si>
  <si>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</si>
  <si>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</si>
  <si>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</si>
  <si>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</si>
  <si>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</si>
  <si>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</si>
  <si>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</si>
  <si>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</si>
  <si>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</si>
  <si>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</si>
  <si>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</si>
  <si>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</si>
  <si>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</si>
  <si>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</si>
  <si>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</si>
  <si>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</si>
  <si>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</si>
  <si>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</si>
  <si>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</si>
  <si>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</si>
  <si>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</si>
  <si>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</si>
  <si>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</si>
  <si>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</si>
  <si>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</si>
  <si>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</si>
  <si>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</si>
  <si>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</si>
  <si>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</si>
  <si>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</si>
  <si>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</si>
  <si>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</si>
  <si>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</si>
  <si>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</si>
  <si>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</si>
  <si>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</si>
  <si>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</si>
  <si>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</si>
  <si>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</si>
  <si>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</si>
  <si>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</si>
  <si>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</si>
  <si>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</si>
  <si>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</si>
  <si>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</si>
  <si>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</si>
  <si>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</si>
  <si>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</si>
  <si>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</si>
  <si>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</si>
  <si>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</si>
  <si>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</si>
  <si>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</si>
  <si>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</si>
  <si>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</si>
  <si>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</si>
  <si>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</si>
  <si>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</si>
  <si>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</si>
  <si>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</si>
  <si>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</si>
  <si>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</si>
  <si>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</si>
  <si>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</si>
  <si>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</si>
  <si>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</si>
  <si>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</si>
  <si>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</si>
  <si>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</si>
  <si>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</si>
  <si>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</si>
  <si>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</si>
  <si>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</si>
  <si>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</si>
  <si>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</si>
  <si>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</si>
  <si>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</si>
  <si>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</si>
  <si>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</si>
  <si>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</si>
  <si>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</si>
  <si>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</si>
  <si>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</si>
  <si>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</si>
  <si>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</si>
  <si>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</si>
  <si>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</si>
  <si>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</si>
  <si>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</si>
  <si>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</si>
  <si>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</si>
  <si>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</si>
  <si>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</si>
  <si>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</si>
  <si>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</si>
  <si>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</si>
  <si>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</si>
  <si>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</si>
  <si>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</si>
  <si>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</si>
  <si>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</si>
  <si>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</si>
  <si>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</si>
  <si>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</si>
  <si>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</si>
  <si>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</si>
  <si>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</si>
  <si>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</si>
  <si>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</si>
  <si>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</si>
  <si>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</si>
  <si>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</si>
  <si>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</si>
  <si>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</si>
  <si>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</si>
  <si>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</si>
  <si>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</si>
  <si>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</si>
  <si>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</si>
  <si>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</si>
  <si>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</si>
  <si>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</si>
  <si>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</si>
  <si>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</si>
  <si>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</si>
  <si>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</si>
  <si>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</si>
  <si>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</si>
  <si>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</si>
  <si>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</si>
  <si>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</si>
  <si>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</si>
  <si>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</si>
  <si>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</si>
  <si>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</si>
  <si>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</si>
  <si>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</si>
  <si>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</si>
  <si>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</si>
  <si>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</si>
  <si>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</si>
  <si>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</si>
  <si>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</si>
  <si>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</si>
  <si>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</si>
  <si>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</si>
  <si>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</si>
  <si>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</si>
  <si>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</si>
  <si>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</si>
  <si>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</si>
  <si>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</si>
  <si>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</si>
  <si>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</si>
  <si>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</si>
  <si>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</si>
  <si>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</si>
  <si>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</si>
  <si>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</si>
  <si>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</si>
  <si>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</si>
  <si>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</si>
  <si>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</si>
  <si>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</si>
  <si>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</si>
  <si>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</si>
  <si>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</si>
  <si>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</si>
  <si>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</si>
  <si>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</si>
  <si>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</si>
  <si>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</si>
  <si>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</si>
  <si>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</si>
  <si>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</si>
  <si>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</si>
  <si>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</si>
  <si>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</si>
  <si>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</si>
  <si>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</si>
  <si>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</si>
  <si>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</si>
  <si>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</si>
  <si>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</si>
  <si>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</si>
  <si>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</si>
  <si>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</si>
  <si>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</si>
  <si>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</si>
  <si>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</si>
  <si>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</si>
  <si>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</si>
  <si>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</si>
  <si>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</si>
  <si>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</si>
  <si>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</si>
  <si>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</si>
  <si>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</si>
  <si>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</si>
  <si>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</si>
  <si>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</si>
  <si>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</si>
  <si>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</si>
  <si>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</si>
  <si>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</si>
  <si>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</si>
  <si>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</si>
  <si>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</si>
  <si>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</si>
  <si>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</si>
  <si>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</si>
  <si>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</si>
  <si>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</si>
  <si>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</si>
  <si>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</si>
  <si>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</si>
  <si>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</si>
  <si>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</si>
  <si>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</si>
  <si>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</si>
  <si>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</si>
  <si>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</si>
  <si>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</si>
  <si>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</si>
  <si>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</si>
  <si>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</si>
  <si>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</si>
  <si>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</si>
  <si>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</si>
  <si>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</si>
  <si>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</si>
  <si>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</si>
  <si>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</si>
  <si>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</si>
  <si>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</si>
  <si>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</si>
  <si>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</si>
  <si>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</si>
  <si>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</si>
  <si>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</si>
  <si>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</si>
  <si>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</si>
  <si>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</si>
  <si>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</si>
  <si>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</si>
  <si>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</si>
  <si>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</si>
  <si>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</si>
  <si>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</si>
  <si>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</si>
  <si>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</si>
  <si>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</si>
  <si>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</si>
  <si>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</si>
  <si>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</si>
  <si>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</si>
  <si>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</si>
  <si>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</si>
  <si>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</si>
  <si>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</si>
  <si>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</si>
  <si>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</si>
  <si>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</si>
  <si>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</si>
  <si>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</si>
  <si>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</si>
  <si>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</si>
  <si>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</si>
  <si>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</si>
  <si>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</si>
  <si>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</si>
  <si>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</si>
  <si>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</si>
  <si>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</si>
  <si>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</si>
  <si>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</si>
  <si>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</si>
  <si>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</si>
  <si>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</si>
  <si>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</si>
  <si>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</si>
  <si>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</si>
  <si>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</si>
  <si>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</si>
  <si>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</si>
  <si>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</si>
  <si>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</si>
  <si>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</si>
  <si>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</si>
  <si>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</si>
  <si>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</si>
  <si>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</si>
  <si>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</si>
  <si>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</si>
  <si>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</si>
  <si>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</si>
  <si>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</si>
  <si>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</si>
  <si>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</si>
  <si>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</si>
  <si>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</si>
  <si>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</si>
  <si>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</si>
  <si>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</si>
  <si>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</si>
  <si>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</si>
  <si>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</si>
  <si>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</si>
  <si>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</si>
  <si>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</si>
  <si>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</si>
  <si>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</si>
  <si>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</si>
  <si>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</si>
  <si>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</si>
  <si>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</si>
  <si>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</si>
  <si>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</si>
  <si>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</si>
  <si>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</si>
  <si>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</si>
  <si>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</si>
  <si>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</si>
  <si>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</si>
  <si>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</si>
  <si>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</si>
  <si>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</si>
  <si>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</si>
  <si>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</si>
  <si>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</si>
  <si>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</si>
  <si>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</si>
  <si>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</si>
  <si>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</si>
  <si>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</si>
  <si>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</si>
  <si>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</si>
  <si>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</si>
  <si>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</si>
  <si>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</si>
  <si>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</si>
  <si>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</si>
  <si>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</si>
  <si>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</si>
  <si>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</si>
  <si>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</si>
  <si>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</si>
  <si>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</si>
  <si>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</si>
  <si>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</si>
  <si>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</si>
  <si>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</si>
  <si>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</si>
  <si>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</si>
  <si>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</si>
  <si>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</si>
  <si>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</si>
  <si>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</si>
  <si>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</si>
  <si>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</si>
  <si>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</si>
  <si>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</si>
  <si>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</si>
  <si>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</si>
  <si>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</si>
  <si>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</si>
  <si>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</si>
  <si>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</si>
  <si>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</si>
  <si>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</si>
  <si>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</si>
  <si>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</si>
  <si>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</si>
  <si>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</si>
  <si>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</si>
  <si>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</si>
  <si>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</si>
  <si>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</si>
  <si>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</si>
  <si>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</si>
  <si>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</si>
  <si>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</si>
  <si>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</si>
  <si>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</si>
  <si>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</si>
  <si>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</si>
  <si>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</si>
  <si>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</si>
  <si>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</si>
  <si>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</si>
  <si>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</si>
  <si>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</si>
  <si>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</si>
  <si>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</si>
  <si>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</si>
  <si>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</si>
  <si>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</si>
  <si>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</si>
  <si>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</si>
  <si>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昆仑信托有限责任公司</t>
    <phoneticPr fontId="6" type="noConversion"/>
  </si>
  <si>
    <t>抵押</t>
  </si>
  <si>
    <t>房地产抵押价值</t>
  </si>
  <si>
    <t>其他：</t>
  </si>
  <si>
    <t>深圳市</t>
    <phoneticPr fontId="6" type="noConversion"/>
  </si>
  <si>
    <t>南山区月亮湾大道与绵山路交汇处</t>
    <phoneticPr fontId="6" type="noConversion"/>
  </si>
  <si>
    <t>企业</t>
  </si>
  <si>
    <t>深圳冠洋房地产有限公司</t>
    <phoneticPr fontId="6" type="noConversion"/>
  </si>
  <si>
    <t>出让</t>
  </si>
  <si>
    <r>
      <rPr>
        <sz val="12"/>
        <color theme="9" tint="-0.249977111117893"/>
        <rFont val="宋体"/>
        <family val="3"/>
        <charset val="134"/>
      </rPr>
      <t>商业</t>
    </r>
    <r>
      <rPr>
        <sz val="12"/>
        <color theme="9" tint="-0.249977111117893"/>
        <rFont val="Arial"/>
        <family val="2"/>
      </rPr>
      <t>41.21</t>
    </r>
    <r>
      <rPr>
        <sz val="12"/>
        <color theme="9" tint="-0.249977111117893"/>
        <rFont val="宋体"/>
        <family val="3"/>
        <charset val="134"/>
      </rPr>
      <t>年</t>
    </r>
    <phoneticPr fontId="6" type="noConversion"/>
  </si>
  <si>
    <t>主干道</t>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</si>
  <si>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</si>
  <si>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</si>
  <si>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</si>
  <si>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</si>
  <si>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</si>
  <si>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</si>
  <si>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</si>
  <si>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</si>
  <si>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</si>
  <si>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</si>
  <si>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</si>
  <si>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</si>
  <si>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</si>
  <si>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</si>
  <si>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</si>
  <si>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</si>
  <si>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</si>
  <si>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</si>
  <si>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</si>
  <si>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前湾片区七单元02、04街坊</t>
    <phoneticPr fontId="3" type="noConversion"/>
  </si>
  <si>
    <t>T102-0260</t>
    <phoneticPr fontId="3" type="noConversion"/>
  </si>
  <si>
    <t>前湾片区九单元01街坊</t>
    <phoneticPr fontId="3" type="noConversion"/>
  </si>
  <si>
    <t>T102-0264</t>
    <phoneticPr fontId="3" type="noConversion"/>
  </si>
  <si>
    <t>桂湾片区四单元04街坊</t>
    <phoneticPr fontId="3" type="noConversion"/>
  </si>
  <si>
    <t>T201-0094</t>
    <phoneticPr fontId="3" type="noConversion"/>
  </si>
  <si>
    <t>较好</t>
  </si>
  <si>
    <t>六通</t>
  </si>
  <si>
    <t>单面临街</t>
  </si>
  <si>
    <t>主干道</t>
  </si>
  <si>
    <t>较规则</t>
  </si>
  <si>
    <t>比例较适宜</t>
  </si>
  <si>
    <t>六通一平</t>
  </si>
  <si>
    <t>正常</t>
  </si>
  <si>
    <t>深圳监测指标情况一览表</t>
  </si>
  <si>
    <t>时间</t>
  </si>
  <si>
    <t>水平值</t>
  </si>
  <si>
    <t>环比增长率</t>
  </si>
  <si>
    <t>指数</t>
  </si>
  <si>
    <t>其他省市请录依据文件名称：http://www.szds.gov.cn/LocalTaxFront/TaxUseLand?SearchTax=&amp;start=13&amp;limit=24</t>
    <phoneticPr fontId="3" type="noConversion"/>
  </si>
  <si>
    <t>估价对象</t>
    <phoneticPr fontId="143" type="noConversion"/>
  </si>
  <si>
    <t>系数</t>
    <phoneticPr fontId="143" type="noConversion"/>
  </si>
  <si>
    <t>房间数</t>
    <phoneticPr fontId="143" type="noConversion"/>
  </si>
  <si>
    <t>倒推总建面</t>
    <phoneticPr fontId="143" type="noConversion"/>
  </si>
  <si>
    <t>沙龙套房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</si>
  <si>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</si>
  <si>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</si>
  <si>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</si>
  <si>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</si>
  <si>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</si>
  <si>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</si>
  <si>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</si>
  <si>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</si>
  <si>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</si>
  <si>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</si>
  <si>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</si>
  <si>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</si>
  <si>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</si>
  <si>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</si>
  <si>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</si>
  <si>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</si>
  <si>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</si>
  <si>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</si>
  <si>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</si>
  <si>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天数</t>
    <phoneticPr fontId="3" type="noConversion"/>
  </si>
  <si>
    <t>——</t>
    <phoneticPr fontId="3" type="noConversion"/>
  </si>
  <si>
    <t>年收入</t>
    <phoneticPr fontId="3" type="noConversion"/>
  </si>
  <si>
    <t>大</t>
    <phoneticPr fontId="3" type="noConversion"/>
  </si>
  <si>
    <t>中</t>
    <phoneticPr fontId="3" type="noConversion"/>
  </si>
  <si>
    <t>小</t>
    <phoneticPr fontId="3" type="noConversion"/>
  </si>
  <si>
    <t>房间数量推算</t>
    <phoneticPr fontId="143" type="noConversion"/>
  </si>
  <si>
    <t>小计</t>
    <phoneticPr fontId="3" type="noConversion"/>
  </si>
  <si>
    <t>（4）其他收入（可按客房收入比率计算）</t>
    <phoneticPr fontId="3" type="noConversion"/>
  </si>
  <si>
    <t>（5）出租部分</t>
    <phoneticPr fontId="3" type="noConversion"/>
  </si>
  <si>
    <t>建筑面积</t>
    <phoneticPr fontId="3" type="noConversion"/>
  </si>
  <si>
    <t xml:space="preserve">2017年第三季度全国星级饭店统计公报
</t>
    <phoneticPr fontId="143" type="noConversion"/>
  </si>
  <si>
    <t>http://www.cnta.gov.cn/zwgk/tzggnew/gztz/201801/t20180117_853798.shtml</t>
    <phoneticPr fontId="143" type="noConversion"/>
  </si>
  <si>
    <t>此处对应不动产收益法中未来第一年总收益</t>
    <phoneticPr fontId="14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</si>
  <si>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</si>
  <si>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</si>
  <si>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</si>
  <si>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</si>
  <si>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</si>
  <si>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</si>
  <si>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</si>
  <si>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</si>
  <si>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</si>
  <si>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</si>
  <si>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</si>
  <si>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</si>
  <si>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</si>
  <si>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</si>
  <si>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</si>
  <si>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</si>
  <si>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深圳南山CitiGO 酒店</t>
    <phoneticPr fontId="143" type="noConversion"/>
  </si>
  <si>
    <t>豪华大床房</t>
    <phoneticPr fontId="143" type="noConversion"/>
  </si>
  <si>
    <t>豪华双床房</t>
    <phoneticPr fontId="143" type="noConversion"/>
  </si>
  <si>
    <t>http://hotels.ctrip.com/hotel/14154841.html?isFull=F#ctm_ref=hod_sr_lst_dl_n_1_1</t>
    <phoneticPr fontId="143" type="noConversion"/>
  </si>
  <si>
    <t>深圳南山CitiGO 酒店</t>
    <phoneticPr fontId="143" type="noConversion"/>
  </si>
  <si>
    <t>深圳南山亚朵酒店</t>
    <phoneticPr fontId="143" type="noConversion"/>
  </si>
  <si>
    <t>http://hotels.ctrip.com/hotel/6636949.html?isFull=F#ctm_ref=hod_sr_lst_dl_n_1_3</t>
    <phoneticPr fontId="143" type="noConversion"/>
  </si>
  <si>
    <t>高级大床房</t>
    <phoneticPr fontId="143" type="noConversion"/>
  </si>
  <si>
    <t>豪华套房</t>
    <phoneticPr fontId="143" type="noConversion"/>
  </si>
  <si>
    <t>http://hotels.ctrip.com/hotel/652002.html?isFull=F#ctm_ref=hod_sr_lst_dl_n_1_3</t>
    <phoneticPr fontId="143" type="noConversion"/>
  </si>
  <si>
    <t>深圳鸿隆明华轮酒店</t>
    <phoneticPr fontId="143" type="noConversion"/>
  </si>
  <si>
    <t>深圳鸿隆明华轮酒店</t>
    <phoneticPr fontId="143" type="noConversion"/>
  </si>
  <si>
    <t>http://hotels.ctrip.com/hotel/1199422.html?isFull=F#ctm_ref=hod_sr_lst_dl_n_1_4</t>
    <phoneticPr fontId="143" type="noConversion"/>
  </si>
  <si>
    <t>深圳弘都酒店</t>
    <phoneticPr fontId="143" type="noConversion"/>
  </si>
  <si>
    <t>深圳弘都酒店</t>
    <phoneticPr fontId="143" type="noConversion"/>
  </si>
  <si>
    <t>http://hotels.ctrip.com/hotel/6469336.html?isFull=F#ctm_ref=hod_sr_lst_dl_n_1_5</t>
    <phoneticPr fontId="143" type="noConversion"/>
  </si>
  <si>
    <t xml:space="preserve">华里精品酒店(深圳前海店) </t>
    <phoneticPr fontId="143" type="noConversion"/>
  </si>
  <si>
    <t xml:space="preserve">华里精品酒店(深圳前海店) </t>
    <phoneticPr fontId="143" type="noConversion"/>
  </si>
  <si>
    <r>
      <t>A1</t>
    </r>
    <r>
      <rPr>
        <sz val="10"/>
        <color indexed="8"/>
        <rFont val="宋体"/>
        <family val="3"/>
        <charset val="134"/>
      </rPr>
      <t>公寓</t>
    </r>
    <phoneticPr fontId="3" type="noConversion"/>
  </si>
  <si>
    <t>配套商业</t>
  </si>
  <si>
    <t>配套商业</t>
    <phoneticPr fontId="3" type="noConversion"/>
  </si>
  <si>
    <t>酒店</t>
  </si>
  <si>
    <t>酒店</t>
    <phoneticPr fontId="3" type="noConversion"/>
  </si>
  <si>
    <r>
      <t>A2</t>
    </r>
    <r>
      <rPr>
        <sz val="10"/>
        <color indexed="8"/>
        <rFont val="宋体"/>
        <family val="3"/>
        <charset val="134"/>
      </rPr>
      <t>公寓</t>
    </r>
    <phoneticPr fontId="3" type="noConversion"/>
  </si>
  <si>
    <t>办公</t>
    <phoneticPr fontId="3" type="noConversion"/>
  </si>
  <si>
    <t>地上</t>
  </si>
  <si>
    <t>地下</t>
  </si>
  <si>
    <t>住宅</t>
  </si>
  <si>
    <t>公寓</t>
  </si>
  <si>
    <t>底商</t>
  </si>
  <si>
    <t>办公楼</t>
  </si>
  <si>
    <t>地下车库</t>
    <phoneticPr fontId="3" type="noConversion"/>
  </si>
  <si>
    <t>车库</t>
  </si>
  <si>
    <t>是</t>
  </si>
  <si>
    <t>否</t>
  </si>
  <si>
    <t>1.地面以上建筑面积115707.05平方米,其中;酒店建筑面积50691.57平方米,商务公寓建筑面积11465.38平方</t>
  </si>
  <si>
    <t>米,办公建筑面积51298.54平方米,物业管理用房建筑面积300.78平方米,邮电所建筑面积155.21.平方米,</t>
  </si>
  <si>
    <t>公共周所建筑面积62.00平方米,人防报警间建筑面积13.62平方米,架空及架空绿化休闲建筑面积1413.83平</t>
  </si>
  <si>
    <t>方米,人行通道建筑面积118.26平方米,地下室风井建筑面积187.86平方米。</t>
  </si>
  <si>
    <t>2.地下室建筑面积34131.20平方米,其中:地下车库建筑面积29137.55平方米,设备用房建筑面积4627.78平方</t>
  </si>
  <si>
    <t>米,地下室坡道建筑面积365.87平方米。</t>
  </si>
  <si>
    <t>3.依据《深圳市建筑设计规定》(深规土[20140402号),经测算,本栋核减建筑面积为42.97平方米,详见本栋《建</t>
  </si>
  <si>
    <t>筑技术经济指标测算报告(竣工测绘)》。</t>
  </si>
  <si>
    <t>公寓</t>
    <phoneticPr fontId="16" type="noConversion"/>
  </si>
  <si>
    <t>配套商业</t>
    <phoneticPr fontId="16" type="noConversion"/>
  </si>
  <si>
    <t>酒店</t>
    <phoneticPr fontId="16" type="noConversion"/>
  </si>
  <si>
    <t>A1公寓</t>
  </si>
  <si>
    <t>押一</t>
  </si>
  <si>
    <t>钢混</t>
  </si>
  <si>
    <t>非生产用房</t>
  </si>
  <si>
    <t>公寓案例</t>
    <phoneticPr fontId="143" type="noConversion"/>
  </si>
  <si>
    <t>一层</t>
    <phoneticPr fontId="3" type="noConversion"/>
  </si>
  <si>
    <t>二层</t>
    <phoneticPr fontId="3" type="noConversion"/>
  </si>
  <si>
    <t>三层</t>
    <phoneticPr fontId="3" type="noConversion"/>
  </si>
  <si>
    <t>商业案例</t>
    <phoneticPr fontId="143" type="noConversion"/>
  </si>
  <si>
    <t>https://www.zhihu.com/question/24851085/answer/29218939</t>
    <phoneticPr fontId="143" type="noConversion"/>
  </si>
  <si>
    <t>现房</t>
  </si>
  <si>
    <t>项目局部</t>
  </si>
  <si>
    <t>成本法</t>
  </si>
  <si>
    <t>收益法（汇总）</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</si>
  <si>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</si>
  <si>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</si>
  <si>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</si>
  <si>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</si>
  <si>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</si>
  <si>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</si>
  <si>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</si>
  <si>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</si>
  <si>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</si>
  <si>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</si>
  <si>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</si>
  <si>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</si>
  <si>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</si>
  <si>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</si>
  <si>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</si>
  <si>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</si>
  <si>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</si>
  <si>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</si>
  <si>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</si>
  <si>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</si>
  <si>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商业、办公</t>
  </si>
  <si>
    <t>商业、办公</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</si>
  <si>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</si>
  <si>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</si>
  <si>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商业</t>
    </r>
    <r>
      <rPr>
        <sz val="11"/>
        <color indexed="8"/>
        <rFont val="Arial"/>
        <family val="2"/>
      </rPr>
      <t>31.21</t>
    </r>
    <r>
      <rPr>
        <sz val="11"/>
        <color indexed="8"/>
        <rFont val="宋体"/>
        <family val="3"/>
        <charset val="134"/>
      </rPr>
      <t>年、办公</t>
    </r>
    <r>
      <rPr>
        <sz val="11"/>
        <color indexed="8"/>
        <rFont val="Arial"/>
        <family val="2"/>
      </rPr>
      <t>41.21</t>
    </r>
    <r>
      <rPr>
        <sz val="11"/>
        <color indexed="8"/>
        <rFont val="宋体"/>
        <family val="3"/>
        <charset val="134"/>
      </rPr>
      <t>年</t>
    </r>
    <phoneticPr fontId="31" type="noConversion"/>
  </si>
  <si>
    <t>按租金收入计税</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</si>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</sst>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HKD]\ #,##0.00_);[Red]\([$HKD]\ #,##0.00\)"/>
    <numFmt numFmtId="198" formatCode="_ * #,##0.00_ ;_ * \-#,##0.00_ ;_ * &quot;-&quot;??_ ;_ @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00B050"/>
      <name val="宋体"/>
      <family val="3"/>
      <charset val="134"/>
      <scheme val="minor"/>
    </font>
    <font>
      <u/>
      <sz val="11"/>
      <color theme="10"/>
      <name val="宋体"/>
      <family val="3"/>
      <charset val="134"/>
      <scheme val="minor"/>
    </font>
    <font>
      <sz val="28"/>
      <color rgb="FFFF0000"/>
      <name val="宋体"/>
      <family val="3"/>
      <charset val="134"/>
      <scheme val="minor"/>
    </font>
    <font>
      <sz val="20"/>
      <color rgb="FFFF0000"/>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
      <b/>
      <i/>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99" fillId="0" borderId="0" applyFont="0" applyFill="0" applyBorder="0" applyAlignment="0" applyProtection="0">
      <alignment vertical="center"/>
    </xf>
    <xf numFmtId="0" fontId="260" fillId="0" borderId="0" applyNumberFormat="0" applyFill="0" applyBorder="0" applyAlignment="0" applyProtection="0">
      <alignment vertical="center"/>
    </xf>
    <xf numFmtId="0" fontId="99" fillId="0" borderId="0">
      <alignment vertical="center"/>
    </xf>
    <xf numFmtId="197" fontId="37" fillId="0" borderId="0"/>
    <xf numFmtId="0" fontId="1" fillId="0" borderId="0">
      <alignment vertical="center"/>
    </xf>
    <xf numFmtId="198" fontId="99" fillId="0" borderId="0" applyFont="0" applyFill="0" applyBorder="0" applyAlignment="0" applyProtection="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243" fillId="6" borderId="0" xfId="0" applyFont="1" applyFill="1" applyAlignment="1" applyProtection="1">
      <alignment vertical="center"/>
      <protection locked="0"/>
    </xf>
    <xf numFmtId="0" fontId="137" fillId="6" borderId="0" xfId="0" applyFont="1" applyFill="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0" fontId="99" fillId="0" borderId="1" xfId="10" applyFont="1" applyBorder="1" applyAlignment="1">
      <alignment horizontal="center" vertical="center" wrapText="1"/>
    </xf>
    <xf numFmtId="0" fontId="99" fillId="0" borderId="1" xfId="10" applyFont="1" applyFill="1" applyBorder="1" applyAlignment="1">
      <alignment horizontal="center" vertical="center"/>
    </xf>
    <xf numFmtId="0" fontId="99" fillId="0" borderId="0" xfId="10" applyFont="1">
      <alignment vertical="center"/>
    </xf>
    <xf numFmtId="0" fontId="19" fillId="0" borderId="1" xfId="10" applyFont="1" applyFill="1" applyBorder="1" applyAlignment="1">
      <alignment horizontal="center" vertical="center"/>
    </xf>
    <xf numFmtId="177" fontId="19" fillId="0" borderId="5" xfId="10" applyNumberFormat="1" applyFont="1" applyFill="1" applyBorder="1" applyAlignment="1">
      <alignment horizontal="center" vertical="center"/>
    </xf>
    <xf numFmtId="0" fontId="99" fillId="0" borderId="1" xfId="10" applyBorder="1" applyAlignment="1">
      <alignment horizontal="center" vertical="center" wrapText="1"/>
    </xf>
    <xf numFmtId="0" fontId="259" fillId="0" borderId="1" xfId="10" applyFont="1" applyBorder="1" applyAlignment="1">
      <alignment horizontal="center" vertical="center"/>
    </xf>
    <xf numFmtId="0" fontId="145" fillId="0" borderId="1" xfId="10" applyFont="1" applyFill="1" applyBorder="1" applyAlignment="1">
      <alignment horizontal="center" vertical="center"/>
    </xf>
    <xf numFmtId="0" fontId="84" fillId="0" borderId="1" xfId="10" applyFont="1" applyFill="1" applyBorder="1" applyAlignment="1">
      <alignment horizontal="center" vertical="center"/>
    </xf>
    <xf numFmtId="9" fontId="19" fillId="0"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0" fontId="19" fillId="0" borderId="5" xfId="10" applyFont="1" applyFill="1" applyBorder="1" applyAlignment="1">
      <alignment horizontal="center" vertical="center"/>
    </xf>
    <xf numFmtId="0" fontId="99" fillId="0" borderId="1" xfId="10" applyFont="1" applyBorder="1" applyAlignment="1">
      <alignment horizontal="center" vertical="center"/>
    </xf>
    <xf numFmtId="0" fontId="259" fillId="0" borderId="1" xfId="10" applyFont="1" applyFill="1" applyBorder="1" applyAlignment="1">
      <alignment horizontal="center" vertical="center"/>
    </xf>
    <xf numFmtId="0" fontId="19" fillId="0" borderId="24" xfId="10" applyFont="1" applyFill="1" applyBorder="1" applyAlignment="1">
      <alignment horizontal="center" vertical="center"/>
    </xf>
    <xf numFmtId="9" fontId="99" fillId="0" borderId="1" xfId="10" applyNumberFormat="1" applyBorder="1" applyAlignment="1">
      <alignment horizontal="center" vertical="center"/>
    </xf>
    <xf numFmtId="0" fontId="130" fillId="0" borderId="1" xfId="10" applyFont="1" applyFill="1" applyBorder="1" applyAlignment="1">
      <alignment horizontal="center" vertical="center"/>
    </xf>
    <xf numFmtId="9" fontId="84" fillId="0" borderId="1" xfId="10" applyNumberFormat="1" applyFont="1" applyFill="1" applyBorder="1" applyAlignment="1">
      <alignment horizontal="center" vertical="center"/>
    </xf>
    <xf numFmtId="177" fontId="84" fillId="0" borderId="1" xfId="10" applyNumberFormat="1" applyFont="1" applyFill="1" applyBorder="1" applyAlignment="1">
      <alignment horizontal="center" vertical="center"/>
    </xf>
    <xf numFmtId="0" fontId="84" fillId="0" borderId="24" xfId="10" applyFont="1" applyFill="1" applyBorder="1" applyAlignment="1">
      <alignment horizontal="center" vertical="center"/>
    </xf>
    <xf numFmtId="9" fontId="100" fillId="7" borderId="0" xfId="13" applyFont="1" applyFill="1">
      <alignment vertical="center"/>
    </xf>
    <xf numFmtId="0" fontId="37" fillId="0" borderId="1" xfId="10" applyFont="1" applyFill="1" applyBorder="1" applyAlignment="1">
      <alignment horizontal="center" vertical="center"/>
    </xf>
    <xf numFmtId="177" fontId="19" fillId="0" borderId="24" xfId="10" applyNumberFormat="1" applyFont="1" applyFill="1" applyBorder="1" applyAlignment="1">
      <alignment horizontal="center" vertical="center"/>
    </xf>
    <xf numFmtId="0" fontId="99" fillId="0" borderId="1" xfId="10" applyBorder="1" applyAlignment="1">
      <alignment vertical="center" wrapText="1"/>
    </xf>
    <xf numFmtId="0" fontId="99" fillId="0" borderId="1" xfId="10" applyFill="1" applyBorder="1" applyAlignment="1">
      <alignment vertical="center"/>
    </xf>
    <xf numFmtId="9" fontId="99" fillId="0" borderId="0" xfId="10" applyNumberFormat="1">
      <alignment vertical="center"/>
    </xf>
    <xf numFmtId="0" fontId="99" fillId="0" borderId="0" xfId="10" applyAlignment="1">
      <alignment vertical="center" wrapText="1"/>
    </xf>
    <xf numFmtId="0" fontId="260" fillId="0" borderId="0" xfId="14" applyAlignment="1">
      <alignment vertical="center"/>
    </xf>
    <xf numFmtId="0" fontId="145" fillId="0" borderId="24" xfId="10" applyFont="1" applyFill="1" applyBorder="1" applyAlignment="1">
      <alignment horizontal="center" vertical="center"/>
    </xf>
    <xf numFmtId="0" fontId="130" fillId="0" borderId="1" xfId="10" applyFont="1" applyFill="1" applyBorder="1" applyAlignment="1">
      <alignment horizontal="center" vertical="center" wrapText="1"/>
    </xf>
    <xf numFmtId="9" fontId="99" fillId="7" borderId="0" xfId="13" applyFont="1" applyFill="1">
      <alignment vertical="center"/>
    </xf>
    <xf numFmtId="0" fontId="37" fillId="0" borderId="1" xfId="10" applyFont="1" applyFill="1" applyBorder="1" applyAlignment="1">
      <alignment vertical="center"/>
    </xf>
    <xf numFmtId="0" fontId="130" fillId="0" borderId="24" xfId="10" applyFont="1" applyFill="1" applyBorder="1" applyAlignment="1">
      <alignment horizontal="center" vertical="center"/>
    </xf>
    <xf numFmtId="9" fontId="145" fillId="0" borderId="1" xfId="10" applyNumberFormat="1" applyFont="1" applyFill="1" applyBorder="1" applyAlignment="1">
      <alignment horizontal="center" vertical="center"/>
    </xf>
    <xf numFmtId="0" fontId="130" fillId="0" borderId="1" xfId="10" applyFont="1" applyBorder="1" applyAlignment="1">
      <alignment horizontal="center" vertical="center"/>
    </xf>
    <xf numFmtId="9" fontId="130" fillId="0" borderId="1" xfId="10" applyNumberFormat="1" applyFont="1" applyBorder="1" applyAlignment="1">
      <alignment horizontal="center" vertical="center"/>
    </xf>
    <xf numFmtId="0" fontId="145" fillId="0" borderId="32" xfId="10" applyFont="1" applyFill="1" applyBorder="1" applyAlignment="1">
      <alignment horizontal="center" vertical="center"/>
    </xf>
    <xf numFmtId="9" fontId="145" fillId="0" borderId="32" xfId="10" applyNumberFormat="1" applyFont="1" applyFill="1" applyBorder="1" applyAlignment="1">
      <alignment horizontal="center" vertical="center"/>
    </xf>
    <xf numFmtId="177" fontId="145" fillId="0" borderId="32" xfId="10" applyNumberFormat="1" applyFont="1" applyFill="1" applyBorder="1" applyAlignment="1">
      <alignment horizontal="center" vertical="center"/>
    </xf>
    <xf numFmtId="0" fontId="84" fillId="0" borderId="49" xfId="10" applyFont="1" applyFill="1" applyBorder="1" applyAlignment="1">
      <alignment horizontal="center" vertical="center"/>
    </xf>
    <xf numFmtId="0" fontId="99" fillId="0" borderId="0" xfId="10" applyAlignment="1">
      <alignment vertical="center"/>
    </xf>
    <xf numFmtId="0" fontId="145" fillId="11" borderId="1" xfId="10" applyFont="1" applyFill="1" applyBorder="1" applyAlignment="1">
      <alignment vertical="center"/>
    </xf>
    <xf numFmtId="0" fontId="169" fillId="0" borderId="0" xfId="10" applyFont="1">
      <alignment vertical="center"/>
    </xf>
    <xf numFmtId="0" fontId="19" fillId="0" borderId="1" xfId="10" applyFont="1" applyBorder="1" applyAlignment="1">
      <alignment horizontal="center"/>
    </xf>
    <xf numFmtId="0" fontId="19" fillId="0" borderId="1" xfId="10" applyFont="1" applyBorder="1" applyAlignment="1"/>
    <xf numFmtId="49" fontId="19" fillId="0" borderId="1" xfId="10" applyNumberFormat="1" applyFont="1" applyBorder="1" applyAlignment="1">
      <alignment horizontal="center"/>
    </xf>
    <xf numFmtId="9" fontId="19" fillId="0" borderId="1" xfId="10" applyNumberFormat="1" applyFont="1" applyBorder="1" applyAlignment="1"/>
    <xf numFmtId="0" fontId="19" fillId="0" borderId="1" xfId="10" applyFont="1" applyFill="1" applyBorder="1" applyAlignment="1">
      <alignment horizontal="center"/>
    </xf>
    <xf numFmtId="0" fontId="99" fillId="19" borderId="0" xfId="10" applyFill="1">
      <alignment vertical="center"/>
    </xf>
    <xf numFmtId="0" fontId="260" fillId="19" borderId="0" xfId="14" applyFill="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261" fillId="0" borderId="0" xfId="0" applyFont="1">
      <alignment vertical="center"/>
    </xf>
    <xf numFmtId="0" fontId="80" fillId="6" borderId="0" xfId="0" applyFont="1" applyFill="1" applyAlignment="1" applyProtection="1">
      <alignment vertical="center"/>
      <protection locked="0"/>
    </xf>
    <xf numFmtId="0" fontId="262" fillId="0" borderId="0" xfId="0" applyFont="1">
      <alignment vertical="center"/>
    </xf>
    <xf numFmtId="0" fontId="118" fillId="6" borderId="26" xfId="2" applyFont="1" applyFill="1" applyBorder="1"/>
    <xf numFmtId="184" fontId="263"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263" fillId="5" borderId="23" xfId="1" applyNumberFormat="1" applyFont="1" applyFill="1" applyBorder="1" applyAlignment="1" applyProtection="1">
      <alignment horizontal="center" vertical="center"/>
      <protection locked="0"/>
    </xf>
    <xf numFmtId="184" fontId="263" fillId="0" borderId="1" xfId="2" applyNumberFormat="1" applyFont="1" applyFill="1" applyBorder="1" applyAlignment="1" applyProtection="1">
      <alignment horizontal="center" vertical="center"/>
      <protection locked="0"/>
    </xf>
    <xf numFmtId="179" fontId="264" fillId="6" borderId="1" xfId="1" applyNumberFormat="1" applyFont="1" applyFill="1" applyBorder="1" applyAlignment="1" applyProtection="1">
      <alignment horizontal="center" vertical="center"/>
    </xf>
    <xf numFmtId="180" fontId="264"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3" fillId="5" borderId="25" xfId="1" applyNumberFormat="1" applyFont="1" applyFill="1" applyBorder="1" applyAlignment="1" applyProtection="1">
      <alignment horizontal="center" vertical="center"/>
      <protection locked="0"/>
    </xf>
    <xf numFmtId="184" fontId="263" fillId="0" borderId="32" xfId="2" applyNumberFormat="1" applyFont="1" applyFill="1" applyBorder="1" applyAlignment="1" applyProtection="1">
      <alignment horizontal="center" vertical="center"/>
      <protection locked="0"/>
    </xf>
    <xf numFmtId="179" fontId="264" fillId="6" borderId="32" xfId="1" applyNumberFormat="1" applyFont="1" applyFill="1" applyBorder="1" applyAlignment="1" applyProtection="1">
      <alignment horizontal="center" vertical="center"/>
    </xf>
    <xf numFmtId="180" fontId="264"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5"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4"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4"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4" fillId="6" borderId="10" xfId="2" applyFont="1" applyFill="1" applyBorder="1"/>
    <xf numFmtId="0" fontId="264"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4"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4" fillId="6" borderId="49" xfId="2" applyFont="1" applyFill="1" applyBorder="1"/>
    <xf numFmtId="0" fontId="98" fillId="6" borderId="0" xfId="2" applyFont="1" applyFill="1" applyBorder="1" applyAlignment="1">
      <alignment horizontal="left"/>
    </xf>
    <xf numFmtId="0" fontId="264"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77" fontId="115" fillId="5" borderId="5" xfId="1" applyNumberFormat="1" applyFont="1" applyFill="1" applyBorder="1" applyAlignment="1" applyProtection="1">
      <alignment vertical="center"/>
      <protection locked="0"/>
    </xf>
    <xf numFmtId="177" fontId="148" fillId="5" borderId="23" xfId="1" applyNumberFormat="1" applyFont="1" applyFill="1" applyBorder="1" applyAlignment="1" applyProtection="1">
      <alignment horizontal="center" vertical="center"/>
    </xf>
    <xf numFmtId="179" fontId="115" fillId="5" borderId="1" xfId="1" applyNumberFormat="1" applyFont="1" applyFill="1" applyBorder="1" applyAlignment="1" applyProtection="1">
      <alignment horizontal="center" vertical="center"/>
    </xf>
    <xf numFmtId="184" fontId="148" fillId="5" borderId="1" xfId="0" applyNumberFormat="1" applyFont="1" applyFill="1" applyBorder="1" applyAlignment="1" applyProtection="1">
      <alignment horizontal="center" vertical="center"/>
    </xf>
    <xf numFmtId="177" fontId="148" fillId="5" borderId="1" xfId="1" applyNumberFormat="1" applyFont="1" applyFill="1" applyBorder="1" applyAlignment="1" applyProtection="1">
      <alignment horizontal="center" vertical="center"/>
      <protection locked="0"/>
    </xf>
    <xf numFmtId="0" fontId="148" fillId="5" borderId="10" xfId="1" applyNumberFormat="1" applyFont="1" applyFill="1" applyBorder="1" applyAlignment="1" applyProtection="1">
      <alignment horizontal="center" vertical="center"/>
      <protection locked="0"/>
    </xf>
    <xf numFmtId="0" fontId="148" fillId="5" borderId="24" xfId="1" applyNumberFormat="1" applyFont="1" applyFill="1" applyBorder="1" applyAlignment="1" applyProtection="1">
      <alignment horizontal="center" vertical="center"/>
      <protection locked="0"/>
    </xf>
    <xf numFmtId="0" fontId="115" fillId="5" borderId="24"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40" fillId="5" borderId="3"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77" fontId="266" fillId="5" borderId="1" xfId="1" applyNumberFormat="1" applyFont="1" applyFill="1" applyBorder="1" applyAlignment="1" applyProtection="1">
      <alignment horizontal="center"/>
    </xf>
    <xf numFmtId="0" fontId="108" fillId="20" borderId="24" xfId="0" applyFont="1" applyFill="1" applyBorder="1" applyAlignment="1" applyProtection="1">
      <alignment horizontal="center" vertical="center"/>
      <protection locked="0"/>
    </xf>
    <xf numFmtId="10" fontId="108" fillId="20" borderId="49" xfId="0" applyNumberFormat="1" applyFont="1" applyFill="1" applyBorder="1" applyAlignment="1" applyProtection="1">
      <alignment horizontal="center" vertical="center"/>
      <protection locked="0"/>
    </xf>
    <xf numFmtId="0" fontId="108" fillId="20" borderId="0" xfId="0" applyFont="1" applyFill="1" applyBorder="1" applyAlignment="1" applyProtection="1">
      <alignment horizontal="center" vertical="center"/>
      <protection locked="0"/>
    </xf>
    <xf numFmtId="0" fontId="221" fillId="20" borderId="9" xfId="1" applyFont="1" applyFill="1" applyBorder="1" applyAlignment="1" applyProtection="1">
      <alignment horizontal="center" vertical="center" wrapText="1"/>
      <protection locked="0"/>
    </xf>
    <xf numFmtId="10" fontId="108" fillId="20" borderId="1" xfId="1" applyNumberFormat="1" applyFont="1" applyFill="1" applyBorder="1" applyAlignment="1" applyProtection="1">
      <alignment horizontal="center" vertical="center"/>
      <protection locked="0"/>
    </xf>
    <xf numFmtId="10" fontId="221" fillId="20" borderId="1" xfId="1" applyNumberFormat="1" applyFont="1" applyFill="1" applyBorder="1" applyAlignment="1" applyProtection="1">
      <alignment horizontal="center" vertical="center"/>
      <protection locked="0"/>
    </xf>
    <xf numFmtId="181" fontId="221" fillId="20" borderId="24"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2" fillId="6" borderId="37" xfId="10" applyFont="1" applyFill="1" applyBorder="1" applyAlignment="1">
      <alignment horizontal="left" vertical="center"/>
    </xf>
    <xf numFmtId="0" fontId="142" fillId="6" borderId="54" xfId="10" applyFont="1" applyFill="1" applyBorder="1" applyAlignment="1">
      <alignment horizontal="left" vertical="center"/>
    </xf>
    <xf numFmtId="0" fontId="142" fillId="6" borderId="3" xfId="10" applyFont="1" applyFill="1" applyBorder="1" applyAlignment="1">
      <alignment horizontal="left" vertical="center"/>
    </xf>
    <xf numFmtId="0" fontId="144" fillId="6" borderId="1" xfId="10" applyFont="1" applyFill="1" applyBorder="1" applyAlignment="1">
      <alignment horizontal="center" vertical="center"/>
    </xf>
    <xf numFmtId="0" fontId="144" fillId="6" borderId="24" xfId="10" applyFont="1" applyFill="1" applyBorder="1" applyAlignment="1">
      <alignment horizontal="center" vertical="center"/>
    </xf>
    <xf numFmtId="0" fontId="84" fillId="6" borderId="23" xfId="10" applyFont="1" applyFill="1" applyBorder="1" applyAlignment="1">
      <alignment horizontal="left" vertical="center" wrapText="1"/>
    </xf>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19" fillId="0" borderId="1" xfId="10" applyFont="1" applyBorder="1" applyAlignment="1"/>
    <xf numFmtId="0" fontId="84" fillId="6" borderId="1" xfId="10" applyFont="1" applyFill="1" applyBorder="1" applyAlignment="1">
      <alignment horizontal="left" vertical="center" wrapText="1"/>
    </xf>
    <xf numFmtId="0" fontId="145" fillId="6" borderId="55" xfId="10" applyFont="1" applyFill="1" applyBorder="1" applyAlignment="1">
      <alignment vertical="center"/>
    </xf>
    <xf numFmtId="0" fontId="145" fillId="6" borderId="36" xfId="10" applyFont="1" applyFill="1" applyBorder="1" applyAlignment="1">
      <alignment vertical="center"/>
    </xf>
    <xf numFmtId="0" fontId="145" fillId="6" borderId="22" xfId="10" applyFont="1" applyFill="1" applyBorder="1" applyAlignment="1">
      <alignment vertical="center"/>
    </xf>
    <xf numFmtId="0" fontId="145" fillId="6" borderId="42" xfId="10" applyFont="1" applyFill="1" applyBorder="1" applyAlignment="1">
      <alignment vertical="center"/>
    </xf>
    <xf numFmtId="0" fontId="145" fillId="6" borderId="47" xfId="10" applyFont="1" applyFill="1" applyBorder="1" applyAlignment="1">
      <alignment vertical="center"/>
    </xf>
    <xf numFmtId="0" fontId="145" fillId="6" borderId="73" xfId="10" applyFont="1" applyFill="1" applyBorder="1" applyAlignment="1">
      <alignment vertical="center"/>
    </xf>
    <xf numFmtId="0" fontId="84" fillId="11" borderId="1" xfId="10" applyFont="1" applyFill="1" applyBorder="1" applyAlignment="1">
      <alignment horizontal="center" vertical="center"/>
    </xf>
    <xf numFmtId="0" fontId="19" fillId="0" borderId="1" xfId="10" applyFont="1" applyBorder="1" applyAlignment="1">
      <alignment horizontal="center"/>
    </xf>
    <xf numFmtId="0" fontId="145" fillId="11" borderId="5" xfId="10" applyFont="1" applyFill="1" applyBorder="1" applyAlignment="1">
      <alignment horizontal="left" vertical="center"/>
    </xf>
    <xf numFmtId="0" fontId="145" fillId="11" borderId="54" xfId="10" applyFont="1" applyFill="1" applyBorder="1" applyAlignment="1">
      <alignment horizontal="left" vertical="center"/>
    </xf>
    <xf numFmtId="0" fontId="145" fillId="11" borderId="3" xfId="1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3"/>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10" xfId="16"/>
    <cellStyle name="常规 6 2" xfId="9"/>
    <cellStyle name="常规 6 2 2" xfId="17"/>
    <cellStyle name="常规 7" xfId="7"/>
    <cellStyle name="常规 8" xfId="11"/>
    <cellStyle name="常规 9" xfId="12"/>
    <cellStyle name="超链接" xfId="14" builtinId="8"/>
    <cellStyle name="千位分隔 12" xfId="18"/>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95250</xdr:rowOff>
    </xdr:from>
    <xdr:to>
      <xdr:col>14</xdr:col>
      <xdr:colOff>379753</xdr:colOff>
      <xdr:row>22</xdr:row>
      <xdr:rowOff>94950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85900"/>
          <a:ext cx="9980953" cy="2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39</xdr:row>
      <xdr:rowOff>1</xdr:rowOff>
    </xdr:from>
    <xdr:to>
      <xdr:col>8</xdr:col>
      <xdr:colOff>394122</xdr:colOff>
      <xdr:row>72</xdr:row>
      <xdr:rowOff>158751</xdr:rowOff>
    </xdr:to>
    <xdr:pic>
      <xdr:nvPicPr>
        <xdr:cNvPr id="6" name="图片 5"/>
        <xdr:cNvPicPr>
          <a:picLocks noChangeAspect="1"/>
        </xdr:cNvPicPr>
      </xdr:nvPicPr>
      <xdr:blipFill>
        <a:blip xmlns:r="http://schemas.openxmlformats.org/officeDocument/2006/relationships" r:embed="rId1"/>
        <a:stretch>
          <a:fillRect/>
        </a:stretch>
      </xdr:blipFill>
      <xdr:spPr>
        <a:xfrm>
          <a:off x="1" y="6646334"/>
          <a:ext cx="6289038" cy="5746750"/>
        </a:xfrm>
        <a:prstGeom prst="rect">
          <a:avLst/>
        </a:prstGeom>
      </xdr:spPr>
    </xdr:pic>
    <xdr:clientData/>
  </xdr:twoCellAnchor>
  <xdr:twoCellAnchor editAs="oneCell">
    <xdr:from>
      <xdr:col>8</xdr:col>
      <xdr:colOff>349250</xdr:colOff>
      <xdr:row>38</xdr:row>
      <xdr:rowOff>158750</xdr:rowOff>
    </xdr:from>
    <xdr:to>
      <xdr:col>18</xdr:col>
      <xdr:colOff>539232</xdr:colOff>
      <xdr:row>65</xdr:row>
      <xdr:rowOff>116417</xdr:rowOff>
    </xdr:to>
    <xdr:pic>
      <xdr:nvPicPr>
        <xdr:cNvPr id="8" name="图片 7"/>
        <xdr:cNvPicPr>
          <a:picLocks noChangeAspect="1"/>
        </xdr:cNvPicPr>
      </xdr:nvPicPr>
      <xdr:blipFill>
        <a:blip xmlns:r="http://schemas.openxmlformats.org/officeDocument/2006/relationships" r:embed="rId2"/>
        <a:stretch>
          <a:fillRect/>
        </a:stretch>
      </xdr:blipFill>
      <xdr:spPr>
        <a:xfrm>
          <a:off x="6244167" y="6635750"/>
          <a:ext cx="6741065" cy="4529667"/>
        </a:xfrm>
        <a:prstGeom prst="rect">
          <a:avLst/>
        </a:prstGeom>
      </xdr:spPr>
    </xdr:pic>
    <xdr:clientData/>
  </xdr:twoCellAnchor>
  <xdr:twoCellAnchor editAs="oneCell">
    <xdr:from>
      <xdr:col>0</xdr:col>
      <xdr:colOff>0</xdr:colOff>
      <xdr:row>72</xdr:row>
      <xdr:rowOff>158750</xdr:rowOff>
    </xdr:from>
    <xdr:to>
      <xdr:col>8</xdr:col>
      <xdr:colOff>285750</xdr:colOff>
      <xdr:row>102</xdr:row>
      <xdr:rowOff>130965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2393083"/>
          <a:ext cx="6180667" cy="5052215"/>
        </a:xfrm>
        <a:prstGeom prst="rect">
          <a:avLst/>
        </a:prstGeom>
      </xdr:spPr>
    </xdr:pic>
    <xdr:clientData/>
  </xdr:twoCellAnchor>
  <xdr:twoCellAnchor editAs="oneCell">
    <xdr:from>
      <xdr:col>8</xdr:col>
      <xdr:colOff>264585</xdr:colOff>
      <xdr:row>65</xdr:row>
      <xdr:rowOff>158749</xdr:rowOff>
    </xdr:from>
    <xdr:to>
      <xdr:col>17</xdr:col>
      <xdr:colOff>594061</xdr:colOff>
      <xdr:row>101</xdr:row>
      <xdr:rowOff>84666</xdr:rowOff>
    </xdr:to>
    <xdr:pic>
      <xdr:nvPicPr>
        <xdr:cNvPr id="12" name="图片 11"/>
        <xdr:cNvPicPr>
          <a:picLocks noChangeAspect="1"/>
        </xdr:cNvPicPr>
      </xdr:nvPicPr>
      <xdr:blipFill>
        <a:blip xmlns:r="http://schemas.openxmlformats.org/officeDocument/2006/relationships" r:embed="rId4"/>
        <a:stretch>
          <a:fillRect/>
        </a:stretch>
      </xdr:blipFill>
      <xdr:spPr>
        <a:xfrm>
          <a:off x="6159502" y="11207749"/>
          <a:ext cx="6192642" cy="6021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360705</xdr:colOff>
      <xdr:row>31</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61905" cy="5314286"/>
        </a:xfrm>
        <a:prstGeom prst="rect">
          <a:avLst/>
        </a:prstGeom>
      </xdr:spPr>
    </xdr:pic>
    <xdr:clientData/>
  </xdr:twoCellAnchor>
  <xdr:twoCellAnchor editAs="oneCell">
    <xdr:from>
      <xdr:col>0</xdr:col>
      <xdr:colOff>0</xdr:colOff>
      <xdr:row>32</xdr:row>
      <xdr:rowOff>0</xdr:rowOff>
    </xdr:from>
    <xdr:to>
      <xdr:col>14</xdr:col>
      <xdr:colOff>113086</xdr:colOff>
      <xdr:row>62</xdr:row>
      <xdr:rowOff>104119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762625"/>
          <a:ext cx="9714286" cy="5247619"/>
        </a:xfrm>
        <a:prstGeom prst="rect">
          <a:avLst/>
        </a:prstGeom>
      </xdr:spPr>
    </xdr:pic>
    <xdr:clientData/>
  </xdr:twoCellAnchor>
  <xdr:twoCellAnchor editAs="oneCell">
    <xdr:from>
      <xdr:col>0</xdr:col>
      <xdr:colOff>0</xdr:colOff>
      <xdr:row>63</xdr:row>
      <xdr:rowOff>0</xdr:rowOff>
    </xdr:from>
    <xdr:to>
      <xdr:col>14</xdr:col>
      <xdr:colOff>379753</xdr:colOff>
      <xdr:row>96</xdr:row>
      <xdr:rowOff>123103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1077575"/>
          <a:ext cx="9980953" cy="57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227115</xdr:colOff>
      <xdr:row>29</xdr:row>
      <xdr:rowOff>170829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
          <a:ext cx="11885715" cy="4971429"/>
        </a:xfrm>
        <a:prstGeom prst="rect">
          <a:avLst/>
        </a:prstGeom>
      </xdr:spPr>
    </xdr:pic>
    <xdr:clientData/>
  </xdr:twoCellAnchor>
  <xdr:twoCellAnchor editAs="oneCell">
    <xdr:from>
      <xdr:col>0</xdr:col>
      <xdr:colOff>0</xdr:colOff>
      <xdr:row>30</xdr:row>
      <xdr:rowOff>0</xdr:rowOff>
    </xdr:from>
    <xdr:to>
      <xdr:col>17</xdr:col>
      <xdr:colOff>265210</xdr:colOff>
      <xdr:row>57</xdr:row>
      <xdr:rowOff>142279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295900"/>
          <a:ext cx="11923810" cy="4771429"/>
        </a:xfrm>
        <a:prstGeom prst="rect">
          <a:avLst/>
        </a:prstGeom>
      </xdr:spPr>
    </xdr:pic>
    <xdr:clientData/>
  </xdr:twoCellAnchor>
  <xdr:twoCellAnchor editAs="oneCell">
    <xdr:from>
      <xdr:col>0</xdr:col>
      <xdr:colOff>0</xdr:colOff>
      <xdr:row>58</xdr:row>
      <xdr:rowOff>0</xdr:rowOff>
    </xdr:from>
    <xdr:to>
      <xdr:col>17</xdr:col>
      <xdr:colOff>446163</xdr:colOff>
      <xdr:row>89</xdr:row>
      <xdr:rowOff>46955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096500"/>
          <a:ext cx="12104763"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2304;&#27979;&#31639;&#12305;--&#33609;&#28023;&#39033;&#30446;&#65288;&#20116;&#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17\2018-1-0159&#28246;&#21271;&#30465;&#27494;&#27721;&#24066;&#27743;&#27721;&#21306;&#29579;&#23478;&#22697;&#22320;&#21306;&#21407;&#31354;&#20891;&#27721;&#21475;&#26426;&#22330;&#20869;&#19990;&#36152;&#20013;&#24515;B&#22320;&#22359;&#39033;&#30446;3%23&#21830;&#19994;&#27004;&#31561;&#22235;&#26635;&#22312;&#24314;&#24037;&#31243;&#21450;&#20854;&#20998;&#25674;&#30340;&#20986;&#35753;&#22269;&#26377;&#24314;&#35774;&#29992;&#22320;&#20351;&#29992;&#26435;&#25151;&#22320;&#20135;&#25269;&#25276;&#20215;&#20540;&#35780;&#20272;\2018-1-0159-P01DYGJ3\&#26368;&#32456;\&#8730;&#27867;&#28023;&#27979;&#31639;&#31639;&#37197;&#22871;&#36153;&#29256;&#26412;&#65288;&#25970;&#27979;&#31639;.03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融创产品表"/>
      <sheetName val="不动产比较法-商业"/>
      <sheetName val="比较法-商业"/>
      <sheetName val="剩余法-待开发"/>
      <sheetName val="不动产比较法-高层"/>
      <sheetName val="不动产比较法-洋房"/>
      <sheetName val="不动产比较法-别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主题乐园）"/>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资料整理"/>
      <sheetName val="案例"/>
      <sheetName val="住宅"/>
      <sheetName val="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不动产比较法-洋房</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不动产收益法（主题乐园）</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五星及六星酒店</v>
          </cell>
        </row>
        <row r="20">
          <cell r="C20" t="str">
            <v>主题乐园</v>
          </cell>
        </row>
        <row r="21">
          <cell r="C21">
            <v>0</v>
          </cell>
        </row>
        <row r="22">
          <cell r="C22">
            <v>0</v>
          </cell>
        </row>
        <row r="23">
          <cell r="C23">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19">
        <row r="75">
          <cell r="A75" t="str">
            <v>交易情况</v>
          </cell>
          <cell r="C75" t="str">
            <v>正常</v>
          </cell>
        </row>
        <row r="77">
          <cell r="B77" t="str">
            <v>用途</v>
          </cell>
        </row>
        <row r="108">
          <cell r="B108" t="str">
            <v>毗邻道路的类型与等级</v>
          </cell>
          <cell r="C108" t="str">
            <v>高速路</v>
          </cell>
          <cell r="D108" t="str">
            <v>城市主干道</v>
          </cell>
          <cell r="E108" t="str">
            <v>城市次干道</v>
          </cell>
          <cell r="F108" t="str">
            <v>城市支路</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72">
          <cell r="B72" t="str">
            <v>用途</v>
          </cell>
        </row>
        <row r="101">
          <cell r="B101" t="str">
            <v>土地级别</v>
          </cell>
        </row>
      </sheetData>
      <sheetData sheetId="26"/>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整理"/>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万怡收益法"/>
      <sheetName val="艾迪逊收益法"/>
      <sheetName val="商业裙房收益法"/>
      <sheetName val="万怡拟酒店收入计算"/>
      <sheetName val="艾迪逊拟酒店收入计算 "/>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97">
          <cell r="B97" t="str">
            <v>毗邻道路的类型与等级</v>
          </cell>
        </row>
        <row r="110">
          <cell r="B110" t="str">
            <v>宗地形状</v>
          </cell>
        </row>
        <row r="112">
          <cell r="B112" t="str">
            <v>宗地开发程度</v>
          </cell>
        </row>
        <row r="114">
          <cell r="B114" t="str">
            <v>工程地质条件</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hotels.ctrip.com/hotel/14154841.html?isFull=F" TargetMode="External"/><Relationship Id="rId7" Type="http://schemas.openxmlformats.org/officeDocument/2006/relationships/hyperlink" Target="http://hotels.ctrip.com/hotel/6469336.html?isFull=F" TargetMode="External"/><Relationship Id="rId2" Type="http://schemas.openxmlformats.org/officeDocument/2006/relationships/hyperlink" Target="https://www.zhihu.com/question/24851085/answer/29218939"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hotels.ctrip.com/hotel/1199422.html?isFull=F" TargetMode="External"/><Relationship Id="rId5" Type="http://schemas.openxmlformats.org/officeDocument/2006/relationships/hyperlink" Target="http://hotels.ctrip.com/hotel/652002.html?isFull=F" TargetMode="External"/><Relationship Id="rId4" Type="http://schemas.openxmlformats.org/officeDocument/2006/relationships/hyperlink" Target="http://hotels.ctrip.com/hotel/6636949.html?isFull=F" TargetMode="External"/><Relationship Id="rId9"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深圳市南山区月亮湾大道与绵山路交汇处房地产抵押价值预评估</v>
      </c>
    </row>
    <row r="3" spans="1:2" s="1591" customFormat="1">
      <c r="A3" s="1589" t="s">
        <v>1221</v>
      </c>
      <c r="B3" s="1590" t="str">
        <f>'预评函-封皮'!B40</f>
        <v>昆仑信托有限责任公司</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受贵公司委托，我公司对深圳市南山区月亮湾大道与绵山路交汇处房地产抵押价值进行了预评估。</v>
      </c>
    </row>
    <row r="7" spans="1:2" s="1591" customFormat="1">
      <c r="A7" s="1589" t="s">
        <v>1264</v>
      </c>
      <c r="B7" s="1590" t="str">
        <f>'预评函-1'!A7</f>
        <v>估价对象为深圳市南山区月亮湾大道与绵山路交汇处房地产，为深圳冠洋房地产有限公司所有。根据《国有土地使用证》[]，估价对象（分摊）出让国有建设用地使用权面积为7108.46平方米，建筑面积为50691.57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2018年4月12日（评估专业人员实地查勘之日）</v>
      </c>
    </row>
    <row r="13" spans="1:2" s="1591" customFormat="1">
      <c r="A13" s="1589" t="s">
        <v>1227</v>
      </c>
      <c r="B13" s="1590" t="str">
        <f>'预评函-1'!A18</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250099</v>
      </c>
    </row>
    <row r="21" spans="1:2" s="1591" customFormat="1">
      <c r="A21" s="1589" t="s">
        <v>1235</v>
      </c>
      <c r="B21" s="1590">
        <f ca="1">'预评函-2'!D7</f>
        <v>49337</v>
      </c>
    </row>
    <row r="22" spans="1:2" s="1591" customFormat="1">
      <c r="A22" s="1589" t="s">
        <v>1236</v>
      </c>
      <c r="B22" s="1590" t="str">
        <f ca="1">'预评函-2'!D6</f>
        <v>贰拾伍亿零玖拾玖万元整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250099</v>
      </c>
    </row>
    <row r="31" spans="1:2" s="1591" customFormat="1">
      <c r="A31" s="1589" t="s">
        <v>1274</v>
      </c>
      <c r="B31" s="1590">
        <f ca="1">'预评函-2'!D15</f>
        <v>49337</v>
      </c>
    </row>
    <row r="32" spans="1:2" s="1591" customFormat="1">
      <c r="A32" s="1589" t="s">
        <v>1241</v>
      </c>
      <c r="B32" s="1590" t="str">
        <f ca="1">'预评函-2'!D14</f>
        <v>贰拾伍亿零玖拾玖万元整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深圳市南山区月亮湾大道与绵山路交汇处房地产</v>
      </c>
    </row>
    <row r="42" spans="1:2" s="1591" customFormat="1">
      <c r="A42" s="1589" t="s">
        <v>1288</v>
      </c>
      <c r="B42" s="1590" t="str">
        <f>'预评函-3'!B2</f>
        <v>建筑面积</v>
      </c>
    </row>
    <row r="43" spans="1:2" s="1591" customFormat="1">
      <c r="A43" s="1589" t="s">
        <v>1289</v>
      </c>
      <c r="B43" s="1590">
        <f>'预评函-3'!B4</f>
        <v>50691.57</v>
      </c>
    </row>
    <row r="44" spans="1:2" s="1591" customFormat="1">
      <c r="A44" s="1589" t="s">
        <v>1273</v>
      </c>
      <c r="B44" s="1590" t="str">
        <f>'预评函-3'!C2</f>
        <v>(分摊)土地面积</v>
      </c>
    </row>
    <row r="45" spans="1:2" s="1591" customFormat="1">
      <c r="A45" s="1589" t="s">
        <v>1245</v>
      </c>
      <c r="B45" s="1590">
        <f>'预评函-3'!C4</f>
        <v>7108.46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3189</v>
      </c>
      <c r="C17" s="2013"/>
    </row>
    <row r="18" spans="1:3">
      <c r="A18" s="2012" t="s">
        <v>1767</v>
      </c>
      <c r="B18" s="2012" t="s">
        <v>3190</v>
      </c>
      <c r="C18" s="2013"/>
    </row>
    <row r="19" spans="1:3">
      <c r="A19" s="2012" t="s">
        <v>1768</v>
      </c>
      <c r="B19" s="2012" t="s">
        <v>3191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1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2020" t="s">
        <v>864</v>
      </c>
      <c r="C54" s="2017" t="s">
        <v>1281</v>
      </c>
    </row>
    <row r="55" spans="1:4">
      <c r="A55" s="3128"/>
      <c r="B55" s="2020" t="s">
        <v>865</v>
      </c>
      <c r="C55" s="2017" t="s">
        <v>1282</v>
      </c>
    </row>
    <row r="56" spans="1:4">
      <c r="A56" s="3128"/>
      <c r="B56" s="2020" t="s">
        <v>866</v>
      </c>
      <c r="C56" s="2017" t="s">
        <v>1286</v>
      </c>
    </row>
    <row r="57" spans="1:4">
      <c r="A57" s="31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1776</v>
      </c>
      <c r="B1" s="3129" t="str">
        <f>IF(B10="北京市","北京市",C10)&amp;F10&amp;IF(结果表!G1="在建","出让国有建设用地使用权及在建建筑物",IF(结果表!G1="土地","出让国有建设用地使用权",))&amp;B9&amp;"预评估"</f>
        <v>深圳市南山区月亮湾大道与绵山路交汇处房地产抵押价值预评估</v>
      </c>
      <c r="C1" s="3130"/>
      <c r="D1" s="3130"/>
      <c r="E1" s="3130"/>
      <c r="F1" s="3130"/>
      <c r="G1" s="3130"/>
      <c r="H1" s="3130"/>
      <c r="I1" s="31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深圳市南山区月亮湾大道与绵山路交汇处房地产抵押价值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深圳市南山区月亮湾大道与绵山路交汇处房地产</v>
      </c>
    </row>
    <row r="3" spans="1:19" ht="18" customHeight="1">
      <c r="A3" s="2033" t="s">
        <v>1778</v>
      </c>
      <c r="B3" s="2034">
        <v>43202</v>
      </c>
      <c r="C3" s="2035" t="s">
        <v>1779</v>
      </c>
      <c r="D3" s="2034">
        <v>43202</v>
      </c>
      <c r="E3" s="2024"/>
      <c r="F3" s="2024"/>
      <c r="G3" s="2024"/>
      <c r="H3" s="2024"/>
      <c r="I3" s="2024"/>
      <c r="J3" s="2024"/>
      <c r="K3" s="2025"/>
      <c r="L3" s="2026"/>
      <c r="M3" s="2026"/>
      <c r="N3" s="2027"/>
      <c r="O3" s="2028"/>
      <c r="P3" s="2027"/>
      <c r="Q3" s="2027"/>
      <c r="R3" s="2027"/>
      <c r="S3" s="2029"/>
    </row>
    <row r="4" spans="1:19" ht="18" customHeight="1" thickBot="1">
      <c r="A4" s="2036" t="s">
        <v>1780</v>
      </c>
      <c r="B4" s="2037" t="s">
        <v>3040</v>
      </c>
      <c r="C4" s="1035">
        <f ca="1">SUMIF(注册房地产估价师,B4,估价师及机构信息!B3:B24)</f>
        <v>1120050019</v>
      </c>
      <c r="D4" s="2037" t="s">
        <v>3041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1781</v>
      </c>
      <c r="B5" s="2944" t="s">
        <v>3042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5"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45" t="s">
        <v>3049</v>
      </c>
      <c r="C7" s="2046"/>
      <c r="D7" s="2047"/>
      <c r="E7" s="2032"/>
      <c r="F7" s="2040"/>
      <c r="G7" s="2040"/>
      <c r="H7" s="2040"/>
      <c r="I7" s="2040"/>
      <c r="J7" s="2040"/>
      <c r="K7" s="2049"/>
      <c r="L7" s="2026"/>
      <c r="M7" s="2026"/>
      <c r="N7" s="2027"/>
      <c r="O7" s="2028"/>
      <c r="P7" s="2027"/>
      <c r="Q7" s="2027"/>
      <c r="R7" s="2027"/>
    </row>
    <row r="8" spans="1:19" ht="18" customHeight="1">
      <c r="A8" s="2045" t="s">
        <v>1784</v>
      </c>
      <c r="B8" s="2050" t="s">
        <v>3043</v>
      </c>
      <c r="C8" s="2051"/>
      <c r="D8" s="3132" t="s">
        <v>1785</v>
      </c>
      <c r="E8" s="2052" t="s">
        <v>3044</v>
      </c>
      <c r="F8" s="2053"/>
      <c r="G8" s="2024"/>
      <c r="H8" s="2024"/>
      <c r="I8" s="2024"/>
      <c r="J8" s="2040"/>
      <c r="K8" s="2041"/>
      <c r="L8" s="2026"/>
      <c r="M8" s="2026"/>
      <c r="N8" s="2027"/>
      <c r="O8" s="2028"/>
      <c r="P8" s="2027"/>
      <c r="Q8" s="2027"/>
      <c r="R8" s="2027"/>
    </row>
    <row r="9" spans="1:19" ht="18" customHeight="1" thickBot="1">
      <c r="A9" s="2038" t="s">
        <v>1786</v>
      </c>
      <c r="B9" s="2054" t="s">
        <v>3044</v>
      </c>
      <c r="C9" s="2055"/>
      <c r="D9" s="3133"/>
      <c r="E9" s="2054" t="s">
        <v>70</v>
      </c>
      <c r="F9" s="2056"/>
      <c r="G9" s="2057"/>
      <c r="H9" s="2057"/>
      <c r="I9" s="2057"/>
      <c r="J9" s="2040"/>
      <c r="K9" s="2049"/>
      <c r="L9" s="2026"/>
      <c r="M9" s="2026"/>
      <c r="N9" s="2027"/>
      <c r="O9" s="2028"/>
      <c r="P9" s="2027"/>
      <c r="Q9" s="2027"/>
      <c r="R9" s="2027"/>
    </row>
    <row r="10" spans="1:19" ht="18" customHeight="1" thickTop="1">
      <c r="A10" s="2058" t="s">
        <v>1787</v>
      </c>
      <c r="B10" s="2059" t="s">
        <v>3045</v>
      </c>
      <c r="C10" s="2946" t="s">
        <v>3046</v>
      </c>
      <c r="D10" s="2044"/>
      <c r="E10" s="2060" t="s">
        <v>1788</v>
      </c>
      <c r="F10" s="2947" t="s">
        <v>3047</v>
      </c>
      <c r="G10" s="2061"/>
      <c r="H10" s="2062"/>
      <c r="I10" s="2044"/>
      <c r="J10" s="2040"/>
      <c r="K10" s="2049"/>
      <c r="L10" s="2026"/>
      <c r="M10" s="2026"/>
      <c r="N10" s="2027"/>
      <c r="O10" s="2028"/>
      <c r="P10" s="2027"/>
      <c r="Q10" s="2027"/>
      <c r="R10" s="2027"/>
    </row>
    <row r="11" spans="1:19" ht="18" customHeight="1">
      <c r="A11" s="2063" t="s">
        <v>1789</v>
      </c>
      <c r="B11" s="2064" t="s">
        <v>3048</v>
      </c>
      <c r="C11" s="2948" t="s">
        <v>3049</v>
      </c>
      <c r="D11" s="2065"/>
      <c r="E11" s="2040"/>
      <c r="F11" s="2040"/>
      <c r="G11" s="2040"/>
      <c r="H11" s="2040"/>
      <c r="I11" s="2040"/>
      <c r="J11" s="2040"/>
      <c r="K11" s="2049"/>
      <c r="L11" s="2026"/>
      <c r="M11" s="2026"/>
      <c r="N11" s="2027"/>
      <c r="O11" s="2028"/>
      <c r="P11" s="2027"/>
      <c r="Q11" s="2027"/>
      <c r="R11" s="2027"/>
    </row>
    <row r="12" spans="1:19" ht="18" customHeight="1">
      <c r="A12" s="2066" t="s">
        <v>1790</v>
      </c>
      <c r="B12" s="2064" t="s">
        <v>3050</v>
      </c>
      <c r="C12" s="2067" t="s">
        <v>1791</v>
      </c>
      <c r="D12" s="2068" t="s">
        <v>1792</v>
      </c>
      <c r="E12" s="2068" t="s">
        <v>1793</v>
      </c>
      <c r="F12" s="2068" t="s">
        <v>1794</v>
      </c>
      <c r="G12" s="2068" t="s">
        <v>1795</v>
      </c>
      <c r="H12" s="2068" t="s">
        <v>1796</v>
      </c>
      <c r="I12" s="2068" t="s">
        <v>1797</v>
      </c>
      <c r="J12" s="2040"/>
      <c r="K12" s="2049"/>
      <c r="L12" s="2026"/>
      <c r="M12" s="2026"/>
      <c r="N12" s="2027"/>
      <c r="O12" s="2028"/>
      <c r="P12" s="2027"/>
      <c r="Q12" s="2027"/>
      <c r="R12" s="2027"/>
    </row>
    <row r="13" spans="1:19" ht="18" customHeight="1">
      <c r="A13" s="2069"/>
      <c r="B13" s="2070"/>
      <c r="C13" s="2071" t="s">
        <v>1798</v>
      </c>
      <c r="D13" s="2072"/>
      <c r="E13" s="2072">
        <v>54592</v>
      </c>
      <c r="F13" s="2072">
        <v>58244</v>
      </c>
      <c r="G13" s="2072"/>
      <c r="H13" s="2072"/>
      <c r="I13" s="1045"/>
      <c r="J13" s="2040"/>
      <c r="K13" s="2049"/>
      <c r="L13" s="2026"/>
      <c r="M13" s="2026"/>
      <c r="N13" s="2027"/>
      <c r="O13" s="2028"/>
      <c r="P13" s="2027"/>
      <c r="Q13" s="2027"/>
      <c r="R13" s="2027"/>
    </row>
    <row r="14" spans="1:19" ht="18" customHeight="1">
      <c r="A14" s="2069"/>
      <c r="B14" s="2070"/>
      <c r="C14" s="2071" t="s">
        <v>1799</v>
      </c>
      <c r="D14" s="1048"/>
      <c r="E14" s="1048">
        <v>40</v>
      </c>
      <c r="F14" s="1048">
        <v>50</v>
      </c>
      <c r="G14" s="1048"/>
      <c r="H14" s="1048"/>
      <c r="I14" s="1048"/>
      <c r="J14" s="2040"/>
      <c r="K14" s="2073"/>
      <c r="L14" s="2026"/>
      <c r="M14" s="2026"/>
      <c r="N14" s="2027"/>
      <c r="O14" s="2028"/>
      <c r="P14" s="2027"/>
      <c r="Q14" s="2027"/>
      <c r="R14" s="2027"/>
    </row>
    <row r="15" spans="1:19" ht="18" customHeight="1">
      <c r="A15" s="2058"/>
      <c r="B15" s="2074"/>
      <c r="C15" s="2071" t="s">
        <v>1800</v>
      </c>
      <c r="D15" s="1047" t="str">
        <f>IF(B12="出让",IF(D13="","",ROUNDDOWN(MIN((D13-$D$3)/365,D14),2)),D14)</f>
        <v/>
      </c>
      <c r="E15" s="1047">
        <f>IF(B12="出让",IF(E13="","",ROUNDDOWN(MIN((E13-$D$3)/365,E14),2)),E14)</f>
        <v>31.2</v>
      </c>
      <c r="F15" s="1047">
        <f>IF(B12="出让",IF(F13="","",ROUNDDOWN(MIN((F13-$D$3)/365,F14),2)),F14)</f>
        <v>41.21</v>
      </c>
      <c r="G15" s="1047" t="str">
        <f>IF(B12="出让",IF(G13="","",ROUNDDOWN(MIN((G13-$D$3)/365,G14),2)),G14)</f>
        <v/>
      </c>
      <c r="H15" s="1047" t="str">
        <f>IF(B12="出让",IF(H13="","",ROUNDDOWN(MIN((H13-$D$3)/365,H14),2)),H14)</f>
        <v/>
      </c>
      <c r="I15" s="1047" t="str">
        <f>IF(B12="出让",IF(I13="","",ROUNDDOWN(MIN((I13-$D$3)/365,I14),2)),I14)</f>
        <v/>
      </c>
      <c r="J15" s="2040"/>
      <c r="K15" s="2075"/>
      <c r="L15" s="2076"/>
      <c r="M15" s="2076"/>
      <c r="N15" s="2077"/>
      <c r="O15" s="2076"/>
      <c r="P15" s="2077"/>
      <c r="Q15" s="2027"/>
      <c r="R15" s="2027"/>
    </row>
    <row r="16" spans="1:19" ht="30.75" customHeight="1">
      <c r="A16" s="2060" t="s">
        <v>1801</v>
      </c>
      <c r="B16" s="3139"/>
      <c r="C16" s="3140"/>
      <c r="D16" s="3141"/>
      <c r="E16" s="2078" t="s">
        <v>1802</v>
      </c>
      <c r="F16" s="3142" t="s">
        <v>3051</v>
      </c>
      <c r="G16" s="3143"/>
      <c r="H16" s="3143"/>
      <c r="I16" s="3144"/>
      <c r="J16" s="2027"/>
      <c r="K16" s="2075"/>
      <c r="L16" s="2076"/>
      <c r="M16" s="2076"/>
      <c r="N16" s="2077"/>
      <c r="O16" s="2076"/>
      <c r="P16" s="2077"/>
      <c r="Q16" s="2027"/>
      <c r="R16" s="2027"/>
    </row>
    <row r="17" spans="1:22" ht="18" customHeight="1">
      <c r="A17" s="2079" t="s">
        <v>1803</v>
      </c>
      <c r="B17" s="2033" t="s">
        <v>1804</v>
      </c>
      <c r="C17" s="1052">
        <f>'数据-汇总表'!E3</f>
        <v>50691.57</v>
      </c>
      <c r="D17" s="2080" t="s">
        <v>1805</v>
      </c>
      <c r="E17" s="3145" t="s">
        <v>1806</v>
      </c>
      <c r="F17" s="3146"/>
      <c r="G17" s="3146"/>
      <c r="H17" s="3146"/>
      <c r="I17" s="3147"/>
      <c r="J17" s="2027"/>
      <c r="K17" s="2081"/>
      <c r="L17" s="2076"/>
      <c r="M17" s="2076"/>
      <c r="N17" s="2077"/>
      <c r="O17" s="2076"/>
      <c r="P17" s="2077"/>
      <c r="Q17" s="2027"/>
      <c r="R17" s="2027"/>
      <c r="S17" s="2027"/>
      <c r="T17" s="2027"/>
      <c r="U17" s="2027"/>
      <c r="V17" s="2027"/>
    </row>
    <row r="18" spans="1:22" ht="36" customHeight="1" thickBot="1">
      <c r="A18" s="2082" t="s">
        <v>1807</v>
      </c>
      <c r="B18" s="2036" t="s">
        <v>1808</v>
      </c>
      <c r="C18" s="1442">
        <f>'数据-汇总表'!D3</f>
        <v>7108.46</v>
      </c>
      <c r="D18" s="2083" t="s">
        <v>1805</v>
      </c>
      <c r="E18" s="3148" t="s">
        <v>1809</v>
      </c>
      <c r="F18" s="3149"/>
      <c r="G18" s="3149"/>
      <c r="H18" s="3149"/>
      <c r="I18" s="3150"/>
      <c r="J18" s="2027"/>
      <c r="K18" s="2081"/>
      <c r="L18" s="2076"/>
      <c r="M18" s="2076"/>
      <c r="N18" s="2077"/>
      <c r="O18" s="2076"/>
      <c r="P18" s="2077"/>
      <c r="Q18" s="2027"/>
      <c r="R18" s="2027"/>
      <c r="S18" s="2027"/>
      <c r="T18" s="2027"/>
      <c r="U18" s="2027"/>
      <c r="V18" s="2027"/>
    </row>
    <row r="19" spans="1:22" ht="37.5" customHeight="1" thickTop="1" thickBot="1">
      <c r="A19" s="371" t="s">
        <v>1810</v>
      </c>
      <c r="B19" s="350" t="s">
        <v>1811</v>
      </c>
      <c r="C19" s="2084"/>
      <c r="D19" s="2085" t="s">
        <v>1812</v>
      </c>
      <c r="E19" s="2086"/>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1813</v>
      </c>
      <c r="B20" s="3135" t="s">
        <v>1814</v>
      </c>
      <c r="C20" s="3136"/>
      <c r="D20" s="3137" t="s">
        <v>1815</v>
      </c>
      <c r="E20" s="3138"/>
      <c r="F20" s="2090" t="s">
        <v>1816</v>
      </c>
      <c r="G20" s="2040"/>
      <c r="H20" s="2040"/>
      <c r="I20" s="2040"/>
      <c r="J20" s="2040"/>
      <c r="K20" s="3134"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7"/>
      <c r="O20" s="2076"/>
      <c r="P20" s="2077"/>
      <c r="Q20" s="2027"/>
      <c r="R20" s="2027"/>
      <c r="S20" s="2027"/>
      <c r="T20" s="2027"/>
      <c r="U20" s="2027"/>
      <c r="V20" s="2027"/>
    </row>
    <row r="21" spans="1:22" ht="24.75" customHeight="1">
      <c r="A21" s="2089"/>
      <c r="B21" s="2091" t="s">
        <v>1818</v>
      </c>
      <c r="C21" s="2092" t="s">
        <v>1819</v>
      </c>
      <c r="D21" s="2093" t="s">
        <v>1820</v>
      </c>
      <c r="E21" s="2094" t="s">
        <v>1819</v>
      </c>
      <c r="F21" s="2095"/>
      <c r="G21" s="2040"/>
      <c r="H21" s="2040"/>
      <c r="I21" s="2040"/>
      <c r="J21" s="2040"/>
      <c r="K21" s="31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7"/>
      <c r="O21" s="2076"/>
      <c r="P21" s="2077"/>
      <c r="Q21" s="2027"/>
      <c r="R21" s="2027"/>
      <c r="S21" s="2027"/>
      <c r="T21" s="2027"/>
      <c r="U21" s="2027"/>
      <c r="V21" s="2027"/>
    </row>
    <row r="22" spans="1:22" ht="24.75" customHeight="1" thickBot="1">
      <c r="A22" s="2089"/>
      <c r="B22" s="2096" t="s">
        <v>1821</v>
      </c>
      <c r="C22" s="2092" t="s">
        <v>1822</v>
      </c>
      <c r="D22" s="2024"/>
      <c r="E22" s="2024"/>
      <c r="F22" s="2097"/>
      <c r="G22" s="2040"/>
      <c r="H22" s="2040"/>
      <c r="I22" s="2040"/>
      <c r="J22" s="2040"/>
      <c r="K22" s="31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1823</v>
      </c>
      <c r="B23" s="181" t="s">
        <v>1824</v>
      </c>
      <c r="C23" s="2099"/>
      <c r="D23" s="2100" t="s">
        <v>1824</v>
      </c>
      <c r="E23" s="2101"/>
      <c r="F23" s="2097"/>
      <c r="G23" s="2040"/>
      <c r="H23" s="2040"/>
      <c r="I23" s="2040"/>
      <c r="J23" s="2040"/>
      <c r="K23" s="2102"/>
      <c r="L23" s="746"/>
      <c r="M23" s="2026"/>
      <c r="N23" s="2077"/>
      <c r="O23" s="2076"/>
      <c r="P23" s="2077"/>
      <c r="Q23" s="2027"/>
      <c r="R23" s="2027"/>
      <c r="S23" s="2027"/>
      <c r="T23" s="2027"/>
      <c r="U23" s="2027"/>
      <c r="V23" s="2027"/>
    </row>
    <row r="24" spans="1:22" ht="18" customHeight="1">
      <c r="A24" s="2103"/>
      <c r="B24" s="181" t="s">
        <v>1825</v>
      </c>
      <c r="C24" s="2104"/>
      <c r="D24" s="2098" t="s">
        <v>1825</v>
      </c>
      <c r="E24" s="2105"/>
      <c r="F24" s="2097"/>
      <c r="G24" s="2040"/>
      <c r="H24" s="2040"/>
      <c r="I24" s="2040"/>
      <c r="J24" s="2040"/>
      <c r="K24" s="2102"/>
      <c r="L24" s="746"/>
      <c r="M24" s="2026"/>
      <c r="N24" s="2077"/>
      <c r="O24" s="2076"/>
      <c r="P24" s="2077"/>
      <c r="Q24" s="2027"/>
      <c r="R24" s="2027"/>
      <c r="S24" s="2027"/>
      <c r="T24" s="2027"/>
      <c r="U24" s="2027"/>
      <c r="V24" s="2027"/>
    </row>
    <row r="25" spans="1:22" ht="18" customHeight="1">
      <c r="A25" s="2103"/>
      <c r="B25" s="181" t="s">
        <v>1826</v>
      </c>
      <c r="C25" s="2104"/>
      <c r="D25" s="2098" t="s">
        <v>1826</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1827</v>
      </c>
      <c r="C26" s="2108"/>
      <c r="D26" s="2109" t="s">
        <v>1828</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152" t="s">
        <v>1829</v>
      </c>
      <c r="B27" s="2058" t="s">
        <v>1830</v>
      </c>
      <c r="C27" s="2112"/>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152"/>
      <c r="B28" s="2033" t="s">
        <v>1831</v>
      </c>
      <c r="C28" s="2114"/>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152"/>
      <c r="B29" s="2033" t="s">
        <v>1832</v>
      </c>
      <c r="C29" s="2117"/>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153"/>
      <c r="B30" s="2033" t="s">
        <v>1833</v>
      </c>
      <c r="C30" s="3154"/>
      <c r="D30" s="3155"/>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156" t="s">
        <v>1834</v>
      </c>
      <c r="B31" s="2119"/>
      <c r="C31" s="2120" t="str">
        <f>IF(B31="现房","成新及维护状况正常否",IF(B31="在建","工程状态是否正常",IF(B31="土地","是否闲置","-")))</f>
        <v>-</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157"/>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157"/>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1835</v>
      </c>
      <c r="B34" s="2126"/>
      <c r="C34" s="2126"/>
      <c r="D34" s="2126"/>
      <c r="E34" s="2126"/>
      <c r="F34" s="2126"/>
      <c r="G34" s="2126"/>
      <c r="H34" s="2126"/>
      <c r="I34" s="2040"/>
      <c r="J34" s="2040"/>
      <c r="K34" s="1793">
        <f>COUNTIF(B34:H34,"——")</f>
        <v>0</v>
      </c>
      <c r="L34" s="2067" t="s">
        <v>1836</v>
      </c>
      <c r="M34" s="2067" t="s">
        <v>1837</v>
      </c>
      <c r="N34" s="2067" t="s">
        <v>1838</v>
      </c>
      <c r="O34" s="2067" t="s">
        <v>1839</v>
      </c>
      <c r="P34" s="2067" t="s">
        <v>1840</v>
      </c>
      <c r="Q34" s="2067" t="s">
        <v>1841</v>
      </c>
      <c r="R34" s="2067" t="s">
        <v>1842</v>
      </c>
      <c r="S34" s="3151" t="s">
        <v>1843</v>
      </c>
      <c r="T34" s="2127" t="str">
        <f>NUMBERSTRING(7-K34,1)&amp;"通"</f>
        <v>七通</v>
      </c>
      <c r="U34" s="2027"/>
      <c r="V34" s="2027"/>
    </row>
    <row r="35" spans="1:22" ht="18" customHeight="1">
      <c r="A35" s="2128"/>
      <c r="B35" s="3158" t="s">
        <v>1844</v>
      </c>
      <c r="C35" s="3158"/>
      <c r="D35" s="3158"/>
      <c r="E35" s="3158"/>
      <c r="F35" s="2129" t="str">
        <f>C10</f>
        <v>深圳市</v>
      </c>
      <c r="G35" s="2040"/>
      <c r="H35" s="2040"/>
      <c r="I35" s="2040"/>
      <c r="J35" s="2040"/>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51"/>
      <c r="T35" s="48" t="str">
        <f>IF(T34="一通",L35,IF(T34="二通",M35,IF(T34="三通",N35,IF(T34="四通",O35,IF(T34="五通",P35,IF(T34="六通",Q35,R35))))))</f>
        <v>、、、、、、</v>
      </c>
      <c r="U35" s="2027"/>
      <c r="V35" s="2027"/>
    </row>
    <row r="36" spans="1:22" ht="18" customHeight="1">
      <c r="A36" s="2130"/>
      <c r="B36" s="2129" t="s">
        <v>1845</v>
      </c>
      <c r="C36" s="2129" t="s">
        <v>1846</v>
      </c>
      <c r="D36" s="2129" t="s">
        <v>1847</v>
      </c>
      <c r="E36" s="2129" t="s">
        <v>1848</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1849</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1850</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4"/>
      <c r="L40" s="2076"/>
      <c r="M40" s="2076"/>
      <c r="N40" s="2077"/>
      <c r="O40" s="2076"/>
      <c r="P40" s="2027"/>
      <c r="Q40" s="2027"/>
      <c r="R40" s="2027"/>
      <c r="S40" s="2027"/>
      <c r="T40" s="2027"/>
      <c r="U40" s="2027"/>
      <c r="V40" s="2027"/>
    </row>
    <row r="41" spans="1:22" ht="18" customHeight="1">
      <c r="A41" s="8" t="s">
        <v>1852</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1853</v>
      </c>
      <c r="B42" s="1793" t="s">
        <v>1854</v>
      </c>
      <c r="C42" s="1793" t="s">
        <v>1855</v>
      </c>
      <c r="D42" s="1793" t="s">
        <v>1856</v>
      </c>
      <c r="E42" s="1793" t="s">
        <v>1857</v>
      </c>
      <c r="F42" s="1793" t="s">
        <v>1858</v>
      </c>
      <c r="G42" s="1793" t="s">
        <v>1859</v>
      </c>
      <c r="H42" s="1793" t="s">
        <v>1860</v>
      </c>
      <c r="I42" s="1793" t="s">
        <v>1861</v>
      </c>
      <c r="J42" s="2145" t="s">
        <v>1862</v>
      </c>
      <c r="K42" s="2068" t="s">
        <v>1863</v>
      </c>
      <c r="L42" s="2068" t="s">
        <v>1864</v>
      </c>
      <c r="M42" s="2068" t="s">
        <v>1865</v>
      </c>
      <c r="N42" s="1793" t="s">
        <v>1866</v>
      </c>
      <c r="O42" s="1793" t="s">
        <v>1867</v>
      </c>
      <c r="P42" s="1793" t="s">
        <v>1868</v>
      </c>
      <c r="Q42" s="2067" t="s">
        <v>1869</v>
      </c>
      <c r="R42" s="2067" t="s">
        <v>1870</v>
      </c>
      <c r="S42" s="2027"/>
      <c r="T42" s="2027"/>
      <c r="U42" s="2027"/>
      <c r="V42" s="2027"/>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A27:K28"/>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0" width="10.75" style="2152" customWidth="1"/>
    <col min="21"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3" width="9.5" style="2152" hidden="1" customWidth="1"/>
    <col min="34" max="35" width="9.5" style="2152" customWidth="1"/>
    <col min="36" max="37" width="9.5" style="2152" hidden="1" customWidth="1"/>
    <col min="38"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1876</v>
      </c>
      <c r="AZ2" s="1268"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21011.77</v>
      </c>
      <c r="B3" s="14">
        <f>IF(C3="否",G5-AT5,G5)</f>
        <v>149838.25</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1"/>
      <c r="C5" s="1801"/>
      <c r="D5" s="1804"/>
      <c r="E5" s="16" t="s">
        <v>1</v>
      </c>
      <c r="F5" s="16">
        <f>SUM(F13:F587)</f>
        <v>0</v>
      </c>
      <c r="G5" s="16">
        <f>SUM(G13:G587)</f>
        <v>149838.25</v>
      </c>
      <c r="H5" s="16">
        <f t="shared" ref="H5:AT5" si="0">SUM(H13:H656)</f>
        <v>141992.47</v>
      </c>
      <c r="I5" s="16">
        <f t="shared" si="0"/>
        <v>38591</v>
      </c>
      <c r="J5" s="16">
        <f t="shared" si="0"/>
        <v>0</v>
      </c>
      <c r="K5" s="16">
        <f t="shared" si="0"/>
        <v>3500</v>
      </c>
      <c r="L5" s="16">
        <f t="shared" si="0"/>
        <v>0</v>
      </c>
      <c r="M5" s="16">
        <f t="shared" si="0"/>
        <v>8000</v>
      </c>
      <c r="N5" s="16">
        <f t="shared" si="0"/>
        <v>0</v>
      </c>
      <c r="O5" s="16">
        <f t="shared" si="0"/>
        <v>11465.38</v>
      </c>
      <c r="P5" s="16">
        <f t="shared" si="0"/>
        <v>0</v>
      </c>
      <c r="Q5" s="16">
        <f t="shared" si="0"/>
        <v>51298.54</v>
      </c>
      <c r="R5" s="16">
        <f t="shared" si="0"/>
        <v>0</v>
      </c>
      <c r="S5" s="16">
        <f t="shared" si="0"/>
        <v>29137.55</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7845.7799999999988</v>
      </c>
      <c r="AD5" s="16">
        <f t="shared" si="0"/>
        <v>0</v>
      </c>
      <c r="AE5" s="16">
        <f t="shared" si="0"/>
        <v>0</v>
      </c>
      <c r="AF5" s="16">
        <f t="shared" si="0"/>
        <v>0</v>
      </c>
      <c r="AG5" s="16">
        <f t="shared" si="0"/>
        <v>0</v>
      </c>
      <c r="AH5" s="16">
        <f t="shared" si="0"/>
        <v>300.77999999999997</v>
      </c>
      <c r="AI5" s="16">
        <f t="shared" si="0"/>
        <v>0</v>
      </c>
      <c r="AJ5" s="16">
        <f t="shared" si="0"/>
        <v>0</v>
      </c>
      <c r="AK5" s="16">
        <f t="shared" si="0"/>
        <v>0</v>
      </c>
      <c r="AL5" s="16">
        <f t="shared" si="0"/>
        <v>2551.35</v>
      </c>
      <c r="AM5" s="16">
        <f t="shared" si="0"/>
        <v>0</v>
      </c>
      <c r="AN5" s="16">
        <f t="shared" si="0"/>
        <v>4993.6499999999996</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50691.57</v>
      </c>
      <c r="BA5" s="18">
        <f t="shared" si="1"/>
        <v>50091</v>
      </c>
      <c r="BB5" s="18">
        <f t="shared" si="1"/>
        <v>38591</v>
      </c>
      <c r="BC5" s="18">
        <f t="shared" si="1"/>
        <v>3500</v>
      </c>
      <c r="BD5" s="18">
        <f t="shared" si="1"/>
        <v>8000</v>
      </c>
      <c r="BE5" s="18">
        <f t="shared" si="1"/>
        <v>0</v>
      </c>
      <c r="BF5" s="18">
        <f t="shared" si="1"/>
        <v>0</v>
      </c>
      <c r="BG5" s="18">
        <f t="shared" si="1"/>
        <v>0</v>
      </c>
      <c r="BH5" s="18">
        <f t="shared" si="1"/>
        <v>0</v>
      </c>
      <c r="BI5" s="18">
        <f t="shared" si="1"/>
        <v>0</v>
      </c>
      <c r="BJ5" s="18">
        <f t="shared" si="1"/>
        <v>0</v>
      </c>
      <c r="BK5" s="18">
        <f t="shared" si="1"/>
        <v>0</v>
      </c>
      <c r="BL5" s="18">
        <f t="shared" si="1"/>
        <v>600.57000000000005</v>
      </c>
      <c r="BM5" s="18">
        <f t="shared" si="1"/>
        <v>0</v>
      </c>
      <c r="BN5" s="18">
        <f t="shared" si="1"/>
        <v>0</v>
      </c>
      <c r="BO5" s="18">
        <f t="shared" si="1"/>
        <v>0</v>
      </c>
      <c r="BP5" s="18">
        <f t="shared" si="1"/>
        <v>0</v>
      </c>
      <c r="BQ5" s="18">
        <f t="shared" si="1"/>
        <v>600.57000000000005</v>
      </c>
      <c r="BR5" s="18">
        <f t="shared" si="1"/>
        <v>0</v>
      </c>
      <c r="BS5" s="18">
        <f t="shared" si="1"/>
        <v>0</v>
      </c>
      <c r="BT5" s="19">
        <f t="shared" si="1"/>
        <v>0</v>
      </c>
    </row>
    <row r="6" spans="1:72" s="2170" customFormat="1" ht="12.75">
      <c r="A6" s="15" t="s">
        <v>1881</v>
      </c>
      <c r="B6" s="2167"/>
      <c r="C6" s="2167"/>
      <c r="D6" s="2168"/>
      <c r="E6" s="16">
        <f>H6+AC6+AT6</f>
        <v>21011.77</v>
      </c>
      <c r="F6" s="16" t="s">
        <v>1</v>
      </c>
      <c r="G6" s="16" t="s">
        <v>2</v>
      </c>
      <c r="H6" s="20">
        <f>SUMIF(I$12:AB$12,"总值",I6:AB6)</f>
        <v>19911.560000000001</v>
      </c>
      <c r="I6" s="16">
        <f t="shared" ref="I6:AB6" si="2">ROUND($A$3*I5/$B$3,2)</f>
        <v>5411.6</v>
      </c>
      <c r="J6" s="16">
        <f t="shared" si="2"/>
        <v>0</v>
      </c>
      <c r="K6" s="16">
        <f t="shared" si="2"/>
        <v>490.8</v>
      </c>
      <c r="L6" s="16">
        <f t="shared" si="2"/>
        <v>0</v>
      </c>
      <c r="M6" s="16">
        <f t="shared" si="2"/>
        <v>1121.8399999999999</v>
      </c>
      <c r="N6" s="16">
        <f t="shared" si="2"/>
        <v>0</v>
      </c>
      <c r="O6" s="16">
        <f t="shared" si="2"/>
        <v>1607.79</v>
      </c>
      <c r="P6" s="16">
        <f t="shared" si="2"/>
        <v>0</v>
      </c>
      <c r="Q6" s="16">
        <f t="shared" si="2"/>
        <v>7193.58</v>
      </c>
      <c r="R6" s="16">
        <f t="shared" si="2"/>
        <v>0</v>
      </c>
      <c r="S6" s="16">
        <f t="shared" si="2"/>
        <v>4085.95</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1100.21</v>
      </c>
      <c r="AD6" s="16">
        <f t="shared" ref="AD6:AS6" si="3">ROUND($A$3*AD5/$B$3,2)</f>
        <v>0</v>
      </c>
      <c r="AE6" s="16">
        <f t="shared" si="3"/>
        <v>0</v>
      </c>
      <c r="AF6" s="16">
        <f t="shared" si="3"/>
        <v>0</v>
      </c>
      <c r="AG6" s="16">
        <f t="shared" si="3"/>
        <v>0</v>
      </c>
      <c r="AH6" s="16">
        <f t="shared" si="3"/>
        <v>42.18</v>
      </c>
      <c r="AI6" s="16">
        <f t="shared" si="3"/>
        <v>0</v>
      </c>
      <c r="AJ6" s="16">
        <f t="shared" si="3"/>
        <v>0</v>
      </c>
      <c r="AK6" s="16">
        <f t="shared" si="3"/>
        <v>0</v>
      </c>
      <c r="AL6" s="16">
        <f t="shared" si="3"/>
        <v>357.77</v>
      </c>
      <c r="AM6" s="16">
        <f t="shared" si="3"/>
        <v>0</v>
      </c>
      <c r="AN6" s="16">
        <f t="shared" si="3"/>
        <v>700.26</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7108.46</v>
      </c>
      <c r="AZ6" s="16" t="s">
        <v>3</v>
      </c>
      <c r="BA6" s="16">
        <f>ROUND($AY$6*BA5/$AZ$5,2)</f>
        <v>7024.24</v>
      </c>
      <c r="BB6" s="16">
        <f>ROUND($AY$6*BB5/$AZ$5,2)</f>
        <v>5411.6</v>
      </c>
      <c r="BC6" s="16">
        <f t="shared" ref="BC6:BH6" si="4">ROUND($AY$6*BC5/$AZ$5,2)</f>
        <v>490.8</v>
      </c>
      <c r="BD6" s="16">
        <f t="shared" si="4"/>
        <v>1121.8399999999999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84.22</v>
      </c>
      <c r="BM6" s="16">
        <f t="shared" si="5"/>
        <v>0</v>
      </c>
      <c r="BN6" s="16">
        <f t="shared" si="5"/>
        <v>0</v>
      </c>
      <c r="BO6" s="16">
        <f t="shared" si="5"/>
        <v>0</v>
      </c>
      <c r="BP6" s="16">
        <f t="shared" si="5"/>
        <v>0</v>
      </c>
      <c r="BQ6" s="16">
        <f t="shared" si="5"/>
        <v>84.22</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1889</v>
      </c>
      <c r="AV7" s="23" t="s">
        <v>1890</v>
      </c>
      <c r="AW7" s="2159" t="s">
        <v>1891</v>
      </c>
      <c r="AX7" s="23" t="s">
        <v>1884</v>
      </c>
      <c r="AY7" s="1801"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6"/>
      <c r="K8" s="1816"/>
      <c r="L8" s="1816"/>
      <c r="M8" s="1816"/>
      <c r="N8" s="1816"/>
      <c r="O8" s="1816"/>
      <c r="P8" s="1816"/>
      <c r="Q8" s="1816"/>
      <c r="R8" s="1816"/>
      <c r="S8" s="1816"/>
      <c r="T8" s="1816"/>
      <c r="U8" s="1816"/>
      <c r="V8" s="2179"/>
      <c r="W8" s="1816"/>
      <c r="X8" s="1816"/>
      <c r="Y8" s="1816"/>
      <c r="Z8" s="1816"/>
      <c r="AA8" s="2179"/>
      <c r="AB8" s="2180"/>
      <c r="AC8" s="979" t="s">
        <v>1895</v>
      </c>
      <c r="AD8" s="2181"/>
      <c r="AE8" s="2173"/>
      <c r="AF8" s="1816"/>
      <c r="AG8" s="1816"/>
      <c r="AH8" s="1816"/>
      <c r="AI8" s="1816"/>
      <c r="AJ8" s="1816"/>
      <c r="AK8" s="1816"/>
      <c r="AL8" s="1816"/>
      <c r="AM8" s="1816"/>
      <c r="AN8" s="1816"/>
      <c r="AO8" s="1816"/>
      <c r="AP8" s="1816"/>
      <c r="AQ8" s="1816"/>
      <c r="AR8" s="1816"/>
      <c r="AS8" s="1816"/>
      <c r="AT8" s="1290" t="s">
        <v>1896</v>
      </c>
      <c r="AU8" s="2175" t="s">
        <v>1897</v>
      </c>
      <c r="AV8" s="1290"/>
      <c r="AW8" s="2158"/>
      <c r="AX8" s="1290"/>
      <c r="AY8" s="2159"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1900</v>
      </c>
      <c r="I9" s="2184" t="s">
        <v>3171</v>
      </c>
      <c r="J9" s="979"/>
      <c r="K9" s="2184" t="s">
        <v>3171</v>
      </c>
      <c r="L9" s="979"/>
      <c r="M9" s="2184" t="s">
        <v>3171</v>
      </c>
      <c r="N9" s="979"/>
      <c r="O9" s="2184" t="s">
        <v>3171</v>
      </c>
      <c r="P9" s="979"/>
      <c r="Q9" s="2184" t="s">
        <v>3171</v>
      </c>
      <c r="R9" s="979"/>
      <c r="S9" s="2184" t="s">
        <v>3172</v>
      </c>
      <c r="T9" s="979"/>
      <c r="U9" s="2184"/>
      <c r="V9" s="979"/>
      <c r="W9" s="2184"/>
      <c r="X9" s="2185"/>
      <c r="Y9" s="2184"/>
      <c r="Z9" s="979"/>
      <c r="AA9" s="2184"/>
      <c r="AB9" s="979"/>
      <c r="AC9" s="2176"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6"/>
      <c r="AT9" s="2175"/>
      <c r="AU9" s="2175" t="s">
        <v>1903</v>
      </c>
      <c r="AV9" s="1290"/>
      <c r="AW9" s="2158"/>
      <c r="AX9" s="1290"/>
      <c r="AY9" s="28"/>
      <c r="AZ9" s="28" t="s">
        <v>1893</v>
      </c>
      <c r="BA9" s="2187" t="s">
        <v>1904</v>
      </c>
      <c r="BB9" s="2188"/>
      <c r="BC9" s="1336"/>
      <c r="BD9" s="1336"/>
      <c r="BE9" s="1336"/>
      <c r="BF9" s="1336"/>
      <c r="BG9" s="1336"/>
      <c r="BH9" s="1336"/>
      <c r="BI9" s="1336"/>
      <c r="BJ9" s="1336"/>
      <c r="BK9" s="2189"/>
      <c r="BL9" s="15" t="s">
        <v>1905</v>
      </c>
      <c r="BM9" s="1816"/>
      <c r="BN9" s="2178"/>
      <c r="BO9" s="1816"/>
      <c r="BP9" s="1816"/>
      <c r="BQ9" s="1816"/>
      <c r="BR9" s="1816"/>
      <c r="BS9" s="1816"/>
      <c r="BT9" s="26"/>
    </row>
    <row r="10" spans="1:72" s="2182" customFormat="1" ht="12.75">
      <c r="A10" s="2175"/>
      <c r="B10" s="2175"/>
      <c r="C10" s="2175"/>
      <c r="D10" s="2175"/>
      <c r="E10" s="2175"/>
      <c r="F10" s="2175"/>
      <c r="G10" s="1290"/>
      <c r="H10" s="28"/>
      <c r="I10" s="2184" t="s">
        <v>3173</v>
      </c>
      <c r="J10" s="979"/>
      <c r="K10" s="2190" t="s">
        <v>1377</v>
      </c>
      <c r="L10" s="979"/>
      <c r="M10" s="2190" t="s">
        <v>1377</v>
      </c>
      <c r="N10" s="979"/>
      <c r="O10" s="2190" t="s">
        <v>3173</v>
      </c>
      <c r="P10" s="979"/>
      <c r="Q10" s="2190" t="s">
        <v>1377</v>
      </c>
      <c r="R10" s="979"/>
      <c r="S10" s="2190" t="s">
        <v>3178</v>
      </c>
      <c r="T10" s="979"/>
      <c r="U10" s="2190"/>
      <c r="V10" s="979"/>
      <c r="W10" s="2190"/>
      <c r="X10" s="979"/>
      <c r="Y10" s="2190"/>
      <c r="Z10" s="979"/>
      <c r="AA10" s="2190"/>
      <c r="AB10" s="979"/>
      <c r="AC10" s="1290"/>
      <c r="AD10" s="15" t="s">
        <v>1906</v>
      </c>
      <c r="AE10" s="2191"/>
      <c r="AF10" s="15" t="s">
        <v>1906</v>
      </c>
      <c r="AG10" s="2191"/>
      <c r="AH10" s="15" t="s">
        <v>1907</v>
      </c>
      <c r="AI10" s="2191"/>
      <c r="AJ10" s="15" t="s">
        <v>1907</v>
      </c>
      <c r="AK10" s="2191"/>
      <c r="AL10" s="15" t="s">
        <v>1908</v>
      </c>
      <c r="AM10" s="1296"/>
      <c r="AN10" s="15" t="s">
        <v>1908</v>
      </c>
      <c r="AO10" s="1296"/>
      <c r="AP10" s="15" t="s">
        <v>1909</v>
      </c>
      <c r="AQ10" s="1296"/>
      <c r="AR10" s="15" t="s">
        <v>1909</v>
      </c>
      <c r="AS10" s="1296"/>
      <c r="AT10" s="2175"/>
      <c r="AU10" s="2175"/>
      <c r="AV10" s="1290"/>
      <c r="AW10" s="2158"/>
      <c r="AX10" s="1290"/>
      <c r="AY10" s="28"/>
      <c r="AZ10" s="28"/>
      <c r="BA10" s="2192" t="s">
        <v>1900</v>
      </c>
      <c r="BB10" s="2193" t="str">
        <f>I9</f>
        <v>地上</v>
      </c>
      <c r="BC10" s="29" t="str">
        <f>K9</f>
        <v>地上</v>
      </c>
      <c r="BD10" s="29" t="str">
        <f>M9</f>
        <v>地上</v>
      </c>
      <c r="BE10" s="29" t="str">
        <f>O9</f>
        <v>地上</v>
      </c>
      <c r="BF10" s="29" t="str">
        <f>Q9</f>
        <v>地上</v>
      </c>
      <c r="BG10" s="29" t="str">
        <f>S9</f>
        <v>地下</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3174</v>
      </c>
      <c r="J11" s="2196"/>
      <c r="K11" s="2195" t="s">
        <v>3175</v>
      </c>
      <c r="L11" s="2196"/>
      <c r="M11" s="2195" t="s">
        <v>3167</v>
      </c>
      <c r="N11" s="2196"/>
      <c r="O11" s="2195" t="s">
        <v>3174</v>
      </c>
      <c r="P11" s="2196"/>
      <c r="Q11" s="2195" t="s">
        <v>3176</v>
      </c>
      <c r="R11" s="2196"/>
      <c r="S11" s="2195" t="s">
        <v>3178</v>
      </c>
      <c r="T11" s="2196"/>
      <c r="U11" s="2195"/>
      <c r="V11" s="2196"/>
      <c r="W11" s="2195"/>
      <c r="X11" s="2196"/>
      <c r="Y11" s="2195"/>
      <c r="Z11" s="2196"/>
      <c r="AA11" s="2195"/>
      <c r="AB11" s="2196"/>
      <c r="AC11" s="1290"/>
      <c r="AD11" s="2197" t="s">
        <v>1910</v>
      </c>
      <c r="AE11" s="1817"/>
      <c r="AF11" s="2197" t="s">
        <v>1910</v>
      </c>
      <c r="AG11" s="1817"/>
      <c r="AH11" s="2197" t="s">
        <v>1911</v>
      </c>
      <c r="AI11" s="2198"/>
      <c r="AJ11" s="2197" t="s">
        <v>1911</v>
      </c>
      <c r="AK11" s="1817"/>
      <c r="AL11" s="1815"/>
      <c r="AM11" s="1817"/>
      <c r="AN11" s="1815"/>
      <c r="AO11" s="1817"/>
      <c r="AP11" s="1815"/>
      <c r="AQ11" s="1817"/>
      <c r="AR11" s="1815"/>
      <c r="AS11" s="1817"/>
      <c r="AT11" s="2158"/>
      <c r="AU11" s="2175"/>
      <c r="AV11" s="1290"/>
      <c r="AW11" s="2158"/>
      <c r="AX11" s="1290"/>
      <c r="AY11" s="28"/>
      <c r="AZ11" s="28"/>
      <c r="BA11" s="28"/>
      <c r="BB11" s="2180" t="str">
        <f>I10</f>
        <v>住宅</v>
      </c>
      <c r="BC11" s="2180" t="str">
        <f>K10</f>
        <v>商业</v>
      </c>
      <c r="BD11" s="2180" t="str">
        <f>M10</f>
        <v>商业</v>
      </c>
      <c r="BE11" s="2180" t="str">
        <f>O10</f>
        <v>住宅</v>
      </c>
      <c r="BF11" s="2180" t="str">
        <f>Q10</f>
        <v>商业</v>
      </c>
      <c r="BG11" s="2180" t="str">
        <f>S10</f>
        <v>车库</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2"/>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公寓</v>
      </c>
      <c r="BC12" s="2205" t="str">
        <f>K11</f>
        <v>底商</v>
      </c>
      <c r="BD12" s="2205" t="str">
        <f>M11</f>
        <v>酒店</v>
      </c>
      <c r="BE12" s="2180" t="str">
        <f>O11</f>
        <v>公寓</v>
      </c>
      <c r="BF12" s="2180" t="str">
        <f>Q11</f>
        <v>办公楼</v>
      </c>
      <c r="BG12" s="2180" t="str">
        <f>S11</f>
        <v>车库</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1270" t="s">
        <v>3164</v>
      </c>
      <c r="D13" s="2206" t="s">
        <v>3179</v>
      </c>
      <c r="E13" s="16">
        <f>IF($C$3="是",ROUND($A$3*G13/$B$3,2),ROUND($A$3*(G13-AT13)/$B$3,2))</f>
        <v>5495.82</v>
      </c>
      <c r="F13" s="32"/>
      <c r="G13" s="33">
        <f>H13+AC13+AT13</f>
        <v>39191.57</v>
      </c>
      <c r="H13" s="20">
        <f>SUMIF(I$12:AB$12,"总值",I13:AB13)</f>
        <v>38591</v>
      </c>
      <c r="I13" s="2207">
        <v>38591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600.57000000000005</v>
      </c>
      <c r="AD13" s="2208"/>
      <c r="AE13" s="2208"/>
      <c r="AF13" s="2208"/>
      <c r="AG13" s="2208"/>
      <c r="AH13" s="2208"/>
      <c r="AI13" s="2208"/>
      <c r="AJ13" s="2208"/>
      <c r="AK13" s="2208"/>
      <c r="AL13" s="2208">
        <v>600.57000000000005</v>
      </c>
      <c r="AM13" s="2208"/>
      <c r="AN13" s="2208"/>
      <c r="AO13" s="2208"/>
      <c r="AP13" s="2208"/>
      <c r="AQ13" s="2208"/>
      <c r="AR13" s="2208"/>
      <c r="AS13" s="2208"/>
      <c r="AT13" s="2209"/>
      <c r="AU13" s="2210"/>
      <c r="AV13" s="11">
        <f t="shared" ref="AV13:AX17" si="6">A13</f>
        <v>0</v>
      </c>
      <c r="AW13" s="11">
        <f t="shared" si="6"/>
        <v>0</v>
      </c>
      <c r="AX13" s="11" t="str">
        <f t="shared" si="6"/>
        <v>A1公寓</v>
      </c>
      <c r="AY13" s="1804">
        <f>ROUND($AY$6*AZ13/$AZ$5,2)</f>
        <v>5495.82</v>
      </c>
      <c r="AZ13" s="16">
        <f>BA13+BL13</f>
        <v>39191.57</v>
      </c>
      <c r="BA13" s="16">
        <f>SUM(BB13:BK13)</f>
        <v>38591</v>
      </c>
      <c r="BB13" s="16">
        <f>IF($D13="是",I13-J13,0)</f>
        <v>38591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600.57000000000005</v>
      </c>
      <c r="BM13" s="16">
        <f>IF($D13="是",AD13-AE13,0)</f>
        <v>0</v>
      </c>
      <c r="BN13" s="16">
        <f>IF($D13="是",AF13-AG13,0)</f>
        <v>0</v>
      </c>
      <c r="BO13" s="16">
        <f>IF($D13="是",AH13-AI13,0)</f>
        <v>0</v>
      </c>
      <c r="BP13" s="16">
        <f>IF($D13="是",AJ13-AK13,0)</f>
        <v>0</v>
      </c>
      <c r="BQ13" s="16">
        <f>IF($D13="是",AL13-AM13,0)</f>
        <v>600.57000000000005</v>
      </c>
      <c r="BR13" s="16">
        <f>IF($D13="是",AN13-AO13,0)</f>
        <v>0</v>
      </c>
      <c r="BS13" s="16">
        <f>IF($D13="是",AP13-AQ13,0)</f>
        <v>0</v>
      </c>
      <c r="BT13" s="22">
        <f>IF($D13="是",AR13-AS13,0)</f>
        <v>0</v>
      </c>
    </row>
    <row r="14" spans="1:72" s="2160" customFormat="1" ht="12.75">
      <c r="A14" s="1270"/>
      <c r="B14" s="1270"/>
      <c r="C14" s="3018" t="s">
        <v>3166</v>
      </c>
      <c r="D14" s="2206" t="s">
        <v>3179</v>
      </c>
      <c r="E14" s="16">
        <f>IF($C$3="是",ROUND($A$3*G14/$B$3,2),ROUND($A$3*(G14-AT14)/$B$3,2))</f>
        <v>490.8</v>
      </c>
      <c r="F14" s="32"/>
      <c r="G14" s="33">
        <f>H14+AC14+AT14</f>
        <v>3500</v>
      </c>
      <c r="H14" s="20">
        <f>SUMIF(I$12:AB$12,"总值",I14:AB14)</f>
        <v>3500</v>
      </c>
      <c r="I14" s="2207"/>
      <c r="J14" s="2207"/>
      <c r="K14" s="2207">
        <v>3500</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配套商业</v>
      </c>
      <c r="AY14" s="1804">
        <f>ROUND($AY$6*AZ14/$AZ$5,2)</f>
        <v>490.8</v>
      </c>
      <c r="AZ14" s="16">
        <f>BA14+BL14</f>
        <v>3500</v>
      </c>
      <c r="BA14" s="16">
        <f>SUM(BB14:BK14)</f>
        <v>3500</v>
      </c>
      <c r="BB14" s="16">
        <f>IF($D14="是",I14-J14,0)</f>
        <v>0</v>
      </c>
      <c r="BC14" s="16">
        <f>IF($D14="是",K14-L14,0)</f>
        <v>3500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3018" t="s">
        <v>3168</v>
      </c>
      <c r="D15" s="2206" t="s">
        <v>3179</v>
      </c>
      <c r="E15" s="16">
        <f>IF($C$3="是",ROUND($A$3*G15/$B$3,2),ROUND($A$3*(G15-AT15)/$B$3,2))</f>
        <v>1121.8399999999999</v>
      </c>
      <c r="F15" s="32"/>
      <c r="G15" s="33">
        <f>H15+AC15+AT15</f>
        <v>8000</v>
      </c>
      <c r="H15" s="20">
        <f>SUMIF(I$12:AB$12,"总值",I15:AB15)</f>
        <v>8000</v>
      </c>
      <c r="I15" s="2207"/>
      <c r="J15" s="2207"/>
      <c r="K15" s="2207"/>
      <c r="L15" s="2207"/>
      <c r="M15" s="2207">
        <v>8000</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酒店</v>
      </c>
      <c r="AY15" s="1804">
        <f>ROUND($AY$6*AZ15/$AZ$5,2)</f>
        <v>1121.8399999999999</v>
      </c>
      <c r="AZ15" s="16">
        <f>BA15+BL15</f>
        <v>8000</v>
      </c>
      <c r="BA15" s="16">
        <f>SUM(BB15:BK15)</f>
        <v>8000</v>
      </c>
      <c r="BB15" s="16">
        <f>IF($D15="是",I15-J15,0)</f>
        <v>0</v>
      </c>
      <c r="BC15" s="16">
        <f>IF($D15="是",K15-L15,0)</f>
        <v>0</v>
      </c>
      <c r="BD15" s="16">
        <f>IF($D15="是",M15-N15,0)</f>
        <v>8000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t="s">
        <v>3169</v>
      </c>
      <c r="D16" s="2206" t="s">
        <v>3180</v>
      </c>
      <c r="E16" s="16">
        <f>IF($C$3="是",ROUND($A$3*G16/$B$3,2),ROUND($A$3*(G16-AT16)/$B$3,2))</f>
        <v>1923.52</v>
      </c>
      <c r="F16" s="32"/>
      <c r="G16" s="33">
        <f>H16+AC16+AT16</f>
        <v>13716.939999999999</v>
      </c>
      <c r="H16" s="20">
        <f>SUMIF(I$12:AB$12,"总值",I16:AB16)</f>
        <v>11465.38</v>
      </c>
      <c r="I16" s="2207"/>
      <c r="J16" s="2207"/>
      <c r="K16" s="2207"/>
      <c r="L16" s="2207"/>
      <c r="M16" s="2207"/>
      <c r="N16" s="2207"/>
      <c r="O16" s="2207">
        <v>11465.38</v>
      </c>
      <c r="P16" s="2207"/>
      <c r="Q16" s="2207"/>
      <c r="R16" s="2207"/>
      <c r="S16" s="2207"/>
      <c r="T16" s="2207"/>
      <c r="U16" s="2207"/>
      <c r="V16" s="2207"/>
      <c r="W16" s="2207"/>
      <c r="X16" s="2207"/>
      <c r="Y16" s="2207"/>
      <c r="Z16" s="2207"/>
      <c r="AA16" s="2207"/>
      <c r="AB16" s="2207"/>
      <c r="AC16" s="16">
        <f>SUMIF(AD$12:AS$12,"总值",AD16:AS16)</f>
        <v>2251.5599999999995</v>
      </c>
      <c r="AD16" s="2208"/>
      <c r="AE16" s="2208"/>
      <c r="AF16" s="2208"/>
      <c r="AG16" s="2208"/>
      <c r="AH16" s="2208">
        <v>300.77999999999997</v>
      </c>
      <c r="AI16" s="2208"/>
      <c r="AJ16" s="2208"/>
      <c r="AK16" s="2208"/>
      <c r="AL16" s="2208">
        <f>155.21+62+13.62+1413.83+118.26+187.86</f>
        <v>1950.7799999999997</v>
      </c>
      <c r="AM16" s="2208"/>
      <c r="AN16" s="2208"/>
      <c r="AO16" s="2208"/>
      <c r="AP16" s="2208"/>
      <c r="AQ16" s="2208"/>
      <c r="AR16" s="2208"/>
      <c r="AS16" s="2208"/>
      <c r="AT16" s="2209"/>
      <c r="AU16" s="2210"/>
      <c r="AV16" s="11">
        <f t="shared" si="6"/>
        <v>0</v>
      </c>
      <c r="AW16" s="11">
        <f t="shared" si="6"/>
        <v>0</v>
      </c>
      <c r="AX16" s="11" t="str">
        <f t="shared" si="6"/>
        <v>A2公寓</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3018" t="s">
        <v>3170</v>
      </c>
      <c r="D17" s="2206" t="s">
        <v>3180</v>
      </c>
      <c r="E17" s="16">
        <f>IF($C$3="是",ROUND($A$3*G17/$B$3,2),ROUND($A$3*(G17-AT17)/$B$3,2))</f>
        <v>7193.58</v>
      </c>
      <c r="F17" s="32"/>
      <c r="G17" s="33">
        <f>H17+AC17+AT17</f>
        <v>51298.54</v>
      </c>
      <c r="H17" s="20">
        <f>SUMIF(I$12:AB$12,"总值",I17:AB17)</f>
        <v>51298.54</v>
      </c>
      <c r="I17" s="2207"/>
      <c r="J17" s="2207"/>
      <c r="K17" s="2207"/>
      <c r="L17" s="2207"/>
      <c r="M17" s="2207"/>
      <c r="N17" s="2207"/>
      <c r="O17" s="2207"/>
      <c r="P17" s="2207"/>
      <c r="Q17" s="2207">
        <v>51298.54</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办公</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9" t="s">
        <v>3177</v>
      </c>
      <c r="D18" s="2211" t="s">
        <v>3180</v>
      </c>
      <c r="E18" s="35">
        <f t="shared" ref="E18:E112" si="7">IF($C$3="是",ROUND($A$3*G18/$B$3,2),ROUND($A$3*(G18-AT18)/$B$3,2))</f>
        <v>4786.21</v>
      </c>
      <c r="F18" s="36"/>
      <c r="G18" s="37">
        <f t="shared" ref="G18:G109" si="8">H18+AC18+AT18</f>
        <v>34131.199999999997</v>
      </c>
      <c r="H18" s="38">
        <f t="shared" ref="H18:H109" si="9">SUMIF(I$12:AB$12,"总值",I18:AB18)</f>
        <v>29137.55</v>
      </c>
      <c r="I18" s="39"/>
      <c r="J18" s="39"/>
      <c r="K18" s="39"/>
      <c r="L18" s="39"/>
      <c r="M18" s="39"/>
      <c r="N18" s="39"/>
      <c r="O18" s="39"/>
      <c r="P18" s="39"/>
      <c r="Q18" s="39"/>
      <c r="R18" s="39"/>
      <c r="S18" s="39">
        <v>29137.55</v>
      </c>
      <c r="T18" s="39"/>
      <c r="U18" s="39"/>
      <c r="V18" s="39"/>
      <c r="W18" s="39"/>
      <c r="X18" s="39"/>
      <c r="Y18" s="39"/>
      <c r="Z18" s="39"/>
      <c r="AA18" s="39"/>
      <c r="AB18" s="39"/>
      <c r="AC18" s="35">
        <f t="shared" ref="AC18:AC109" si="10">SUMIF(AD$12:AS$12,"总值",AD18:AS18)</f>
        <v>4993.6499999999996</v>
      </c>
      <c r="AD18" s="40"/>
      <c r="AE18" s="40"/>
      <c r="AF18" s="40"/>
      <c r="AG18" s="40"/>
      <c r="AH18" s="40"/>
      <c r="AI18" s="40"/>
      <c r="AJ18" s="40"/>
      <c r="AK18" s="40"/>
      <c r="AL18" s="40"/>
      <c r="AM18" s="40"/>
      <c r="AN18" s="40">
        <f>4627.78+365.87</f>
        <v>4993.6499999999996</v>
      </c>
      <c r="AO18" s="40"/>
      <c r="AP18" s="40"/>
      <c r="AQ18" s="40"/>
      <c r="AR18" s="40"/>
      <c r="AS18" s="40"/>
      <c r="AT18" s="41"/>
      <c r="AU18" s="2212"/>
      <c r="AV18" s="1793">
        <f t="shared" ref="AV18:AV112" si="11">A18</f>
        <v>0</v>
      </c>
      <c r="AW18" s="1793">
        <f t="shared" ref="AW18:AW112" si="12">B18</f>
        <v>0</v>
      </c>
      <c r="AX18" s="1793" t="str">
        <f t="shared" ref="AX18:AX112" si="13">C18</f>
        <v>地下车库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5" workbookViewId="0">
      <selection activeCell="B41" sqref="B41:B43"/>
    </sheetView>
  </sheetViews>
  <sheetFormatPr defaultRowHeight="13.5"/>
  <sheetData>
    <row r="1" spans="1:4">
      <c r="A1" s="2953" t="s">
        <v>3086</v>
      </c>
    </row>
    <row r="2" spans="1:4" ht="14.25" thickBot="1">
      <c r="A2" s="2954" t="s">
        <v>3087</v>
      </c>
      <c r="B2" s="2955" t="s">
        <v>3088</v>
      </c>
      <c r="C2" s="2955" t="s">
        <v>3089</v>
      </c>
      <c r="D2" s="2955" t="s">
        <v>3090</v>
      </c>
    </row>
    <row r="3" spans="1:4">
      <c r="A3" s="2956">
        <v>2016.4</v>
      </c>
      <c r="B3" s="2958">
        <v>42980</v>
      </c>
      <c r="C3" s="2958">
        <v>1.55</v>
      </c>
      <c r="D3" s="2957"/>
    </row>
    <row r="4" spans="1:4">
      <c r="A4" s="2959">
        <v>2017.1</v>
      </c>
      <c r="B4" s="2961">
        <v>43681</v>
      </c>
      <c r="C4" s="2961">
        <v>1.63</v>
      </c>
      <c r="D4" s="2960"/>
    </row>
    <row r="5" spans="1:4">
      <c r="A5" s="2956">
        <v>2017.2</v>
      </c>
      <c r="B5" s="2958">
        <v>44194</v>
      </c>
      <c r="C5" s="2958">
        <v>1.17</v>
      </c>
      <c r="D5" s="2957"/>
    </row>
    <row r="6" spans="1:4">
      <c r="A6" s="2959">
        <v>2017.3</v>
      </c>
      <c r="B6" s="2961">
        <v>44766</v>
      </c>
      <c r="C6" s="2961">
        <v>1.29</v>
      </c>
      <c r="D6" s="2960"/>
    </row>
    <row r="7" spans="1:4" ht="14.25">
      <c r="A7" s="2962">
        <v>2017.4</v>
      </c>
      <c r="B7" s="2963">
        <v>45047</v>
      </c>
      <c r="C7" s="2963">
        <v>0.63</v>
      </c>
    </row>
    <row r="8" spans="1:4">
      <c r="C8">
        <f>AVERAGE(C3:C7)</f>
        <v>1.254</v>
      </c>
    </row>
    <row r="24" spans="1:1">
      <c r="A24" t="s">
        <v>3181</v>
      </c>
    </row>
    <row r="25" spans="1:1">
      <c r="A25" t="s">
        <v>3182</v>
      </c>
    </row>
    <row r="26" spans="1:1">
      <c r="A26" t="s">
        <v>3183</v>
      </c>
    </row>
    <row r="27" spans="1:1">
      <c r="A27" t="s">
        <v>3184</v>
      </c>
    </row>
    <row r="28" spans="1:1">
      <c r="A28" t="s">
        <v>3185</v>
      </c>
    </row>
    <row r="29" spans="1:1">
      <c r="A29" t="s">
        <v>3186</v>
      </c>
    </row>
    <row r="30" spans="1:1">
      <c r="A30" t="s">
        <v>3187</v>
      </c>
    </row>
    <row r="31" spans="1:1">
      <c r="A31" t="s">
        <v>3188</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90"/>
      <c r="C1" s="1390"/>
      <c r="D1" s="1390"/>
      <c r="E1" s="1390"/>
      <c r="F1" s="1390"/>
      <c r="G1" s="1390"/>
      <c r="H1" s="1390"/>
      <c r="I1" s="1390"/>
      <c r="J1" s="1390"/>
      <c r="K1" s="1390"/>
      <c r="L1" s="1390"/>
      <c r="M1" s="1390"/>
      <c r="N1" s="1390"/>
      <c r="O1" s="1390"/>
      <c r="P1" s="1390"/>
    </row>
    <row r="2" spans="1:16" ht="15">
      <c r="A2" s="3170" t="s">
        <v>1940</v>
      </c>
      <c r="B2" s="3170"/>
      <c r="C2" s="3170"/>
      <c r="D2" s="965" t="s">
        <v>1916</v>
      </c>
      <c r="E2" s="2220" t="s">
        <v>1917</v>
      </c>
      <c r="F2" s="1390"/>
      <c r="G2" s="2221"/>
      <c r="H2" s="2222"/>
      <c r="I2" s="2223" t="s">
        <v>1941</v>
      </c>
      <c r="J2" s="1390"/>
      <c r="K2" s="1390"/>
      <c r="L2" s="1390"/>
      <c r="M2" s="1390"/>
      <c r="N2" s="1425"/>
      <c r="O2" s="1390"/>
      <c r="P2" s="1390"/>
    </row>
    <row r="3" spans="1:16" ht="15.75" thickBot="1">
      <c r="A3" s="3171" t="s">
        <v>1914</v>
      </c>
      <c r="B3" s="3171"/>
      <c r="C3" s="3171"/>
      <c r="D3" s="46">
        <f>'数据-基础表'!AY6</f>
        <v>7108.46</v>
      </c>
      <c r="E3" s="46">
        <f>'数据-基础表'!AZ5</f>
        <v>50691.57</v>
      </c>
      <c r="F3" s="1390"/>
      <c r="G3" s="1397"/>
      <c r="H3" s="1245" t="s">
        <v>1915</v>
      </c>
      <c r="I3" s="55">
        <f>ROUND('数据-基础表'!B3/'数据-基础表'!A3,2)</f>
        <v>7.13</v>
      </c>
      <c r="J3" s="1390"/>
      <c r="K3" s="1390"/>
      <c r="L3" s="1390"/>
      <c r="M3" s="1390"/>
      <c r="N3" s="1425"/>
      <c r="O3" s="1390"/>
      <c r="P3" s="1390"/>
    </row>
    <row r="4" spans="1:16" ht="15">
      <c r="A4" s="3172"/>
      <c r="B4" s="3173"/>
      <c r="C4" s="3174"/>
      <c r="D4" s="2224" t="s">
        <v>1916</v>
      </c>
      <c r="E4" s="2225" t="s">
        <v>1917</v>
      </c>
      <c r="F4" s="1390"/>
      <c r="G4" s="2226" t="s">
        <v>1942</v>
      </c>
      <c r="H4" s="1245" t="s">
        <v>1922</v>
      </c>
      <c r="I4" s="55">
        <f>ROUND(SUMIF('数据-基础表'!I9:AS9,"地上",'数据-基础表'!I5:AS5)/'数据-基础表'!A3,2)</f>
        <v>5.51</v>
      </c>
      <c r="J4" s="1390"/>
      <c r="K4" s="1390"/>
      <c r="L4" s="1390"/>
      <c r="M4" s="1390"/>
      <c r="N4" s="1425"/>
      <c r="O4" s="1390"/>
      <c r="P4" s="1390"/>
    </row>
    <row r="5" spans="1:16">
      <c r="A5" s="47" t="s">
        <v>1918</v>
      </c>
      <c r="B5" s="3175" t="s">
        <v>1919</v>
      </c>
      <c r="C5" s="3175"/>
      <c r="D5" s="48">
        <f>ROUND($D$3*E5/$E$3,2)</f>
        <v>5411.6</v>
      </c>
      <c r="E5" s="49">
        <f>SUMIF('数据-基础表'!$11:$11,"住宅",'数据-基础表'!$5:$5)</f>
        <v>38591</v>
      </c>
      <c r="F5" s="1390"/>
      <c r="G5" s="1397"/>
      <c r="H5" s="1245" t="s">
        <v>1915</v>
      </c>
      <c r="I5" s="55">
        <f>ROUND(E31/D31,2)</f>
        <v>7.13</v>
      </c>
      <c r="J5" s="1390"/>
      <c r="K5" s="1390"/>
      <c r="L5" s="1390"/>
      <c r="M5" s="1390"/>
      <c r="N5" s="1390"/>
      <c r="O5" s="1390"/>
      <c r="P5" s="1390"/>
    </row>
    <row r="6" spans="1:16" ht="15" thickBot="1">
      <c r="A6" s="2227"/>
      <c r="B6" s="3175" t="s">
        <v>1920</v>
      </c>
      <c r="C6" s="3175"/>
      <c r="D6" s="48">
        <f>ROUND($D$3*E6/$E$3,2)</f>
        <v>1696.86</v>
      </c>
      <c r="E6" s="49">
        <f>E3-E5</f>
        <v>12100.57</v>
      </c>
      <c r="F6" s="1390"/>
      <c r="G6" s="2228" t="s">
        <v>1921</v>
      </c>
      <c r="H6" s="1397" t="s">
        <v>1922</v>
      </c>
      <c r="I6" s="937">
        <f>ROUND(F31/D31,2)</f>
        <v>7.13</v>
      </c>
      <c r="J6" s="1390"/>
      <c r="K6" s="1390"/>
      <c r="L6" s="1390"/>
      <c r="M6" s="1390"/>
      <c r="N6" s="1390"/>
      <c r="O6" s="1390"/>
      <c r="P6" s="1390"/>
    </row>
    <row r="7" spans="1:16" ht="15">
      <c r="A7" s="3167"/>
      <c r="B7" s="3168"/>
      <c r="C7" s="3169"/>
      <c r="D7" s="2224" t="s">
        <v>1916</v>
      </c>
      <c r="E7" s="2229" t="s">
        <v>1923</v>
      </c>
      <c r="F7" s="1390"/>
      <c r="G7" s="2221" t="s">
        <v>1924</v>
      </c>
      <c r="H7" s="64"/>
      <c r="I7" s="418"/>
      <c r="J7" s="1390"/>
      <c r="K7" s="1390"/>
      <c r="L7" s="1390"/>
      <c r="M7" s="1390"/>
      <c r="N7" s="1390"/>
      <c r="O7" s="1390"/>
      <c r="P7" s="1390"/>
    </row>
    <row r="8" spans="1:16">
      <c r="A8" s="47" t="s">
        <v>1925</v>
      </c>
      <c r="B8" s="50" t="s">
        <v>1926</v>
      </c>
      <c r="C8" s="48" t="s">
        <v>1927</v>
      </c>
      <c r="D8" s="48">
        <f t="shared" ref="D8:D15" si="0">ROUND($D$3*E8/$E$3,2)</f>
        <v>7024.24</v>
      </c>
      <c r="E8" s="51">
        <f>SUMIF('数据-基础表'!BB10:BK10,"地上",'数据-基础表'!BB5:BK5)</f>
        <v>50091</v>
      </c>
      <c r="F8" s="1390"/>
      <c r="G8" s="2230"/>
      <c r="H8" s="2230"/>
      <c r="I8" s="1390"/>
      <c r="J8" s="1390"/>
      <c r="K8" s="1390"/>
      <c r="L8" s="1390"/>
      <c r="M8" s="1390"/>
      <c r="N8" s="1390"/>
      <c r="O8" s="1390"/>
      <c r="P8" s="1390"/>
    </row>
    <row r="9" spans="1:16">
      <c r="A9" s="2231"/>
      <c r="B9" s="2232"/>
      <c r="C9" s="48" t="s">
        <v>1928</v>
      </c>
      <c r="D9" s="48">
        <f t="shared" si="0"/>
        <v>0</v>
      </c>
      <c r="E9" s="52">
        <v>0</v>
      </c>
      <c r="F9" s="1390"/>
      <c r="G9" s="2230"/>
      <c r="H9" s="2230"/>
      <c r="I9" s="1390"/>
      <c r="J9" s="1390"/>
      <c r="K9" s="1390"/>
      <c r="L9" s="1390"/>
      <c r="M9" s="1390"/>
      <c r="N9" s="1390"/>
      <c r="O9" s="1390"/>
      <c r="P9" s="1390"/>
    </row>
    <row r="10" spans="1:16">
      <c r="A10" s="2231"/>
      <c r="B10" s="2232"/>
      <c r="C10" s="48" t="s">
        <v>1937</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1929</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1930</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1931</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1943</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1938</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1932</v>
      </c>
      <c r="D16" s="50">
        <f>SUM(D8:D15)</f>
        <v>7024.24</v>
      </c>
      <c r="E16" s="53">
        <f>SUM(E8:E15)</f>
        <v>50091</v>
      </c>
      <c r="F16" s="1390"/>
      <c r="G16" s="2230"/>
      <c r="H16" s="2233" t="s">
        <v>1944</v>
      </c>
      <c r="I16" s="2234"/>
      <c r="J16" s="1390"/>
      <c r="K16" s="3164" t="s">
        <v>1944</v>
      </c>
      <c r="L16" s="3165"/>
      <c r="M16" s="3165"/>
      <c r="N16" s="3165"/>
      <c r="O16" s="3165"/>
      <c r="P16" s="3166"/>
    </row>
    <row r="17" spans="1:19" ht="15">
      <c r="A17" s="2235" t="s">
        <v>1945</v>
      </c>
      <c r="B17" s="2236" t="s">
        <v>1946</v>
      </c>
      <c r="C17" s="2237" t="s">
        <v>1947</v>
      </c>
      <c r="D17" s="2238" t="s">
        <v>1935</v>
      </c>
      <c r="E17" s="2239" t="s">
        <v>1936</v>
      </c>
      <c r="F17" s="2240"/>
      <c r="G17" s="2241"/>
      <c r="H17" s="2242" t="s">
        <v>1948</v>
      </c>
      <c r="I17" s="2243" t="s">
        <v>1933</v>
      </c>
      <c r="J17" s="1390"/>
      <c r="K17" s="3161" t="s">
        <v>1949</v>
      </c>
      <c r="L17" s="3162"/>
      <c r="M17" s="3163"/>
      <c r="N17" s="3161" t="s">
        <v>1950</v>
      </c>
      <c r="O17" s="3162"/>
      <c r="P17" s="3163"/>
      <c r="R17" s="2221" t="s">
        <v>1951</v>
      </c>
      <c r="S17" s="64"/>
    </row>
    <row r="18" spans="1:19" ht="15">
      <c r="A18" s="2231"/>
      <c r="B18" s="2244"/>
      <c r="C18" s="2245"/>
      <c r="D18" s="2246"/>
      <c r="E18" s="2247" t="s">
        <v>1952</v>
      </c>
      <c r="F18" s="2248" t="s">
        <v>1953</v>
      </c>
      <c r="G18" s="2249" t="s">
        <v>1954</v>
      </c>
      <c r="H18" s="1260" t="s">
        <v>1955</v>
      </c>
      <c r="I18" s="2250" t="s">
        <v>1956</v>
      </c>
      <c r="J18" s="1390"/>
      <c r="K18" s="1260" t="s">
        <v>1957</v>
      </c>
      <c r="L18" s="2251" t="s">
        <v>1958</v>
      </c>
      <c r="M18" s="1044" t="s">
        <v>1959</v>
      </c>
      <c r="N18" s="1260" t="s">
        <v>1957</v>
      </c>
      <c r="O18" s="2251" t="s">
        <v>1958</v>
      </c>
      <c r="P18" s="1044" t="s">
        <v>1959</v>
      </c>
      <c r="R18" s="1245" t="s">
        <v>1960</v>
      </c>
      <c r="S18" s="1245" t="s">
        <v>1961</v>
      </c>
    </row>
    <row r="19" spans="1:19">
      <c r="A19" s="2252"/>
      <c r="B19" s="50" t="s">
        <v>1934</v>
      </c>
      <c r="C19" s="2253" t="str">
        <f>'数据-基础表'!C13</f>
        <v>A1公寓</v>
      </c>
      <c r="D19" s="48">
        <f>ROUND($D$3*E19/$E$3,2)</f>
        <v>5411.6</v>
      </c>
      <c r="E19" s="56">
        <f t="shared" ref="E19:E26" si="1">SUM(F19:G19)</f>
        <v>38591</v>
      </c>
      <c r="F19" s="57">
        <f>'数据-基础表'!I13</f>
        <v>38591</v>
      </c>
      <c r="G19" s="58"/>
      <c r="H19" s="721">
        <f>ROUND($D$3*I19/$E$3,2)</f>
        <v>64.88</v>
      </c>
      <c r="I19" s="51">
        <f t="shared" ref="I19:I26" si="2">IF($I$17="自定义",P19,M19)</f>
        <v>462.69</v>
      </c>
      <c r="J19" s="1390"/>
      <c r="K19" s="1389">
        <f t="shared" ref="K19:K26" si="3">ROUND(E$28*E19/E$27,2)</f>
        <v>462.69</v>
      </c>
      <c r="L19" s="1245">
        <f t="shared" ref="L19:L26" si="4">ROUND(IF(COUNTIF(C19,"*住宅*")&gt;0,E$29*E19/E$32,0),2)</f>
        <v>0</v>
      </c>
      <c r="M19" s="1401">
        <f>K19+L19</f>
        <v>462.69</v>
      </c>
      <c r="N19" s="2254"/>
      <c r="O19" s="2255"/>
      <c r="P19" s="1401">
        <f>N19+O19</f>
        <v>0</v>
      </c>
      <c r="R19" s="1245">
        <f t="shared" ref="R19:S26" si="5">D19+H19</f>
        <v>5476.4800000000005</v>
      </c>
      <c r="S19" s="1246">
        <f t="shared" si="5"/>
        <v>39053.69</v>
      </c>
    </row>
    <row r="20" spans="1:19">
      <c r="A20" s="2256"/>
      <c r="B20" s="50" t="s">
        <v>1962</v>
      </c>
      <c r="C20" s="2253" t="str">
        <f>'数据-基础表'!C14</f>
        <v>配套商业</v>
      </c>
      <c r="D20" s="48">
        <f t="shared" ref="D20:D26" si="6">ROUND($D$3*E20/$E$3,2)</f>
        <v>490.8</v>
      </c>
      <c r="E20" s="56">
        <f t="shared" si="1"/>
        <v>3500</v>
      </c>
      <c r="F20" s="57">
        <f>'数据-基础表'!K14</f>
        <v>3500</v>
      </c>
      <c r="G20" s="58"/>
      <c r="H20" s="721">
        <f t="shared" ref="H20:H26" si="7">ROUND($D$3*I20/$E$3,2)</f>
        <v>5.88</v>
      </c>
      <c r="I20" s="51">
        <f t="shared" si="2"/>
        <v>41.96</v>
      </c>
      <c r="J20" s="1390"/>
      <c r="K20" s="1389">
        <f t="shared" si="3"/>
        <v>41.96</v>
      </c>
      <c r="L20" s="1245">
        <f t="shared" si="4"/>
        <v>0</v>
      </c>
      <c r="M20" s="1401">
        <f t="shared" ref="M20:M26" si="8">K20+L20</f>
        <v>41.96</v>
      </c>
      <c r="N20" s="2254"/>
      <c r="O20" s="2255"/>
      <c r="P20" s="1401">
        <f t="shared" ref="P20:P26" si="9">N20+O20</f>
        <v>0</v>
      </c>
      <c r="R20" s="1245">
        <f t="shared" si="5"/>
        <v>496.68</v>
      </c>
      <c r="S20" s="1246">
        <f t="shared" si="5"/>
        <v>3541.96</v>
      </c>
    </row>
    <row r="21" spans="1:19">
      <c r="A21" s="2256"/>
      <c r="B21" s="50" t="s">
        <v>1962</v>
      </c>
      <c r="C21" s="2253" t="str">
        <f>'数据-基础表'!C15</f>
        <v>酒店</v>
      </c>
      <c r="D21" s="48">
        <f t="shared" si="6"/>
        <v>1121.8399999999999</v>
      </c>
      <c r="E21" s="56">
        <f t="shared" si="1"/>
        <v>8000</v>
      </c>
      <c r="F21" s="57">
        <f>'数据-基础表'!M15</f>
        <v>8000</v>
      </c>
      <c r="G21" s="58"/>
      <c r="H21" s="721">
        <f t="shared" si="7"/>
        <v>13.45</v>
      </c>
      <c r="I21" s="51">
        <f t="shared" si="2"/>
        <v>95.92</v>
      </c>
      <c r="J21" s="1390"/>
      <c r="K21" s="1389">
        <f t="shared" si="3"/>
        <v>95.92</v>
      </c>
      <c r="L21" s="1245">
        <f t="shared" si="4"/>
        <v>0</v>
      </c>
      <c r="M21" s="1401">
        <f t="shared" si="8"/>
        <v>95.92</v>
      </c>
      <c r="N21" s="2254"/>
      <c r="O21" s="2255"/>
      <c r="P21" s="1401">
        <f t="shared" si="9"/>
        <v>0</v>
      </c>
      <c r="R21" s="1245">
        <f t="shared" si="5"/>
        <v>1135.29</v>
      </c>
      <c r="S21" s="1246">
        <f t="shared" si="5"/>
        <v>8095.92</v>
      </c>
    </row>
    <row r="22" spans="1:19" hidden="1">
      <c r="A22" s="2256"/>
      <c r="B22" s="50" t="s">
        <v>1962</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hidden="1">
      <c r="A23" s="2256"/>
      <c r="B23" s="50" t="s">
        <v>1962</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hidden="1">
      <c r="A24" s="2256"/>
      <c r="B24" s="50" t="s">
        <v>1962</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hidden="1">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hidden="1">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29.25" thickBot="1">
      <c r="A27" s="2256"/>
      <c r="B27" s="48"/>
      <c r="C27" s="2259" t="s">
        <v>1963</v>
      </c>
      <c r="D27" s="1391">
        <f>SUM(D19:D26)</f>
        <v>7024.2400000000007</v>
      </c>
      <c r="E27" s="1392">
        <f>IF(SUM(E19:E26)='数据-基础表'!BA5,SUM(E19:E26),IF(F27="地上面积有误","面积有误","地下面积有误"))</f>
        <v>50091</v>
      </c>
      <c r="F27" s="1391">
        <f>IF(SUM(F19:F26)=E8,SUM(F19:F26),"地上面积有误")</f>
        <v>50091</v>
      </c>
      <c r="G27" s="1393">
        <f>SUM(G19:G26)</f>
        <v>0</v>
      </c>
      <c r="H27" s="1394">
        <f>SUM(H19:H26)</f>
        <v>84.21</v>
      </c>
      <c r="I27" s="1395">
        <f>SUM(I19:I26)</f>
        <v>600.56999999999994</v>
      </c>
      <c r="J27" s="1390"/>
      <c r="K27" s="1398">
        <f>SUM(K19:K26)</f>
        <v>600.56999999999994</v>
      </c>
      <c r="L27" s="1399">
        <f>SUM(L19:L26)</f>
        <v>0</v>
      </c>
      <c r="M27" s="1402">
        <f>SUM(M19:M26)</f>
        <v>600.56999999999994</v>
      </c>
      <c r="N27" s="1398">
        <f t="shared" ref="N27:O27" si="10">SUM(N19:N26)</f>
        <v>0</v>
      </c>
      <c r="O27" s="1399">
        <f t="shared" si="10"/>
        <v>0</v>
      </c>
      <c r="P27" s="1400">
        <f>SUM(P19:P26)</f>
        <v>0</v>
      </c>
      <c r="R27" s="1247" t="str">
        <f>IF(SUM(R19:R26)=$D$3,SUM(R19:R26),SUM(R19:R26)&amp;"误差"&amp;ROUND(SUM(R19:R26)-$D$3,2))</f>
        <v>7108.45误差-0.01</v>
      </c>
      <c r="S27" s="1245">
        <f>IF(SUM(S19:S26)=$E$3,SUM(S19:S26),SUM(S19:S26)&amp;"误差"&amp;ROUND(SUM(S19:S26)-E3,2))</f>
        <v>50691.57</v>
      </c>
    </row>
    <row r="28" spans="1:19">
      <c r="A28" s="2256"/>
      <c r="B28" s="50" t="s">
        <v>1964</v>
      </c>
      <c r="C28" s="1257" t="s">
        <v>1965</v>
      </c>
      <c r="D28" s="48">
        <f>ROUND($D$3*E28/$E$3,2)</f>
        <v>84.22</v>
      </c>
      <c r="E28" s="56">
        <f>SUM(F28:G28)</f>
        <v>600.57000000000005</v>
      </c>
      <c r="F28" s="64">
        <f>'数据-基础表'!BQ5+'数据-基础表'!BS5</f>
        <v>600.57000000000005</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84.22</v>
      </c>
      <c r="E30" s="1391">
        <f>SUM(E28:E29)</f>
        <v>600.57000000000005</v>
      </c>
      <c r="F30" s="1391">
        <f>SUM(F28:F29)</f>
        <v>600.57000000000005</v>
      </c>
      <c r="G30" s="1393">
        <f>SUM(G28:G29)</f>
        <v>0</v>
      </c>
      <c r="H30" s="1390"/>
      <c r="I30" s="1390"/>
      <c r="J30" s="1390"/>
      <c r="K30" s="1390"/>
      <c r="L30" s="1390"/>
      <c r="M30" s="1390"/>
      <c r="N30" s="1390"/>
      <c r="O30" s="1390"/>
      <c r="P30" s="1390"/>
    </row>
    <row r="31" spans="1:19" ht="15.75" thickBot="1">
      <c r="A31" s="2262"/>
      <c r="B31" s="2263"/>
      <c r="C31" s="1005" t="s">
        <v>1967</v>
      </c>
      <c r="D31" s="727">
        <f>D27+D30</f>
        <v>7108.4600000000009</v>
      </c>
      <c r="E31" s="727">
        <f>E27+E30</f>
        <v>50691.57</v>
      </c>
      <c r="F31" s="728">
        <f>F27+F30</f>
        <v>50691.57</v>
      </c>
      <c r="G31" s="729">
        <f>G27+G30</f>
        <v>0</v>
      </c>
      <c r="H31" s="1390"/>
      <c r="I31" s="1390"/>
      <c r="J31" s="1390"/>
      <c r="K31" s="1390"/>
      <c r="L31" s="1390"/>
      <c r="M31" s="1390"/>
      <c r="N31" s="1390"/>
      <c r="O31" s="1390"/>
      <c r="P31" s="1390"/>
    </row>
    <row r="32" spans="1:19">
      <c r="A32" s="2226"/>
      <c r="B32" s="2226" t="s">
        <v>1968</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2336" customWidth="1"/>
    <col min="2" max="2" width="12" style="2268" customWidth="1"/>
    <col min="3" max="3" width="10.75" style="2268" customWidth="1"/>
    <col min="4" max="4" width="9.125" style="2337"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5" width="6.75" style="2268" customWidth="1"/>
    <col min="26" max="30" width="6.75" style="2268" hidden="1" customWidth="1"/>
    <col min="31" max="31" width="8" style="2268" customWidth="1"/>
    <col min="32" max="32" width="7.25" style="2268" customWidth="1"/>
    <col min="33" max="33" width="6.125" style="2268" customWidth="1"/>
    <col min="34" max="34" width="9.1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30"/>
      <c r="C1" s="1579"/>
      <c r="D1" s="2266"/>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1970</v>
      </c>
      <c r="B2" s="1264">
        <f>项目基本情况!D3</f>
        <v>43202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7" t="s">
        <v>1975</v>
      </c>
      <c r="AA4" s="2237"/>
      <c r="AB4" s="2237"/>
      <c r="AC4" s="2237"/>
      <c r="AD4" s="2237"/>
      <c r="AE4" s="2235" t="s">
        <v>1976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54">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3081" t="s">
        <v>3232</v>
      </c>
      <c r="O5" s="2289" t="s">
        <v>1990</v>
      </c>
      <c r="P5" s="2291" t="s">
        <v>1991</v>
      </c>
      <c r="Q5" s="69" t="s">
        <v>1992</v>
      </c>
      <c r="R5" s="2292" t="s">
        <v>1993</v>
      </c>
      <c r="S5" s="2293" t="s">
        <v>1994</v>
      </c>
      <c r="T5" s="2294" t="s">
        <v>1995</v>
      </c>
      <c r="U5" s="1265" t="s">
        <v>1996</v>
      </c>
      <c r="V5" s="1266" t="s">
        <v>1997</v>
      </c>
      <c r="W5" s="1266" t="s">
        <v>1998</v>
      </c>
      <c r="X5" s="71"/>
      <c r="Y5" s="70" t="s">
        <v>1999</v>
      </c>
      <c r="Z5" s="2295" t="s">
        <v>1996</v>
      </c>
      <c r="AA5" s="1266" t="s">
        <v>1997</v>
      </c>
      <c r="AB5" s="1266" t="s">
        <v>1998</v>
      </c>
      <c r="AC5" s="71"/>
      <c r="AD5" s="71" t="s">
        <v>1999</v>
      </c>
      <c r="AE5" s="1265" t="s">
        <v>2000</v>
      </c>
      <c r="AF5" s="1266" t="s">
        <v>2001</v>
      </c>
      <c r="AG5" s="70" t="s">
        <v>2002</v>
      </c>
      <c r="AH5" s="1265" t="s">
        <v>2003</v>
      </c>
      <c r="AI5" s="2295" t="s">
        <v>2004</v>
      </c>
      <c r="AJ5" s="2295" t="s">
        <v>2005</v>
      </c>
      <c r="AK5" s="1266" t="s">
        <v>2006</v>
      </c>
      <c r="AL5" s="1266" t="s">
        <v>2007</v>
      </c>
      <c r="AM5" s="70" t="s">
        <v>2008</v>
      </c>
      <c r="AN5" s="2296" t="s">
        <v>2009</v>
      </c>
      <c r="AO5" s="2067" t="s">
        <v>2010</v>
      </c>
      <c r="AP5" s="1247"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5">
      <c r="A6" s="2298" t="str">
        <f>'数据-汇总表'!C19</f>
        <v>A1公寓</v>
      </c>
      <c r="B6" s="2299" t="str">
        <f>IF(A6=0,"","经营性")</f>
        <v>经营性</v>
      </c>
      <c r="C6" s="2300" t="s">
        <v>27</v>
      </c>
      <c r="D6" s="1049">
        <f>SUMIF(项目基本情况!D$12:I$12,C6,项目基本情况!D$14:I$14)</f>
        <v>50</v>
      </c>
      <c r="E6" s="1046">
        <f>IF(B6="","",SUMIF(项目基本情况!D$12:I$12,C6,项目基本情况!D$13:I$13))</f>
        <v>58244</v>
      </c>
      <c r="F6" s="72">
        <f>SUMIF(项目基本情况!D$12:I$12,C6,项目基本情况!D$15:I$15)</f>
        <v>41.21</v>
      </c>
      <c r="G6" s="73">
        <f>IF(ISERROR(ROUND(POWER(1+H6,D6-F6)*(POWER(1+H6,F6)-1)/(POWER(1+H6,D6)-1),3)),0,ROUND(POWER(1+H6,D6-F6)*(POWER(1+H6,F6)-1)/(POWER(1+H6,D6)-1),3))</f>
        <v>0.94899999999999995</v>
      </c>
      <c r="H6" s="799">
        <v>0.05</v>
      </c>
      <c r="I6" s="799">
        <v>5.5E-2</v>
      </c>
      <c r="J6" s="74">
        <v>8.5000000000000006E-2</v>
      </c>
      <c r="K6" s="1249">
        <f>SUMIF('数据-汇总表'!C$19:C$33,A6,'数据-汇总表'!E$19:E$33)</f>
        <v>38591</v>
      </c>
      <c r="L6" s="800">
        <v>3500</v>
      </c>
      <c r="M6" s="75">
        <f t="shared" ref="M6:M14" si="0">ROUND(K6*L6/10000,0)</f>
        <v>13507</v>
      </c>
      <c r="N6" s="3082">
        <v>0.99</v>
      </c>
      <c r="O6" s="75" t="str">
        <f>IF($N$5="成新度","——",ROUND(M6*N6,0))</f>
        <v>——</v>
      </c>
      <c r="P6" s="76" t="str">
        <f>IF($N$5="成新度","——",M6-O6)</f>
        <v>——</v>
      </c>
      <c r="Q6" s="801">
        <v>0.2</v>
      </c>
      <c r="R6" s="77">
        <f ca="1">SUMIF('数据-汇总表'!C$19:C$33,A6,'数据-汇总表'!R$19:R$27)</f>
        <v>5476.4800000000005</v>
      </c>
      <c r="S6" s="54">
        <f>IF('数据-汇总表'!$I$17="按面积比例",SUMIF('数据-汇总表'!C$19:C$33,A6,'数据-汇总表'!K$19:K$33),SUMIF('数据-汇总表'!C$19:C$33,A6,'数据-汇总表'!N$19:N$33))</f>
        <v>462.69</v>
      </c>
      <c r="T6" s="1441">
        <f>ROUND($L$14*S6/10000,0)</f>
        <v>139</v>
      </c>
      <c r="U6" s="78">
        <v>8</v>
      </c>
      <c r="V6" s="79">
        <v>0.03</v>
      </c>
      <c r="W6" s="79">
        <v>0.1</v>
      </c>
      <c r="X6" s="1259"/>
      <c r="Y6" s="3084">
        <f>N6</f>
        <v>0.99</v>
      </c>
      <c r="Z6" s="81"/>
      <c r="AA6" s="74"/>
      <c r="AB6" s="74"/>
      <c r="AC6" s="1259"/>
      <c r="AD6" s="82"/>
      <c r="AE6" s="1260">
        <f ca="1">IF(AN6="",0,SUMIF(INDIRECT("'"&amp;AN6&amp;"'"&amp;"!E:E"),$AE$5,INDIRECT("'"&amp;AN6&amp;"'"&amp;"!F:F")))</f>
        <v>41.21</v>
      </c>
      <c r="AF6" s="1802"/>
      <c r="AG6" s="145">
        <f>IF(AF6="",0,AE6-AF6)</f>
        <v>0</v>
      </c>
      <c r="AH6" s="3020">
        <f>K6</f>
        <v>38591</v>
      </c>
      <c r="AI6" s="85">
        <v>365</v>
      </c>
      <c r="AJ6" s="86"/>
      <c r="AK6" s="87">
        <v>1.4999999999999999E-2</v>
      </c>
      <c r="AL6" s="88">
        <v>1.5E-3</v>
      </c>
      <c r="AM6" s="89">
        <v>0.01</v>
      </c>
      <c r="AN6" s="2301" t="s">
        <v>3174</v>
      </c>
      <c r="AO6" s="55">
        <f ca="1">SUMIF(INDIRECT("'"&amp;AN6&amp;"'"&amp;"!A:A"),"总价",INDIRECT("'"&amp;AN6&amp;"'"&amp;"!B:B"))</f>
        <v>199713</v>
      </c>
      <c r="AP6" s="2302">
        <f>IF(C6="住宅",K6*L6,0)</f>
        <v>0</v>
      </c>
      <c r="AQ6" s="55">
        <f>ROUND($L$14*$N$14*S6/10000,0)</f>
        <v>137</v>
      </c>
      <c r="AR6" s="55">
        <f>ROUND($L$14*(1-$N$14)*S6/10000,0)</f>
        <v>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5">
      <c r="A7" s="2298" t="str">
        <f>'数据-汇总表'!C20</f>
        <v>配套商业</v>
      </c>
      <c r="B7" s="2299" t="str">
        <f t="shared" ref="B7:B13" si="1">IF(A7=0,"","经营性")</f>
        <v>经营性</v>
      </c>
      <c r="C7" s="2300" t="s">
        <v>1377</v>
      </c>
      <c r="D7" s="1049">
        <f>SUMIF(项目基本情况!D$12:I$12,C7,项目基本情况!D$14:I$14)</f>
        <v>40</v>
      </c>
      <c r="E7" s="1046">
        <f>IF(B7="","",SUMIF(项目基本情况!D$12:I$12,C7,项目基本情况!D$13:I$13))</f>
        <v>54592</v>
      </c>
      <c r="F7" s="72">
        <f>SUMIF(项目基本情况!D$12:I$12,C7,项目基本情况!D$15:I$15)</f>
        <v>31.2</v>
      </c>
      <c r="G7" s="73">
        <f t="shared" ref="G7:G11" si="2">IF(ISERROR(ROUND(POWER(1+H7,D7-F7)*(POWER(1+H7,F7)-1)/(POWER(1+H7,D7)-1),3)),0,ROUND(POWER(1+H7,D7-F7)*(POWER(1+H7,F7)-1)/(POWER(1+H7,D7)-1),3))</f>
        <v>0.91100000000000003</v>
      </c>
      <c r="H7" s="799">
        <v>0.05</v>
      </c>
      <c r="I7" s="799">
        <v>5.5E-2</v>
      </c>
      <c r="J7" s="74">
        <v>8.5000000000000006E-2</v>
      </c>
      <c r="K7" s="1249">
        <f>SUMIF('数据-汇总表'!C$19:C$33,A7,'数据-汇总表'!E$19:E$33)</f>
        <v>3500</v>
      </c>
      <c r="L7" s="800">
        <v>3500</v>
      </c>
      <c r="M7" s="75">
        <f t="shared" si="0"/>
        <v>1225</v>
      </c>
      <c r="N7" s="3082">
        <f>N6</f>
        <v>0.99</v>
      </c>
      <c r="O7" s="75" t="str">
        <f t="shared" ref="O7:O14" si="3">IF($N$5="成新度","——",ROUND(M7*N7,0))</f>
        <v>——</v>
      </c>
      <c r="P7" s="76" t="str">
        <f t="shared" ref="P7:P14" si="4">IF($N$5="成新度","——",M7-O7)</f>
        <v>——</v>
      </c>
      <c r="Q7" s="801">
        <v>0.25</v>
      </c>
      <c r="R7" s="77">
        <f ca="1">SUMIF('数据-汇总表'!C$19:C$33,A7,'数据-汇总表'!R$19:R$27)</f>
        <v>496.68</v>
      </c>
      <c r="S7" s="54">
        <f>IF('数据-汇总表'!$I$17="按面积比例",SUMIF('数据-汇总表'!C$19:C$33,A7,'数据-汇总表'!K$19:K$33),SUMIF('数据-汇总表'!C$19:C$33,A7,'数据-汇总表'!N$19:N$33))</f>
        <v>41.96</v>
      </c>
      <c r="T7" s="1441">
        <f t="shared" ref="T7:T13" si="5">ROUND($L$14*S7/10000,0)</f>
        <v>13</v>
      </c>
      <c r="U7" s="78">
        <v>11.5</v>
      </c>
      <c r="V7" s="79">
        <v>0.03</v>
      </c>
      <c r="W7" s="79">
        <v>0.1</v>
      </c>
      <c r="X7" s="1259"/>
      <c r="Y7" s="3084">
        <f t="shared" ref="Y7:Y8" si="6">N7</f>
        <v>0.99</v>
      </c>
      <c r="Z7" s="81"/>
      <c r="AA7" s="74"/>
      <c r="AB7" s="74"/>
      <c r="AC7" s="1259"/>
      <c r="AD7" s="82"/>
      <c r="AE7" s="1260">
        <f t="shared" ref="AE7:AE13" ca="1" si="7">IF(AN7="",0,SUMIF(INDIRECT("'"&amp;AN7&amp;"'"&amp;"!E:E"),$AE$5,INDIRECT("'"&amp;AN7&amp;"'"&amp;"!F:F")))</f>
        <v>31.2</v>
      </c>
      <c r="AF7" s="1802"/>
      <c r="AG7" s="145">
        <f t="shared" ref="AG7:AG13" si="8">IF(AF7="",0,AE7-AF7)</f>
        <v>0</v>
      </c>
      <c r="AH7" s="3020">
        <f>K7</f>
        <v>3500</v>
      </c>
      <c r="AI7" s="85">
        <v>365</v>
      </c>
      <c r="AJ7" s="86"/>
      <c r="AK7" s="87">
        <v>1.4999999999999999E-2</v>
      </c>
      <c r="AL7" s="88">
        <v>1.5E-3</v>
      </c>
      <c r="AM7" s="89">
        <v>0.01</v>
      </c>
      <c r="AN7" s="2301" t="s">
        <v>3165</v>
      </c>
      <c r="AO7" s="55">
        <f t="shared" ref="AO7:AO13" ca="1" si="9">SUMIF(INDIRECT("'"&amp;AN7&amp;"'"&amp;"!A:A"),"总价",INDIRECT("'"&amp;AN7&amp;"'"&amp;"!B:B"))</f>
        <v>22105</v>
      </c>
      <c r="AP7" s="2302">
        <f t="shared" ref="AP7:AP13" si="10">IF(C7="住宅",K7*L7,0)</f>
        <v>0</v>
      </c>
      <c r="AQ7" s="55">
        <f t="shared" ref="AQ7:AQ13" si="11">ROUND($L$14*$N$14*S7/10000,0)</f>
        <v>12</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5">
      <c r="A8" s="2298" t="str">
        <f>'数据-汇总表'!C21</f>
        <v>酒店</v>
      </c>
      <c r="B8" s="2299" t="str">
        <f t="shared" si="1"/>
        <v>经营性</v>
      </c>
      <c r="C8" s="3066" t="s">
        <v>27</v>
      </c>
      <c r="D8" s="3067">
        <f>SUMIF(项目基本情况!D$12:I$12,C8,项目基本情况!D$14:I$14)</f>
        <v>50</v>
      </c>
      <c r="E8" s="3069">
        <f>IF(B8="","",SUMIF(项目基本情况!D$12:I$12,C8,项目基本情况!D$13:I$13))</f>
        <v>58244</v>
      </c>
      <c r="F8" s="3068">
        <f>SUMIF(项目基本情况!D$12:I$12,C8,项目基本情况!D$15:I$15)</f>
        <v>41.21</v>
      </c>
      <c r="G8" s="73">
        <f t="shared" si="2"/>
        <v>0.94899999999999995</v>
      </c>
      <c r="H8" s="799">
        <v>0.05</v>
      </c>
      <c r="I8" s="799">
        <v>5.5E-2</v>
      </c>
      <c r="J8" s="74">
        <v>8.5000000000000006E-2</v>
      </c>
      <c r="K8" s="1249">
        <f>SUMIF('数据-汇总表'!C$19:C$33,A8,'数据-汇总表'!E$19:E$33)</f>
        <v>8000</v>
      </c>
      <c r="L8" s="3070">
        <v>3500</v>
      </c>
      <c r="M8" s="75">
        <f>ROUND(K8*L8/10000,0)</f>
        <v>2800</v>
      </c>
      <c r="N8" s="3082">
        <f>N7</f>
        <v>0.99</v>
      </c>
      <c r="O8" s="75" t="str">
        <f t="shared" si="3"/>
        <v>——</v>
      </c>
      <c r="P8" s="76" t="str">
        <f t="shared" si="4"/>
        <v>——</v>
      </c>
      <c r="Q8" s="801">
        <v>0.2</v>
      </c>
      <c r="R8" s="77">
        <f ca="1">SUMIF('数据-汇总表'!C$19:C$33,A8,'数据-汇总表'!R$19:R$27)</f>
        <v>1135.29</v>
      </c>
      <c r="S8" s="54">
        <f>IF('数据-汇总表'!$I$17="按面积比例",SUMIF('数据-汇总表'!C$19:C$33,A8,'数据-汇总表'!K$19:K$33),SUMIF('数据-汇总表'!C$19:C$33,A8,'数据-汇总表'!N$19:N$33))</f>
        <v>95.92</v>
      </c>
      <c r="T8" s="1441">
        <f t="shared" si="5"/>
        <v>29</v>
      </c>
      <c r="U8" s="802">
        <v>8</v>
      </c>
      <c r="V8" s="803">
        <v>0.03</v>
      </c>
      <c r="W8" s="803">
        <v>0.1</v>
      </c>
      <c r="X8" s="1259"/>
      <c r="Y8" s="3084">
        <f t="shared" si="6"/>
        <v>0.99</v>
      </c>
      <c r="Z8" s="81"/>
      <c r="AA8" s="74"/>
      <c r="AB8" s="74"/>
      <c r="AC8" s="1259"/>
      <c r="AD8" s="82"/>
      <c r="AE8" s="1260">
        <f t="shared" ca="1" si="7"/>
        <v>41.21</v>
      </c>
      <c r="AF8" s="1802"/>
      <c r="AG8" s="145">
        <f t="shared" si="8"/>
        <v>0</v>
      </c>
      <c r="AH8" s="3020">
        <f>K8</f>
        <v>8000</v>
      </c>
      <c r="AI8" s="85">
        <v>365</v>
      </c>
      <c r="AJ8" s="86"/>
      <c r="AK8" s="804">
        <v>1.4999999999999999E-2</v>
      </c>
      <c r="AL8" s="805">
        <v>1.5E-3</v>
      </c>
      <c r="AM8" s="806">
        <v>0.01</v>
      </c>
      <c r="AN8" s="2301" t="s">
        <v>3167</v>
      </c>
      <c r="AO8" s="55">
        <f t="shared" ca="1" si="9"/>
        <v>41334</v>
      </c>
      <c r="AP8" s="2302">
        <f t="shared" si="10"/>
        <v>0</v>
      </c>
      <c r="AQ8" s="55">
        <f t="shared" si="11"/>
        <v>28</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hidden="1">
      <c r="A9" s="2298">
        <f>'数据-汇总表'!C22</f>
        <v>0</v>
      </c>
      <c r="B9" s="2299" t="str">
        <f t="shared" si="1"/>
        <v/>
      </c>
      <c r="C9" s="230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0"/>
      <c r="M9" s="75">
        <f t="shared" si="0"/>
        <v>0</v>
      </c>
      <c r="N9" s="308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7"/>
        <v>0</v>
      </c>
      <c r="AF9" s="1802"/>
      <c r="AG9" s="145">
        <f t="shared" si="8"/>
        <v>0</v>
      </c>
      <c r="AH9" s="83"/>
      <c r="AI9" s="85"/>
      <c r="AJ9" s="86"/>
      <c r="AK9" s="87"/>
      <c r="AL9" s="88"/>
      <c r="AM9" s="89"/>
      <c r="AN9" s="2301"/>
      <c r="AO9" s="55" t="e">
        <f t="shared" ca="1" si="9"/>
        <v>#REF!</v>
      </c>
      <c r="AP9" s="2302">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hidden="1">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0"/>
      <c r="M10" s="75">
        <f t="shared" si="0"/>
        <v>0</v>
      </c>
      <c r="N10" s="308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7"/>
        <v>0</v>
      </c>
      <c r="AF10" s="1802"/>
      <c r="AG10" s="145">
        <f t="shared" si="8"/>
        <v>0</v>
      </c>
      <c r="AH10" s="83"/>
      <c r="AI10" s="85"/>
      <c r="AJ10" s="86"/>
      <c r="AK10" s="87"/>
      <c r="AL10" s="88"/>
      <c r="AM10" s="89"/>
      <c r="AN10" s="2301"/>
      <c r="AO10" s="55" t="e">
        <f t="shared" ca="1" si="9"/>
        <v>#REF!</v>
      </c>
      <c r="AP10" s="2302">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5" hidden="1">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308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7"/>
        <v>0</v>
      </c>
      <c r="AF11" s="1802"/>
      <c r="AG11" s="145">
        <f t="shared" si="8"/>
        <v>0</v>
      </c>
      <c r="AH11" s="83"/>
      <c r="AI11" s="85"/>
      <c r="AJ11" s="86"/>
      <c r="AK11" s="93"/>
      <c r="AL11" s="94"/>
      <c r="AM11" s="95"/>
      <c r="AN11" s="2301"/>
      <c r="AO11" s="55" t="e">
        <f t="shared" ca="1" si="9"/>
        <v>#REF!</v>
      </c>
      <c r="AP11" s="2302">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5" hidden="1">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3083"/>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7"/>
        <v>0</v>
      </c>
      <c r="AF12" s="1802"/>
      <c r="AG12" s="145">
        <f t="shared" si="8"/>
        <v>0</v>
      </c>
      <c r="AH12" s="83"/>
      <c r="AI12" s="85"/>
      <c r="AJ12" s="86"/>
      <c r="AK12" s="93"/>
      <c r="AL12" s="94"/>
      <c r="AM12" s="95"/>
      <c r="AN12" s="2301"/>
      <c r="AO12" s="55" t="e">
        <f t="shared" ca="1" si="9"/>
        <v>#REF!</v>
      </c>
      <c r="AP12" s="2302">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5" hidden="1">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3083"/>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7"/>
        <v>0</v>
      </c>
      <c r="AF13" s="1802"/>
      <c r="AG13" s="145">
        <f t="shared" si="8"/>
        <v>0</v>
      </c>
      <c r="AH13" s="83"/>
      <c r="AI13" s="85"/>
      <c r="AJ13" s="86"/>
      <c r="AK13" s="87"/>
      <c r="AL13" s="88"/>
      <c r="AM13" s="89"/>
      <c r="AN13" s="2301"/>
      <c r="AO13" s="55" t="e">
        <f t="shared" ca="1" si="9"/>
        <v>#REF!</v>
      </c>
      <c r="AP13" s="2302">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5">
      <c r="A14" s="2303" t="s">
        <v>2014</v>
      </c>
      <c r="B14" s="2299" t="s">
        <v>2015</v>
      </c>
      <c r="C14" s="2304" t="s">
        <v>2014</v>
      </c>
      <c r="D14" s="1049"/>
      <c r="E14" s="1046"/>
      <c r="F14" s="72"/>
      <c r="G14" s="73"/>
      <c r="H14" s="1248"/>
      <c r="I14" s="1248"/>
      <c r="J14" s="1248"/>
      <c r="K14" s="1249">
        <f>SUMIF('数据-汇总表'!C$19:C$33,A14,'数据-汇总表'!E$19:E$33)</f>
        <v>600.57000000000005</v>
      </c>
      <c r="L14" s="91">
        <v>3000</v>
      </c>
      <c r="M14" s="75">
        <f t="shared" si="0"/>
        <v>180</v>
      </c>
      <c r="N14" s="3083">
        <f>N8</f>
        <v>0.99</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3" t="s">
        <v>2016</v>
      </c>
      <c r="B15" s="2299" t="s">
        <v>2015</v>
      </c>
      <c r="C15" s="2304"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5" t="s">
        <v>2018</v>
      </c>
      <c r="B16" s="96"/>
      <c r="C16" s="1003"/>
      <c r="D16" s="2306"/>
      <c r="E16" s="96"/>
      <c r="F16" s="96"/>
      <c r="G16" s="97">
        <f>ROUND(SUMPRODUCT(G6:G13,K6:K13)/SUMPRODUCT((G6:G13&gt;0)*(K6:K13)),3)</f>
        <v>0.94599999999999995</v>
      </c>
      <c r="H16" s="98">
        <f>ROUND(SUMPRODUCT(H6:H13,K6:K13)/SUMPRODUCT((H6:H13&gt;0)*(K6:K13)),3)</f>
        <v>0.05</v>
      </c>
      <c r="I16" s="99"/>
      <c r="J16" s="99"/>
      <c r="K16" s="100">
        <f>SUM(K6:K15)</f>
        <v>50691.57</v>
      </c>
      <c r="L16" s="101">
        <f>ROUND(M16*10000/SUM(K6:K14),0)</f>
        <v>3494</v>
      </c>
      <c r="M16" s="101">
        <f>SUM(M6:M14)</f>
        <v>17712</v>
      </c>
      <c r="N16" s="102">
        <f>ROUND(SUMPRODUCT(M6:M14,N6:N14)/M16,3)</f>
        <v>0.99</v>
      </c>
      <c r="O16" s="101">
        <f>SUM(O6:O14)</f>
        <v>0</v>
      </c>
      <c r="P16" s="101">
        <f>SUM(P6:P14)</f>
        <v>0</v>
      </c>
      <c r="Q16" s="103">
        <f>ROUND(SUMPRODUCT(Q6:Q13,K6:K13)/SUMPRODUCT((Q6:Q13&gt;0)*(K6:K13)),2)</f>
        <v>0.2</v>
      </c>
      <c r="R16" s="1253">
        <f ca="1">SUM(R6:R13)</f>
        <v>7108.4500000000007</v>
      </c>
      <c r="S16" s="104">
        <f>SUM(S6:S13)</f>
        <v>600.56999999999994</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7"/>
      <c r="B17" s="730"/>
      <c r="C17" s="1579"/>
      <c r="D17" s="2266"/>
      <c r="E17" s="2266"/>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3"/>
      <c r="C18" s="2270"/>
      <c r="D18" s="2271"/>
      <c r="E18" s="2270"/>
      <c r="F18" s="2270"/>
      <c r="G18" s="2270"/>
      <c r="H18" s="2270"/>
      <c r="I18" s="2270"/>
      <c r="J18" s="2270"/>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2020</v>
      </c>
      <c r="B19" s="111">
        <v>0</v>
      </c>
      <c r="C19" s="2270" t="s">
        <v>2021</v>
      </c>
      <c r="D19" s="2271"/>
      <c r="E19" s="2270"/>
      <c r="F19" s="2270"/>
      <c r="G19" s="2270"/>
      <c r="H19" s="2270"/>
      <c r="I19" s="2270"/>
      <c r="J19" s="2270"/>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2022</v>
      </c>
      <c r="B20" s="112">
        <v>3</v>
      </c>
      <c r="C20" s="2270" t="s">
        <v>2023</v>
      </c>
      <c r="D20" s="2271"/>
      <c r="E20" s="2270"/>
      <c r="F20" s="2270"/>
      <c r="G20" s="2270"/>
      <c r="H20" s="2270"/>
      <c r="I20" s="2270"/>
      <c r="J20" s="2270"/>
      <c r="K20" s="166"/>
      <c r="L20" s="166"/>
      <c r="M20" s="1579"/>
      <c r="N20" s="1579"/>
      <c r="O20" s="1579"/>
      <c r="P20" s="1579"/>
      <c r="Q20" s="1579"/>
      <c r="R20" s="1579"/>
      <c r="S20" s="1579"/>
      <c r="T20" s="3022" t="s">
        <v>3197</v>
      </c>
      <c r="U20" s="1579">
        <v>15</v>
      </c>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2024</v>
      </c>
      <c r="B21" s="112">
        <v>3</v>
      </c>
      <c r="C21" s="2270"/>
      <c r="D21" s="2271"/>
      <c r="E21" s="2270"/>
      <c r="F21" s="2270"/>
      <c r="G21" s="2270"/>
      <c r="H21" s="2270"/>
      <c r="I21" s="2270"/>
      <c r="J21" s="2270"/>
      <c r="K21" s="166"/>
      <c r="L21" s="166"/>
      <c r="M21" s="1579"/>
      <c r="N21" s="1579"/>
      <c r="O21" s="1579"/>
      <c r="P21" s="1579"/>
      <c r="Q21" s="1579"/>
      <c r="R21" s="1579"/>
      <c r="S21" s="1579"/>
      <c r="T21" s="3022" t="s">
        <v>3198</v>
      </c>
      <c r="U21" s="1579">
        <f>U20*0.7</f>
        <v>10.5</v>
      </c>
      <c r="V21" s="1579">
        <f>(U20+U21)/2</f>
        <v>12.75</v>
      </c>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2025</v>
      </c>
      <c r="B22" s="113">
        <f>B19+B20</f>
        <v>3</v>
      </c>
      <c r="C22" s="2270"/>
      <c r="D22" s="2271"/>
      <c r="E22" s="2270"/>
      <c r="F22" s="2270"/>
      <c r="G22" s="2270"/>
      <c r="H22" s="2270"/>
      <c r="I22" s="2270"/>
      <c r="J22" s="2270"/>
      <c r="K22" s="166"/>
      <c r="L22" s="166"/>
      <c r="M22" s="1579"/>
      <c r="N22" s="1579"/>
      <c r="O22" s="1579"/>
      <c r="P22" s="1579"/>
      <c r="Q22" s="1579"/>
      <c r="R22" s="1579"/>
      <c r="S22" s="1579"/>
      <c r="T22" s="3022" t="s">
        <v>3199</v>
      </c>
      <c r="U22" s="1579">
        <f>U20*0.6</f>
        <v>9</v>
      </c>
      <c r="V22" s="1579">
        <f>(U20+U21+U22)/3</f>
        <v>11.5</v>
      </c>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2026</v>
      </c>
      <c r="B23" s="113">
        <f>B19+B21</f>
        <v>3</v>
      </c>
      <c r="C23" s="2270"/>
      <c r="D23" s="2271"/>
      <c r="E23" s="2270"/>
      <c r="F23" s="2270"/>
      <c r="G23" s="2270"/>
      <c r="H23" s="2270"/>
      <c r="I23" s="2270"/>
      <c r="J23" s="2270"/>
      <c r="K23" s="166"/>
      <c r="L23" s="166"/>
      <c r="M23" s="1579"/>
      <c r="N23" s="1579"/>
      <c r="O23" s="1579"/>
      <c r="P23" s="1579"/>
      <c r="Q23" s="1579"/>
      <c r="R23" s="1579"/>
      <c r="S23" s="1579"/>
      <c r="T23" s="3022"/>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2027</v>
      </c>
      <c r="B24" s="114">
        <f>B20-B21</f>
        <v>0</v>
      </c>
      <c r="C24" s="2270"/>
      <c r="D24" s="2271"/>
      <c r="E24" s="2270"/>
      <c r="F24" s="2270"/>
      <c r="G24" s="2270"/>
      <c r="H24" s="2270"/>
      <c r="I24" s="2270"/>
      <c r="J24" s="2270"/>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2028</v>
      </c>
      <c r="B26" s="2312" t="s">
        <v>2029</v>
      </c>
      <c r="C26" s="2313" t="s">
        <v>2030</v>
      </c>
      <c r="D26" s="2271"/>
      <c r="E26" s="2270"/>
      <c r="F26" s="2270"/>
      <c r="G26" s="2270"/>
      <c r="H26" s="2270"/>
      <c r="I26" s="2270"/>
      <c r="J26" s="2270"/>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2031</v>
      </c>
      <c r="B27" s="3071"/>
      <c r="C27" s="1762" t="s">
        <v>2032</v>
      </c>
      <c r="D27" s="2315"/>
      <c r="E27" s="1425"/>
      <c r="F27" s="1425"/>
      <c r="G27" s="2270"/>
      <c r="H27" s="2270"/>
      <c r="I27" s="2270"/>
      <c r="J27" s="2270"/>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2033</v>
      </c>
      <c r="B28" s="3072"/>
      <c r="C28" s="2318"/>
      <c r="D28" s="2315"/>
      <c r="E28" s="1425"/>
      <c r="F28" s="1425"/>
      <c r="G28" s="2270"/>
      <c r="H28" s="2270"/>
      <c r="I28" s="2270"/>
      <c r="J28" s="2270"/>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2034</v>
      </c>
      <c r="B29" s="119"/>
      <c r="C29" s="1762" t="s">
        <v>2035</v>
      </c>
      <c r="D29" s="2315"/>
      <c r="E29" s="1425"/>
      <c r="F29" s="1425"/>
      <c r="G29" s="2270"/>
      <c r="H29" s="2270"/>
      <c r="I29" s="2270"/>
      <c r="J29" s="2270"/>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2036</v>
      </c>
      <c r="B30" s="722">
        <v>200</v>
      </c>
      <c r="C30" s="2318"/>
      <c r="D30" s="2315"/>
      <c r="E30" s="1425"/>
      <c r="F30" s="1425"/>
      <c r="G30" s="2270"/>
      <c r="H30" s="2270"/>
      <c r="I30" s="2270"/>
      <c r="J30" s="2270"/>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2037</v>
      </c>
      <c r="B31" s="118">
        <f>B30-B32</f>
        <v>200</v>
      </c>
      <c r="C31" s="1762"/>
      <c r="D31" s="2315"/>
      <c r="E31" s="1425"/>
      <c r="F31" s="1425"/>
      <c r="G31" s="2270"/>
      <c r="H31" s="2270"/>
      <c r="I31" s="2270"/>
      <c r="J31" s="2270"/>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2038</v>
      </c>
      <c r="B32" s="723">
        <v>0</v>
      </c>
      <c r="C32" s="2318"/>
      <c r="D32" s="2271"/>
      <c r="E32" s="2270"/>
      <c r="F32" s="2270"/>
      <c r="G32" s="2270"/>
      <c r="H32" s="2270"/>
      <c r="I32" s="2270"/>
      <c r="J32" s="2270"/>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2039</v>
      </c>
      <c r="B33" s="724">
        <v>0.03</v>
      </c>
      <c r="C33" s="1761" t="s">
        <v>2040</v>
      </c>
      <c r="D33" s="2271"/>
      <c r="E33" s="2270"/>
      <c r="F33" s="2270"/>
      <c r="G33" s="2270"/>
      <c r="H33" s="2270"/>
      <c r="I33" s="2270"/>
      <c r="J33" s="2270"/>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2041</v>
      </c>
      <c r="B34" s="120">
        <v>0.05</v>
      </c>
      <c r="C34" s="1761" t="s">
        <v>2042</v>
      </c>
      <c r="D34" s="2271" t="s">
        <v>2043</v>
      </c>
      <c r="E34" s="730"/>
      <c r="F34" s="2270"/>
      <c r="G34" s="2270"/>
      <c r="H34" s="2270"/>
      <c r="I34" s="2270"/>
      <c r="J34" s="2270"/>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2044</v>
      </c>
      <c r="B35" s="117">
        <v>0</v>
      </c>
      <c r="C35" s="1761" t="s">
        <v>2045</v>
      </c>
      <c r="D35" s="2315"/>
      <c r="E35" s="1425"/>
      <c r="F35" s="1425"/>
      <c r="G35" s="2270"/>
      <c r="H35" s="2270"/>
      <c r="I35" s="2270"/>
      <c r="J35" s="2270"/>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2046</v>
      </c>
      <c r="B36" s="121">
        <v>1.4999999999999999E-2</v>
      </c>
      <c r="C36" s="1761" t="s">
        <v>2047</v>
      </c>
      <c r="D36" s="2271"/>
      <c r="E36" s="2270"/>
      <c r="F36" s="2270"/>
      <c r="G36" s="2270"/>
      <c r="H36" s="2270"/>
      <c r="I36" s="2270"/>
      <c r="J36" s="2270"/>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2048</v>
      </c>
      <c r="B37" s="122">
        <v>0.02</v>
      </c>
      <c r="C37" s="1761" t="s">
        <v>2049</v>
      </c>
      <c r="D37" s="2271"/>
      <c r="E37" s="2270"/>
      <c r="F37" s="2270"/>
      <c r="G37" s="2270"/>
      <c r="H37" s="2270"/>
      <c r="I37" s="2270"/>
      <c r="J37" s="2270"/>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2050</v>
      </c>
      <c r="B38" s="120">
        <v>0.03</v>
      </c>
      <c r="C38" s="1761" t="s">
        <v>2049</v>
      </c>
      <c r="D38" s="2271"/>
      <c r="E38" s="2270"/>
      <c r="F38" s="2270"/>
      <c r="G38" s="2270"/>
      <c r="H38" s="2270"/>
      <c r="I38" s="2270"/>
      <c r="J38" s="2270"/>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2051</v>
      </c>
      <c r="B39" s="360">
        <f ca="1">存贷款利率!I1</f>
        <v>1.4999999999999999E-2</v>
      </c>
      <c r="C39" s="1761"/>
      <c r="D39" s="2271"/>
      <c r="E39" s="2270"/>
      <c r="F39" s="2270"/>
      <c r="G39" s="2270"/>
      <c r="H39" s="2270"/>
      <c r="I39" s="2270"/>
      <c r="J39" s="2270"/>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2052</v>
      </c>
      <c r="B40" s="1298">
        <f ca="1">存贷款利率!G1</f>
        <v>4.7500000000000001E-2</v>
      </c>
      <c r="C40" s="1761" t="s">
        <v>2053</v>
      </c>
      <c r="D40" s="1579"/>
      <c r="E40" s="2271"/>
      <c r="F40" s="2270"/>
      <c r="G40" s="2270"/>
      <c r="H40" s="2270"/>
      <c r="I40" s="2270"/>
      <c r="J40" s="2270"/>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2054</v>
      </c>
      <c r="B41" s="123">
        <f>B42+B43</f>
        <v>5.6000000000000001E-2</v>
      </c>
      <c r="C41" s="1762"/>
      <c r="D41" s="1579"/>
      <c r="E41" s="2271"/>
      <c r="F41" s="2270"/>
      <c r="G41" s="2270"/>
      <c r="H41" s="2270"/>
      <c r="I41" s="2270"/>
      <c r="J41" s="2270"/>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2055</v>
      </c>
      <c r="B42" s="124">
        <v>0.05</v>
      </c>
      <c r="C42" s="2323">
        <f>IF(B2&lt;DATE(2016,5,1),0,B42)</f>
        <v>0.05</v>
      </c>
      <c r="D42" s="2271"/>
      <c r="E42" s="2270"/>
      <c r="F42" s="2270"/>
      <c r="G42" s="2270"/>
      <c r="H42" s="2270"/>
      <c r="I42" s="2270"/>
      <c r="J42" s="2270"/>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2056</v>
      </c>
      <c r="B43" s="125">
        <f>B42*(B44+B45+B46)+B47</f>
        <v>6.000000000000001E-3</v>
      </c>
      <c r="C43" s="1762"/>
      <c r="D43" s="2271"/>
      <c r="E43" s="2270"/>
      <c r="F43" s="2270"/>
      <c r="G43" s="2270"/>
      <c r="H43" s="2270"/>
      <c r="I43" s="2270"/>
      <c r="J43" s="2270"/>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2057</v>
      </c>
      <c r="B44" s="126">
        <v>7.0000000000000007E-2</v>
      </c>
      <c r="C44" s="1761" t="s">
        <v>2058</v>
      </c>
      <c r="D44" s="2271"/>
      <c r="E44" s="2270"/>
      <c r="F44" s="2270"/>
      <c r="G44" s="2270"/>
      <c r="H44" s="2270"/>
      <c r="I44" s="2270"/>
      <c r="J44" s="2270"/>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2059</v>
      </c>
      <c r="B45" s="124">
        <v>0.03</v>
      </c>
      <c r="C45" s="1762" t="s">
        <v>2060</v>
      </c>
      <c r="D45" s="2271"/>
      <c r="E45" s="2270"/>
      <c r="F45" s="2270"/>
      <c r="G45" s="2270"/>
      <c r="H45" s="2270"/>
      <c r="I45" s="2270"/>
      <c r="J45" s="2270"/>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2061</v>
      </c>
      <c r="B46" s="124">
        <v>0.02</v>
      </c>
      <c r="C46" s="1762" t="s">
        <v>2062</v>
      </c>
      <c r="D46" s="2271"/>
      <c r="E46" s="2270"/>
      <c r="F46" s="2270"/>
      <c r="G46" s="2270"/>
      <c r="H46" s="2270"/>
      <c r="I46" s="2270"/>
      <c r="J46" s="2270"/>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2063</v>
      </c>
      <c r="B47" s="127"/>
      <c r="C47" s="1762" t="s">
        <v>2064</v>
      </c>
      <c r="D47" s="2271"/>
      <c r="E47" s="2270"/>
      <c r="F47" s="2270"/>
      <c r="G47" s="2270"/>
      <c r="H47" s="2270"/>
      <c r="I47" s="2270"/>
      <c r="J47" s="2270"/>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2065</v>
      </c>
      <c r="B48" s="128"/>
      <c r="C48" s="1769" t="s">
        <v>2066</v>
      </c>
      <c r="D48" s="2271"/>
      <c r="E48" s="2270"/>
      <c r="F48" s="2270"/>
      <c r="G48" s="2270"/>
      <c r="H48" s="2270"/>
      <c r="I48" s="2270"/>
      <c r="J48" s="2270"/>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2067</v>
      </c>
      <c r="B49" s="124"/>
      <c r="C49" s="1769" t="s">
        <v>2068</v>
      </c>
      <c r="D49" s="2271"/>
      <c r="E49" s="2270"/>
      <c r="F49" s="2270"/>
      <c r="G49" s="2270"/>
      <c r="H49" s="2270"/>
      <c r="I49" s="2270"/>
      <c r="J49" s="2270"/>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2069</v>
      </c>
      <c r="B50" s="129">
        <v>1.2E-2</v>
      </c>
      <c r="C50" s="1425"/>
      <c r="D50" s="2271"/>
      <c r="E50" s="2270"/>
      <c r="F50" s="2270"/>
      <c r="G50" s="2270"/>
      <c r="H50" s="2270"/>
      <c r="I50" s="2270"/>
      <c r="J50" s="2270"/>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2070</v>
      </c>
      <c r="B51" s="130">
        <v>0.12</v>
      </c>
      <c r="C51" s="1425"/>
      <c r="D51" s="2271"/>
      <c r="E51" s="2270"/>
      <c r="F51" s="2270"/>
      <c r="G51" s="2270"/>
      <c r="H51" s="2270"/>
      <c r="I51" s="2270"/>
      <c r="J51" s="2270"/>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2071</v>
      </c>
      <c r="B52" s="131">
        <f>SUMIF(A54:A63,B53,B54:B63)</f>
        <v>9</v>
      </c>
      <c r="C52" s="1425"/>
      <c r="D52" s="2271"/>
      <c r="E52" s="2270"/>
      <c r="F52" s="2270"/>
      <c r="G52" s="2270"/>
      <c r="H52" s="2270"/>
      <c r="I52" s="2270"/>
      <c r="J52" s="2270"/>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2072</v>
      </c>
      <c r="B53" s="2328" t="s">
        <v>137</v>
      </c>
      <c r="C53" s="2965"/>
      <c r="D53" s="2964" t="s">
        <v>3091</v>
      </c>
      <c r="E53" s="2270"/>
      <c r="F53" s="2270"/>
      <c r="G53" s="2270"/>
      <c r="H53" s="2270"/>
      <c r="I53" s="2270"/>
      <c r="J53" s="2270"/>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9" t="s">
        <v>2073</v>
      </c>
      <c r="B54" s="84"/>
      <c r="C54" s="1425"/>
      <c r="D54" s="2271"/>
      <c r="E54" s="2270"/>
      <c r="F54" s="2270"/>
      <c r="G54" s="2270"/>
      <c r="H54" s="2270"/>
      <c r="I54" s="2270"/>
      <c r="J54" s="2270"/>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9" t="s">
        <v>2074</v>
      </c>
      <c r="B55" s="84"/>
      <c r="C55" s="1425"/>
      <c r="D55" s="2271"/>
      <c r="E55" s="2270"/>
      <c r="F55" s="2270"/>
      <c r="G55" s="2270"/>
      <c r="H55" s="2270"/>
      <c r="I55" s="2330"/>
      <c r="J55" s="2270"/>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9" t="s">
        <v>2075</v>
      </c>
      <c r="B56" s="84"/>
      <c r="C56" s="1425"/>
      <c r="D56" s="2271"/>
      <c r="E56" s="2270"/>
      <c r="F56" s="2270"/>
      <c r="G56" s="2270"/>
      <c r="H56" s="2270"/>
      <c r="I56" s="2270"/>
      <c r="J56" s="2270"/>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9" t="s">
        <v>2076</v>
      </c>
      <c r="B57" s="84">
        <v>9</v>
      </c>
      <c r="C57" s="1425"/>
      <c r="D57" s="2271"/>
      <c r="E57" s="2270"/>
      <c r="F57" s="2270"/>
      <c r="G57" s="2270"/>
      <c r="H57" s="2270"/>
      <c r="I57" s="2270"/>
      <c r="J57" s="2270"/>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9" t="s">
        <v>2077</v>
      </c>
      <c r="B58" s="84"/>
      <c r="C58" s="1425"/>
      <c r="D58" s="2271"/>
      <c r="E58" s="2270"/>
      <c r="F58" s="2270"/>
      <c r="G58" s="2270"/>
      <c r="H58" s="2270"/>
      <c r="I58" s="2270"/>
      <c r="J58" s="2270"/>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9" t="s">
        <v>2078</v>
      </c>
      <c r="B59" s="84"/>
      <c r="C59" s="1425"/>
      <c r="D59" s="2271"/>
      <c r="E59" s="2270"/>
      <c r="F59" s="2270"/>
      <c r="G59" s="2270"/>
      <c r="H59" s="2270"/>
      <c r="I59" s="2270"/>
      <c r="J59" s="2270"/>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9" t="s">
        <v>2079</v>
      </c>
      <c r="B60" s="84"/>
      <c r="C60" s="2270"/>
      <c r="D60" s="2271"/>
      <c r="E60" s="2270"/>
      <c r="F60" s="2270"/>
      <c r="G60" s="2270"/>
      <c r="H60" s="2270"/>
      <c r="I60" s="2270"/>
      <c r="J60" s="2270"/>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9" t="s">
        <v>2080</v>
      </c>
      <c r="B61" s="84"/>
      <c r="C61" s="2270"/>
      <c r="D61" s="2271"/>
      <c r="E61" s="2270"/>
      <c r="F61" s="2270"/>
      <c r="G61" s="2270"/>
      <c r="H61" s="2270"/>
      <c r="I61" s="2270"/>
      <c r="J61" s="2270"/>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9" t="s">
        <v>2081</v>
      </c>
      <c r="B62" s="84"/>
      <c r="C62" s="2270"/>
      <c r="D62" s="2271"/>
      <c r="E62" s="2270"/>
      <c r="F62" s="2270"/>
      <c r="G62" s="2270"/>
      <c r="H62" s="2270"/>
      <c r="I62" s="2270"/>
      <c r="J62" s="2270"/>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1" t="s">
        <v>2082</v>
      </c>
      <c r="B63" s="132"/>
      <c r="C63" s="2270"/>
      <c r="D63" s="2271"/>
      <c r="E63" s="2270"/>
      <c r="F63" s="2270"/>
      <c r="G63" s="2270"/>
      <c r="H63" s="2270"/>
      <c r="I63" s="2270"/>
      <c r="J63" s="2270"/>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2"/>
      <c r="D64" s="2333"/>
      <c r="K64" s="796"/>
      <c r="L64" s="796"/>
    </row>
    <row r="65" spans="1:12" s="962" customFormat="1">
      <c r="A65" s="2332"/>
      <c r="D65" s="2333"/>
      <c r="K65" s="796"/>
      <c r="L65" s="796"/>
    </row>
    <row r="66" spans="1:12" s="962" customFormat="1">
      <c r="A66" s="2332"/>
      <c r="D66" s="2333"/>
      <c r="K66" s="796"/>
      <c r="L66" s="796"/>
    </row>
    <row r="67" spans="1:12" s="962" customFormat="1">
      <c r="A67" s="2332"/>
      <c r="D67" s="2333"/>
      <c r="K67" s="796"/>
      <c r="L67" s="796"/>
    </row>
    <row r="68" spans="1:12" s="962" customFormat="1">
      <c r="A68" s="2332"/>
      <c r="D68" s="2333"/>
      <c r="K68" s="796"/>
      <c r="L68" s="796"/>
    </row>
    <row r="69" spans="1:12" s="962" customFormat="1">
      <c r="A69" s="2332"/>
      <c r="D69" s="2333"/>
      <c r="K69" s="796"/>
      <c r="L69" s="796"/>
    </row>
    <row r="70" spans="1:12" s="962" customFormat="1">
      <c r="A70" s="2332"/>
      <c r="D70" s="2333"/>
      <c r="K70" s="796"/>
      <c r="L70" s="796"/>
    </row>
    <row r="71" spans="1:12" s="962" customFormat="1">
      <c r="A71" s="2332"/>
      <c r="D71" s="2333"/>
      <c r="K71" s="796"/>
      <c r="L71" s="796"/>
    </row>
    <row r="72" spans="1:12" s="962" customFormat="1">
      <c r="A72" s="2332"/>
      <c r="D72" s="2333"/>
      <c r="K72" s="796"/>
      <c r="L72" s="796"/>
    </row>
    <row r="73" spans="1:12" s="962" customFormat="1">
      <c r="A73" s="2332"/>
      <c r="D73" s="2333"/>
      <c r="K73" s="796"/>
      <c r="L73" s="796"/>
    </row>
    <row r="74" spans="1:12" s="962" customFormat="1">
      <c r="A74" s="2332"/>
      <c r="D74" s="2333"/>
      <c r="K74" s="796"/>
      <c r="L74" s="796"/>
    </row>
    <row r="75" spans="1:12" s="962" customFormat="1">
      <c r="A75" s="2332"/>
      <c r="D75" s="2333"/>
      <c r="K75" s="796"/>
      <c r="L75" s="796"/>
    </row>
    <row r="76" spans="1:12" s="962" customFormat="1">
      <c r="A76" s="2332"/>
      <c r="D76" s="2333"/>
      <c r="K76" s="796"/>
      <c r="L76" s="796"/>
    </row>
    <row r="77" spans="1:12" s="962" customFormat="1">
      <c r="A77" s="2332"/>
      <c r="D77" s="2333"/>
      <c r="K77" s="796"/>
      <c r="L77" s="796"/>
    </row>
    <row r="78" spans="1:12" s="962" customFormat="1">
      <c r="A78" s="2332"/>
      <c r="D78" s="2333"/>
      <c r="K78" s="796"/>
      <c r="L78" s="796"/>
    </row>
    <row r="79" spans="1:12" s="962" customFormat="1">
      <c r="A79" s="2332"/>
      <c r="D79" s="2333"/>
      <c r="K79" s="796"/>
      <c r="L79" s="796"/>
    </row>
    <row r="80" spans="1:12" s="962" customFormat="1">
      <c r="A80" s="2332"/>
      <c r="D80" s="2333"/>
      <c r="K80" s="796"/>
      <c r="L80" s="796"/>
    </row>
    <row r="81" spans="1:12" s="962" customFormat="1">
      <c r="A81" s="2332"/>
      <c r="D81" s="2333"/>
      <c r="K81" s="796"/>
      <c r="L81" s="796"/>
    </row>
    <row r="82" spans="1:12" s="962" customFormat="1">
      <c r="A82" s="2332"/>
      <c r="D82" s="2333"/>
      <c r="K82" s="796"/>
      <c r="L82" s="796"/>
    </row>
    <row r="83" spans="1:12" s="962" customFormat="1">
      <c r="A83" s="2332"/>
      <c r="D83" s="2333"/>
      <c r="K83" s="796"/>
      <c r="L83" s="796"/>
    </row>
    <row r="84" spans="1:12" s="962" customFormat="1">
      <c r="A84" s="2332"/>
      <c r="D84" s="2333"/>
      <c r="K84" s="796"/>
      <c r="L84" s="796"/>
    </row>
    <row r="85" spans="1:12" s="962" customFormat="1">
      <c r="A85" s="2332"/>
      <c r="D85" s="2333"/>
      <c r="K85" s="796"/>
      <c r="L85" s="796"/>
    </row>
    <row r="86" spans="1:12" s="962" customFormat="1">
      <c r="A86" s="2332"/>
      <c r="D86" s="2333"/>
      <c r="K86" s="796"/>
      <c r="L86" s="796"/>
    </row>
    <row r="87" spans="1:12" s="962" customFormat="1">
      <c r="A87" s="2332"/>
      <c r="D87" s="2333"/>
      <c r="K87" s="796"/>
      <c r="L87" s="796"/>
    </row>
    <row r="88" spans="1:12" s="962" customFormat="1">
      <c r="A88" s="2332"/>
      <c r="D88" s="2333"/>
      <c r="K88" s="796"/>
      <c r="L88" s="796"/>
    </row>
    <row r="89" spans="1:12" s="962" customFormat="1">
      <c r="A89" s="2332"/>
      <c r="D89" s="2333"/>
      <c r="K89" s="796"/>
      <c r="L89" s="796"/>
    </row>
    <row r="90" spans="1:12" s="962" customFormat="1">
      <c r="A90" s="2332"/>
      <c r="D90" s="2333"/>
      <c r="K90" s="796"/>
      <c r="L90" s="796"/>
    </row>
    <row r="91" spans="1:12" s="962" customFormat="1">
      <c r="A91" s="2332"/>
      <c r="D91" s="2333"/>
      <c r="K91" s="796"/>
      <c r="L91" s="796"/>
    </row>
    <row r="92" spans="1:12" s="962" customFormat="1">
      <c r="A92" s="2332"/>
      <c r="D92" s="2333"/>
      <c r="K92" s="796"/>
      <c r="L92" s="796"/>
    </row>
    <row r="93" spans="1:12" s="962" customFormat="1">
      <c r="A93" s="2332"/>
      <c r="D93" s="2333"/>
      <c r="K93" s="796"/>
      <c r="L93" s="796"/>
    </row>
    <row r="94" spans="1:12" s="962" customFormat="1">
      <c r="A94" s="2332"/>
      <c r="D94" s="2333"/>
      <c r="K94" s="796"/>
      <c r="L94" s="796"/>
    </row>
    <row r="95" spans="1:12" s="962" customFormat="1">
      <c r="A95" s="2332"/>
      <c r="D95" s="2333"/>
      <c r="K95" s="796"/>
      <c r="L95" s="796"/>
    </row>
    <row r="96" spans="1:12" s="962" customFormat="1">
      <c r="A96" s="2332"/>
      <c r="D96" s="2333"/>
      <c r="K96" s="796"/>
      <c r="L96" s="796"/>
    </row>
    <row r="97" spans="1:12" s="962" customFormat="1">
      <c r="A97" s="2332"/>
      <c r="D97" s="2333"/>
      <c r="K97" s="796"/>
      <c r="L97" s="796"/>
    </row>
    <row r="98" spans="1:12" s="962" customFormat="1">
      <c r="A98" s="2332"/>
      <c r="D98" s="2333"/>
      <c r="K98" s="796"/>
      <c r="L98" s="796"/>
    </row>
    <row r="99" spans="1:12" s="962" customFormat="1">
      <c r="A99" s="2332"/>
      <c r="D99" s="2333"/>
      <c r="K99" s="796"/>
      <c r="L99" s="796"/>
    </row>
    <row r="100" spans="1:12" s="962" customFormat="1">
      <c r="A100" s="2332"/>
      <c r="D100" s="2333"/>
      <c r="K100" s="796"/>
      <c r="L100" s="796"/>
    </row>
    <row r="101" spans="1:12" s="962" customFormat="1">
      <c r="A101" s="2332"/>
      <c r="D101" s="2333"/>
      <c r="K101" s="796"/>
      <c r="L101" s="796"/>
    </row>
    <row r="102" spans="1:12" s="962" customFormat="1">
      <c r="A102" s="2332"/>
      <c r="D102" s="2333"/>
      <c r="K102" s="796"/>
      <c r="L102" s="796"/>
    </row>
    <row r="103" spans="1:12" s="962" customFormat="1">
      <c r="A103" s="2332"/>
      <c r="D103" s="2333"/>
      <c r="K103" s="796"/>
      <c r="L103" s="796"/>
    </row>
    <row r="104" spans="1:12" s="962" customFormat="1">
      <c r="A104" s="2332"/>
      <c r="D104" s="2333"/>
      <c r="K104" s="796"/>
      <c r="L104" s="796"/>
    </row>
    <row r="105" spans="1:12" s="962" customFormat="1">
      <c r="A105" s="2332"/>
      <c r="D105" s="2333"/>
      <c r="K105" s="796"/>
      <c r="L105" s="796"/>
    </row>
    <row r="106" spans="1:12" s="962" customFormat="1">
      <c r="A106" s="2332"/>
      <c r="D106" s="2333"/>
      <c r="K106" s="796"/>
      <c r="L106" s="796"/>
    </row>
    <row r="107" spans="1:12" s="962" customFormat="1">
      <c r="A107" s="2332"/>
      <c r="D107" s="2333"/>
      <c r="K107" s="796"/>
      <c r="L107" s="796"/>
    </row>
    <row r="108" spans="1:12" s="962" customFormat="1">
      <c r="A108" s="2332"/>
      <c r="D108" s="2333"/>
      <c r="K108" s="796"/>
      <c r="L108" s="796"/>
    </row>
    <row r="109" spans="1:12" s="962" customFormat="1">
      <c r="A109" s="2332"/>
      <c r="D109" s="2333"/>
      <c r="K109" s="796"/>
      <c r="L109" s="796"/>
    </row>
    <row r="110" spans="1:12" s="962" customFormat="1">
      <c r="A110" s="2332"/>
      <c r="D110" s="2333"/>
      <c r="K110" s="796"/>
      <c r="L110" s="796"/>
    </row>
    <row r="111" spans="1:12" s="962" customFormat="1">
      <c r="A111" s="2332"/>
      <c r="D111" s="2333"/>
      <c r="K111" s="796"/>
      <c r="L111" s="796"/>
    </row>
    <row r="112" spans="1:12" s="962" customFormat="1">
      <c r="A112" s="2332"/>
      <c r="D112" s="2333"/>
      <c r="K112" s="796"/>
      <c r="L112" s="796"/>
    </row>
    <row r="113" spans="1:12" s="962" customFormat="1">
      <c r="A113" s="2332"/>
      <c r="D113" s="2333"/>
      <c r="K113" s="796"/>
      <c r="L113" s="796"/>
    </row>
    <row r="114" spans="1:12" s="962" customFormat="1">
      <c r="A114" s="2332"/>
      <c r="D114" s="2333"/>
      <c r="K114" s="796"/>
      <c r="L114" s="796"/>
    </row>
    <row r="115" spans="1:12" s="962" customFormat="1">
      <c r="A115" s="2332"/>
      <c r="D115" s="2333"/>
      <c r="K115" s="796"/>
      <c r="L115" s="796"/>
    </row>
    <row r="116" spans="1:12" s="962" customFormat="1">
      <c r="A116" s="2332"/>
      <c r="D116" s="2333"/>
      <c r="K116" s="796"/>
      <c r="L116" s="796"/>
    </row>
    <row r="117" spans="1:12" s="962" customFormat="1">
      <c r="A117" s="2332"/>
      <c r="D117" s="2333"/>
      <c r="K117" s="796"/>
      <c r="L117" s="796"/>
    </row>
    <row r="118" spans="1:12" s="962" customFormat="1">
      <c r="A118" s="2332"/>
      <c r="D118" s="2333"/>
      <c r="K118" s="796"/>
      <c r="L118" s="796"/>
    </row>
    <row r="119" spans="1:12" s="962" customFormat="1">
      <c r="A119" s="2332"/>
      <c r="D119" s="2333"/>
      <c r="K119" s="796"/>
      <c r="L119" s="796"/>
    </row>
    <row r="120" spans="1:12" s="962" customFormat="1">
      <c r="A120" s="2332"/>
      <c r="D120" s="2333"/>
      <c r="K120" s="796"/>
      <c r="L120" s="796"/>
    </row>
    <row r="121" spans="1:12" s="962" customFormat="1">
      <c r="A121" s="2332"/>
      <c r="D121" s="2333"/>
      <c r="K121" s="796"/>
      <c r="L121" s="796"/>
    </row>
    <row r="122" spans="1:12" s="962" customFormat="1">
      <c r="A122" s="2332"/>
      <c r="D122" s="2333"/>
      <c r="K122" s="796"/>
      <c r="L122" s="796"/>
    </row>
    <row r="123" spans="1:12" s="962" customFormat="1">
      <c r="A123" s="2332"/>
      <c r="D123" s="2333"/>
      <c r="K123" s="796"/>
      <c r="L123" s="796"/>
    </row>
    <row r="124" spans="1:12" s="962" customFormat="1">
      <c r="A124" s="2332"/>
      <c r="D124" s="2333"/>
      <c r="K124" s="796"/>
      <c r="L124" s="796"/>
    </row>
    <row r="125" spans="1:12" s="962" customFormat="1">
      <c r="A125" s="2332"/>
      <c r="D125" s="2333"/>
      <c r="K125" s="796"/>
      <c r="L125" s="796"/>
    </row>
    <row r="126" spans="1:12" s="962" customFormat="1">
      <c r="A126" s="2332"/>
      <c r="D126" s="2333"/>
      <c r="K126" s="796"/>
      <c r="L126" s="796"/>
    </row>
    <row r="127" spans="1:12" s="962" customFormat="1">
      <c r="A127" s="2332"/>
      <c r="D127" s="2333"/>
      <c r="K127" s="796"/>
      <c r="L127" s="796"/>
    </row>
    <row r="128" spans="1:12" s="962" customFormat="1">
      <c r="A128" s="2332"/>
      <c r="D128" s="2333"/>
      <c r="K128" s="796"/>
      <c r="L128" s="796"/>
    </row>
    <row r="129" spans="1:12" s="962" customFormat="1">
      <c r="A129" s="2332"/>
      <c r="D129" s="2333"/>
      <c r="K129" s="796"/>
      <c r="L129" s="796"/>
    </row>
    <row r="130" spans="1:12" s="962" customFormat="1">
      <c r="A130" s="2332"/>
      <c r="D130" s="2333"/>
      <c r="K130" s="796"/>
      <c r="L130" s="796"/>
    </row>
    <row r="131" spans="1:12" s="962" customFormat="1">
      <c r="A131" s="2332"/>
      <c r="D131" s="2333"/>
      <c r="K131" s="796"/>
      <c r="L131" s="796"/>
    </row>
    <row r="132" spans="1:12" s="962" customFormat="1">
      <c r="A132" s="2332"/>
      <c r="D132" s="2333"/>
      <c r="K132" s="796"/>
      <c r="L132" s="796"/>
    </row>
    <row r="133" spans="1:12" s="962" customFormat="1">
      <c r="A133" s="2332"/>
      <c r="D133" s="2333"/>
      <c r="K133" s="796"/>
      <c r="L133" s="796"/>
    </row>
    <row r="134" spans="1:12" s="2267" customFormat="1">
      <c r="A134" s="2334"/>
      <c r="D134" s="2335"/>
      <c r="K134" s="27"/>
      <c r="L134" s="27"/>
    </row>
    <row r="135" spans="1:12" s="2267" customFormat="1">
      <c r="A135" s="2334"/>
      <c r="D135" s="2335"/>
      <c r="K135" s="27"/>
      <c r="L135" s="27"/>
    </row>
    <row r="136" spans="1:12" s="2267" customFormat="1">
      <c r="A136" s="2334"/>
      <c r="D136" s="2335"/>
      <c r="K136" s="27"/>
      <c r="L136" s="27"/>
    </row>
    <row r="137" spans="1:12" s="2267" customFormat="1">
      <c r="A137" s="2334"/>
      <c r="D137" s="2335"/>
      <c r="K137" s="27"/>
      <c r="L137" s="27"/>
    </row>
    <row r="138" spans="1:12" s="2267" customFormat="1">
      <c r="A138" s="2334"/>
      <c r="D138" s="2335"/>
      <c r="K138" s="27"/>
      <c r="L138" s="27"/>
    </row>
    <row r="139" spans="1:12" s="2267" customFormat="1">
      <c r="A139" s="2334"/>
      <c r="D139" s="2335"/>
      <c r="K139" s="27"/>
      <c r="L139" s="27"/>
    </row>
    <row r="140" spans="1:12" s="2267" customFormat="1">
      <c r="A140" s="2334"/>
      <c r="D140" s="2335"/>
      <c r="K140" s="27"/>
      <c r="L140" s="27"/>
    </row>
    <row r="141" spans="1:12" s="2267" customFormat="1">
      <c r="A141" s="2334"/>
      <c r="D141" s="2335"/>
      <c r="K141" s="27"/>
      <c r="L141" s="27"/>
    </row>
    <row r="142" spans="1:12" s="2267" customFormat="1">
      <c r="A142" s="2334"/>
      <c r="D142" s="2335"/>
      <c r="K142" s="27"/>
      <c r="L142" s="27"/>
    </row>
    <row r="143" spans="1:12" s="2267" customFormat="1">
      <c r="A143" s="2334"/>
      <c r="D143" s="2335"/>
      <c r="K143" s="27"/>
      <c r="L143" s="27"/>
    </row>
    <row r="144" spans="1:12" s="2267" customFormat="1">
      <c r="A144" s="2334"/>
      <c r="D144" s="2335"/>
      <c r="K144" s="27"/>
      <c r="L144" s="27"/>
    </row>
    <row r="145" spans="1:12" s="2267" customFormat="1">
      <c r="A145" s="2334"/>
      <c r="D145" s="2335"/>
      <c r="K145" s="27"/>
      <c r="L145" s="27"/>
    </row>
    <row r="146" spans="1:12" s="2267" customFormat="1">
      <c r="A146" s="2334"/>
      <c r="D146" s="2335"/>
      <c r="K146" s="27"/>
      <c r="L146" s="27"/>
    </row>
    <row r="147" spans="1:12" s="2267" customFormat="1">
      <c r="A147" s="2334"/>
      <c r="D147" s="2335"/>
      <c r="K147" s="27"/>
      <c r="L147" s="27"/>
    </row>
    <row r="148" spans="1:12" s="2267" customFormat="1">
      <c r="A148" s="2334"/>
      <c r="D148" s="2335"/>
      <c r="K148" s="27"/>
      <c r="L148" s="27"/>
    </row>
    <row r="149" spans="1:12" s="2267" customFormat="1">
      <c r="A149" s="2334"/>
      <c r="D149" s="2335"/>
      <c r="K149" s="27"/>
      <c r="L149" s="27"/>
    </row>
    <row r="150" spans="1:12" s="2267" customFormat="1">
      <c r="A150" s="2334"/>
      <c r="D150" s="2335"/>
      <c r="K150" s="27"/>
      <c r="L150" s="27"/>
    </row>
    <row r="151" spans="1:12" s="2267" customFormat="1">
      <c r="A151" s="2334"/>
      <c r="D151" s="2335"/>
      <c r="K151" s="27"/>
      <c r="L151" s="27"/>
    </row>
    <row r="152" spans="1:12" s="2267" customFormat="1">
      <c r="A152" s="2334"/>
      <c r="D152" s="2335"/>
      <c r="K152" s="27"/>
      <c r="L152" s="27"/>
    </row>
    <row r="153" spans="1:12" s="2267" customFormat="1">
      <c r="A153" s="2334"/>
      <c r="D153" s="2335"/>
      <c r="K153" s="27"/>
      <c r="L153" s="27"/>
    </row>
    <row r="154" spans="1:12" s="2267" customFormat="1">
      <c r="A154" s="2334"/>
      <c r="D154" s="2335"/>
      <c r="K154" s="27"/>
      <c r="L154" s="27"/>
    </row>
    <row r="155" spans="1:12" s="2267" customFormat="1">
      <c r="A155" s="2334"/>
      <c r="D155" s="2335"/>
      <c r="K155" s="27"/>
      <c r="L155" s="27"/>
    </row>
    <row r="156" spans="1:12" s="2267" customFormat="1">
      <c r="A156" s="2334"/>
      <c r="D156" s="2335"/>
      <c r="K156" s="27"/>
      <c r="L156" s="27"/>
    </row>
    <row r="157" spans="1:12" s="2267" customFormat="1">
      <c r="A157" s="2334"/>
      <c r="D157" s="2335"/>
      <c r="K157" s="27"/>
      <c r="L157" s="27"/>
    </row>
    <row r="158" spans="1:12" s="2267" customFormat="1">
      <c r="A158" s="2334"/>
      <c r="D158" s="2335"/>
      <c r="K158" s="27"/>
      <c r="L158" s="27"/>
    </row>
    <row r="159" spans="1:12" s="2267" customFormat="1">
      <c r="A159" s="2334"/>
      <c r="D159" s="2335"/>
      <c r="K159" s="27"/>
      <c r="L159" s="27"/>
    </row>
    <row r="160" spans="1:12" s="2267" customFormat="1">
      <c r="A160" s="2334"/>
      <c r="D160" s="2335"/>
      <c r="K160" s="27"/>
      <c r="L160" s="27"/>
    </row>
    <row r="161" spans="1:12" s="2267" customFormat="1">
      <c r="A161" s="2334"/>
      <c r="D161" s="2335"/>
      <c r="K161" s="27"/>
      <c r="L161" s="27"/>
    </row>
    <row r="162" spans="1:12" s="2267" customFormat="1">
      <c r="A162" s="2334"/>
      <c r="D162" s="2335"/>
      <c r="K162" s="27"/>
      <c r="L162" s="27"/>
    </row>
    <row r="163" spans="1:12" s="2267" customFormat="1">
      <c r="A163" s="2334"/>
      <c r="D163" s="2335"/>
      <c r="K163" s="27"/>
      <c r="L163" s="27"/>
    </row>
    <row r="164" spans="1:12" s="2267" customFormat="1">
      <c r="A164" s="2334"/>
      <c r="D164" s="2335"/>
      <c r="K164" s="27"/>
      <c r="L164" s="27"/>
    </row>
    <row r="165" spans="1:12" s="2267" customFormat="1">
      <c r="A165" s="2334"/>
      <c r="D165" s="2335"/>
      <c r="K165" s="27"/>
      <c r="L165" s="27"/>
    </row>
    <row r="166" spans="1:12" s="2267" customFormat="1">
      <c r="A166" s="2334"/>
      <c r="D166" s="2335"/>
      <c r="K166" s="27"/>
      <c r="L166" s="27"/>
    </row>
    <row r="167" spans="1:12" s="2267" customFormat="1">
      <c r="A167" s="2334"/>
      <c r="D167" s="2335"/>
      <c r="K167" s="27"/>
      <c r="L167" s="27"/>
    </row>
    <row r="168" spans="1:12" s="2267" customFormat="1">
      <c r="A168" s="2334"/>
      <c r="D168" s="2335"/>
      <c r="K168" s="27"/>
      <c r="L168" s="27"/>
    </row>
    <row r="169" spans="1:12" s="2267" customFormat="1">
      <c r="A169" s="2334"/>
      <c r="D169" s="2335"/>
      <c r="K169" s="27"/>
      <c r="L169" s="27"/>
    </row>
    <row r="170" spans="1:12" s="2267" customFormat="1">
      <c r="A170" s="2334"/>
      <c r="D170" s="2335"/>
      <c r="K170" s="27"/>
      <c r="L170" s="27"/>
    </row>
    <row r="171" spans="1:12" s="2267" customFormat="1">
      <c r="A171" s="2334"/>
      <c r="D171" s="2335"/>
      <c r="K171" s="27"/>
      <c r="L171" s="27"/>
    </row>
    <row r="172" spans="1:12" s="2267" customFormat="1">
      <c r="A172" s="2334"/>
      <c r="D172" s="2335"/>
      <c r="K172" s="27"/>
      <c r="L172" s="27"/>
    </row>
    <row r="173" spans="1:12" s="2267" customFormat="1">
      <c r="A173" s="2334"/>
      <c r="D173" s="2335"/>
      <c r="K173" s="27"/>
      <c r="L173" s="27"/>
    </row>
    <row r="174" spans="1:12" s="2267"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76" t="s">
        <v>2083</v>
      </c>
      <c r="B1" s="3177"/>
      <c r="C1" s="3177"/>
      <c r="D1" s="3177"/>
      <c r="E1" s="3177"/>
      <c r="F1" s="3177"/>
      <c r="G1" s="317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2084</v>
      </c>
      <c r="D2" s="2357"/>
      <c r="E2" s="2358"/>
      <c r="F2" s="2279"/>
      <c r="G2" s="2356" t="s">
        <v>2085</v>
      </c>
      <c r="H2" s="2359"/>
      <c r="I2" s="2359"/>
      <c r="J2" s="2359"/>
      <c r="K2" s="2359"/>
      <c r="L2" s="2359"/>
      <c r="M2" s="2359"/>
      <c r="N2" s="2359"/>
      <c r="O2" s="2359"/>
      <c r="P2" s="2359"/>
      <c r="Q2" s="2359"/>
      <c r="R2" s="2359"/>
    </row>
    <row r="3" spans="1:29" ht="27">
      <c r="A3" s="413" t="s">
        <v>2086</v>
      </c>
      <c r="B3" s="1266" t="s">
        <v>2087</v>
      </c>
      <c r="C3" s="2361"/>
      <c r="D3" s="2362"/>
      <c r="E3" s="429" t="s">
        <v>2086</v>
      </c>
      <c r="F3" s="2363" t="s">
        <v>2088</v>
      </c>
      <c r="G3" s="2364"/>
      <c r="H3" s="2359"/>
      <c r="I3" s="2359"/>
      <c r="J3" s="2359"/>
      <c r="K3" s="2359"/>
      <c r="L3" s="2359"/>
      <c r="M3" s="2359"/>
      <c r="N3" s="2359"/>
      <c r="O3" s="2359"/>
      <c r="P3" s="2359"/>
      <c r="Q3" s="2359"/>
      <c r="R3" s="2359"/>
    </row>
    <row r="4" spans="1:29" ht="15">
      <c r="A4" s="429"/>
      <c r="B4" s="1793" t="s">
        <v>2089</v>
      </c>
      <c r="C4" s="2365"/>
      <c r="D4" s="2362"/>
      <c r="E4" s="2366"/>
      <c r="F4" s="42" t="s">
        <v>2090</v>
      </c>
      <c r="G4" s="2367"/>
      <c r="H4" s="2359"/>
      <c r="I4" s="2359"/>
      <c r="J4" s="2359"/>
      <c r="K4" s="2359"/>
      <c r="L4" s="2359"/>
      <c r="M4" s="2359"/>
      <c r="N4" s="2359"/>
      <c r="O4" s="2359"/>
      <c r="P4" s="2359"/>
      <c r="Q4" s="2359"/>
      <c r="R4" s="2359"/>
    </row>
    <row r="5" spans="1:29" ht="15">
      <c r="A5" s="429"/>
      <c r="B5" s="1793" t="s">
        <v>2091</v>
      </c>
      <c r="C5" s="2365"/>
      <c r="D5" s="2362"/>
      <c r="E5" s="2366"/>
      <c r="F5" s="1793" t="s">
        <v>2092</v>
      </c>
      <c r="G5" s="2367"/>
      <c r="H5" s="2359"/>
      <c r="I5" s="2359"/>
      <c r="J5" s="2359"/>
      <c r="K5" s="2359"/>
      <c r="L5" s="2359"/>
      <c r="M5" s="2359"/>
      <c r="N5" s="2359"/>
      <c r="O5" s="2359"/>
      <c r="P5" s="2359"/>
      <c r="Q5" s="2359"/>
      <c r="R5" s="2359"/>
    </row>
    <row r="6" spans="1:29" ht="15">
      <c r="A6" s="429"/>
      <c r="B6" s="1793" t="s">
        <v>2093</v>
      </c>
      <c r="C6" s="2367"/>
      <c r="D6" s="2362"/>
      <c r="E6" s="2366"/>
      <c r="F6" s="1793" t="s">
        <v>2094</v>
      </c>
      <c r="G6" s="2367"/>
      <c r="H6" s="2359"/>
      <c r="I6" s="2359"/>
      <c r="J6" s="2359"/>
      <c r="K6" s="2359"/>
      <c r="L6" s="2359"/>
      <c r="M6" s="2359"/>
      <c r="N6" s="2359"/>
      <c r="O6" s="2359"/>
      <c r="P6" s="2359"/>
      <c r="Q6" s="2359"/>
      <c r="R6" s="2359"/>
    </row>
    <row r="7" spans="1:29" ht="15.75" thickBot="1">
      <c r="A7" s="429"/>
      <c r="B7" s="1793" t="s">
        <v>2092</v>
      </c>
      <c r="C7" s="2367"/>
      <c r="D7" s="2368"/>
      <c r="E7" s="2369"/>
      <c r="F7" s="2370" t="s">
        <v>2095</v>
      </c>
      <c r="G7" s="2371"/>
      <c r="H7" s="2359"/>
      <c r="I7" s="2359"/>
      <c r="J7" s="2359"/>
      <c r="K7" s="2359"/>
      <c r="L7" s="2359"/>
      <c r="M7" s="2359"/>
      <c r="N7" s="2359"/>
      <c r="O7" s="2359"/>
      <c r="P7" s="2359"/>
      <c r="Q7" s="2359"/>
      <c r="R7" s="2359"/>
    </row>
    <row r="8" spans="1:29" ht="15">
      <c r="A8" s="429"/>
      <c r="B8" s="1793" t="s">
        <v>2094</v>
      </c>
      <c r="C8" s="2367"/>
      <c r="D8" s="2368"/>
      <c r="E8" s="2368"/>
      <c r="F8" s="1131"/>
      <c r="G8" s="1131"/>
      <c r="H8" s="2359"/>
      <c r="I8" s="2359"/>
      <c r="J8" s="2359"/>
      <c r="K8" s="2359"/>
      <c r="L8" s="2359"/>
      <c r="M8" s="2359"/>
      <c r="N8" s="2359"/>
      <c r="O8" s="2359"/>
      <c r="P8" s="2359"/>
      <c r="Q8" s="2359"/>
      <c r="R8" s="2359"/>
    </row>
    <row r="9" spans="1:29" ht="15">
      <c r="A9" s="429"/>
      <c r="B9" s="1793" t="s">
        <v>2096</v>
      </c>
      <c r="C9" s="2365"/>
      <c r="D9" s="2362"/>
      <c r="E9" s="2368"/>
      <c r="F9" s="1131"/>
      <c r="G9" s="1131"/>
      <c r="H9" s="2359"/>
      <c r="I9" s="2359"/>
      <c r="J9" s="2359"/>
      <c r="K9" s="2359"/>
      <c r="L9" s="2359"/>
      <c r="M9" s="2359"/>
      <c r="N9" s="2359"/>
      <c r="O9" s="2359"/>
      <c r="P9" s="2359"/>
      <c r="Q9" s="2359"/>
      <c r="R9" s="2359"/>
    </row>
    <row r="10" spans="1:29" s="115" customFormat="1" ht="15.75" thickBot="1">
      <c r="A10" s="2372"/>
      <c r="B10" s="2373" t="s">
        <v>2097</v>
      </c>
      <c r="C10" s="2374"/>
      <c r="D10" s="2362"/>
      <c r="E10" s="2362"/>
      <c r="F10" s="1131"/>
      <c r="G10" s="1131"/>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9"/>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9"/>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2098</v>
      </c>
      <c r="B13" s="2379"/>
      <c r="C13" s="2379"/>
      <c r="D13" s="2386"/>
      <c r="E13" s="2379"/>
      <c r="F13" s="2379"/>
      <c r="G13" s="2379"/>
    </row>
    <row r="14" spans="1:29" ht="15.75" thickBot="1">
      <c r="A14" s="2390"/>
      <c r="B14" s="2391"/>
      <c r="C14" s="2392" t="s">
        <v>2099</v>
      </c>
      <c r="D14" s="2362"/>
      <c r="E14" s="2393"/>
      <c r="F14" s="2393"/>
      <c r="G14" s="2356" t="s">
        <v>2100</v>
      </c>
    </row>
    <row r="15" spans="1:29" ht="27">
      <c r="A15" s="68" t="s">
        <v>2101</v>
      </c>
      <c r="B15" s="1265" t="s">
        <v>2087</v>
      </c>
      <c r="C15" s="2394">
        <f>C3</f>
        <v>0</v>
      </c>
      <c r="D15" s="2362"/>
      <c r="E15" s="2395" t="s">
        <v>2102</v>
      </c>
      <c r="F15" s="1265" t="s">
        <v>2103</v>
      </c>
      <c r="G15" s="133">
        <f>G3</f>
        <v>0</v>
      </c>
    </row>
    <row r="16" spans="1:29" ht="15">
      <c r="A16" s="643"/>
      <c r="B16" s="2396" t="s">
        <v>2089</v>
      </c>
      <c r="C16" s="2397">
        <f>C4</f>
        <v>0</v>
      </c>
      <c r="D16" s="2362"/>
      <c r="E16" s="2398"/>
      <c r="F16" s="2399" t="s">
        <v>2090</v>
      </c>
      <c r="G16" s="134">
        <f>G4</f>
        <v>0</v>
      </c>
    </row>
    <row r="17" spans="1:18" ht="15">
      <c r="A17" s="643"/>
      <c r="B17" s="2396" t="s">
        <v>2091</v>
      </c>
      <c r="C17" s="2397">
        <f>C5</f>
        <v>0</v>
      </c>
      <c r="D17" s="2368"/>
      <c r="E17" s="2398"/>
      <c r="F17" s="2399" t="s">
        <v>2104</v>
      </c>
      <c r="G17" s="1567"/>
    </row>
    <row r="18" spans="1:18" ht="15">
      <c r="A18" s="643"/>
      <c r="B18" s="2399" t="s">
        <v>2093</v>
      </c>
      <c r="C18" s="134">
        <f>C6</f>
        <v>0</v>
      </c>
      <c r="D18" s="2368"/>
      <c r="E18" s="2398"/>
      <c r="F18" s="2399" t="s">
        <v>2095</v>
      </c>
      <c r="G18" s="134">
        <f>G7</f>
        <v>0</v>
      </c>
    </row>
    <row r="19" spans="1:18" ht="15">
      <c r="A19" s="643"/>
      <c r="B19" s="2399" t="s">
        <v>2105</v>
      </c>
      <c r="C19" s="1567"/>
      <c r="D19" s="2362"/>
      <c r="E19" s="2398"/>
      <c r="F19" s="1793" t="s">
        <v>2092</v>
      </c>
      <c r="G19" s="134">
        <f>G5</f>
        <v>0</v>
      </c>
    </row>
    <row r="20" spans="1:18" ht="15">
      <c r="A20" s="643"/>
      <c r="B20" s="2399" t="s">
        <v>2106</v>
      </c>
      <c r="C20" s="2397">
        <f>C9</f>
        <v>0</v>
      </c>
      <c r="D20" s="2368"/>
      <c r="E20" s="2398"/>
      <c r="F20" s="1793" t="s">
        <v>2107</v>
      </c>
      <c r="G20" s="134">
        <f>G6</f>
        <v>0</v>
      </c>
    </row>
    <row r="21" spans="1:18" ht="15">
      <c r="A21" s="643"/>
      <c r="B21" s="1793" t="s">
        <v>2092</v>
      </c>
      <c r="C21" s="134">
        <f>C7</f>
        <v>0</v>
      </c>
      <c r="D21" s="2362"/>
      <c r="E21" s="2398"/>
      <c r="F21" s="2399" t="s">
        <v>2108</v>
      </c>
      <c r="G21" s="2400"/>
    </row>
    <row r="22" spans="1:18" ht="13.5" customHeight="1">
      <c r="A22" s="643"/>
      <c r="B22" s="1793" t="s">
        <v>2094</v>
      </c>
      <c r="C22" s="134">
        <f>C8</f>
        <v>0</v>
      </c>
      <c r="D22" s="2362"/>
      <c r="E22" s="2398"/>
      <c r="F22" s="2399" t="s">
        <v>2097</v>
      </c>
      <c r="G22" s="1567"/>
    </row>
    <row r="23" spans="1:18" s="2359" customFormat="1" ht="15.75" thickBot="1">
      <c r="A23" s="643"/>
      <c r="B23" s="2399" t="s">
        <v>2108</v>
      </c>
      <c r="C23" s="2400"/>
      <c r="D23" s="2387"/>
      <c r="E23" s="2401"/>
      <c r="F23" s="2402" t="s">
        <v>2109</v>
      </c>
      <c r="G23" s="2403"/>
      <c r="H23" s="2387"/>
      <c r="I23" s="2388"/>
      <c r="J23" s="2387"/>
      <c r="K23" s="2387"/>
      <c r="L23" s="2388"/>
      <c r="M23" s="2387"/>
      <c r="N23" s="2387"/>
      <c r="O23" s="2388"/>
      <c r="P23" s="2387"/>
      <c r="Q23" s="2387"/>
      <c r="R23" s="2389"/>
    </row>
    <row r="24" spans="1:18" s="2359" customFormat="1" ht="15.7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50691.57</v>
      </c>
      <c r="C1" s="1740"/>
      <c r="D1" s="1740"/>
      <c r="E1" s="1740"/>
      <c r="F1" s="1740"/>
      <c r="G1" s="1738"/>
    </row>
    <row r="2" spans="1:10" ht="16.5">
      <c r="A2" s="1741" t="s">
        <v>1353</v>
      </c>
      <c r="B2" s="1741">
        <f>SUM(C14:C23)</f>
        <v>7108.46</v>
      </c>
      <c r="C2" s="1740"/>
      <c r="D2" s="1740"/>
      <c r="E2" s="1740"/>
      <c r="F2" s="1740"/>
      <c r="G2" s="1738"/>
    </row>
    <row r="3" spans="1:10" ht="16.5">
      <c r="A3" s="1741" t="s">
        <v>1362</v>
      </c>
      <c r="B3" s="1742">
        <f>项目基本情况!D3</f>
        <v>43202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250099</v>
      </c>
      <c r="C5" s="1741">
        <f ca="1">ROUND(B5*10000/$B$1,0)</f>
        <v>49337</v>
      </c>
      <c r="D5" s="1741">
        <f ca="1">ROUND(B5*10000/$B$2,0)</f>
        <v>351833</v>
      </c>
      <c r="E5" s="1740"/>
      <c r="F5" s="1738"/>
      <c r="G5" s="1738"/>
    </row>
    <row r="6" spans="1:10" ht="16.5">
      <c r="A6" s="1741" t="s">
        <v>1356</v>
      </c>
      <c r="B6" s="1741">
        <f ca="1">SUM(G14:G23)</f>
        <v>250099</v>
      </c>
      <c r="C6" s="1741">
        <f ca="1">ROUND(B6*10000/$B$1,0)</f>
        <v>49337</v>
      </c>
      <c r="D6" s="1741">
        <f ca="1">ROUND(B6*10000/$B$2,0)</f>
        <v>351833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50691.57</v>
      </c>
      <c r="C14" s="1739">
        <f>结果表!C118</f>
        <v>7108.46</v>
      </c>
      <c r="D14" s="1739">
        <f ca="1">结果表!H118</f>
        <v>250099</v>
      </c>
      <c r="E14" s="1739">
        <f ca="1">ROUND(D14*10000/B14,0)</f>
        <v>49337</v>
      </c>
      <c r="F14" s="1739">
        <f ca="1">ROUND(D14*10000/C14,0)</f>
        <v>351833</v>
      </c>
      <c r="G14" s="1739">
        <f ca="1">结果表!D122</f>
        <v>250099</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8" sqref="J18"/>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8" t="s">
        <v>2111</v>
      </c>
      <c r="B1" s="2410"/>
      <c r="C1" s="2411"/>
      <c r="D1" s="2410"/>
      <c r="E1" s="2410"/>
      <c r="F1" s="2412" t="s">
        <v>2112</v>
      </c>
      <c r="G1" s="2064" t="s">
        <v>3202</v>
      </c>
      <c r="H1" s="2413" t="str">
        <f>IF(G1="现房","——","估价对象范围")</f>
        <v>——</v>
      </c>
      <c r="I1" s="2414" t="s">
        <v>3203</v>
      </c>
    </row>
    <row r="2" spans="1:12" ht="21.75" customHeight="1" thickBot="1">
      <c r="A2" s="3250" t="str">
        <f>项目基本情况!S2</f>
        <v>深圳市南山区月亮湾大道与绵山路交汇处房地产</v>
      </c>
      <c r="B2" s="3251"/>
      <c r="C2" s="3251"/>
      <c r="D2" s="3251"/>
      <c r="E2" s="3251"/>
      <c r="F2" s="3251"/>
      <c r="G2" s="3251"/>
      <c r="H2" s="3251"/>
      <c r="I2" s="3252"/>
    </row>
    <row r="3" spans="1:12" ht="12.75">
      <c r="A3" s="3253" t="s">
        <v>2113</v>
      </c>
      <c r="B3" s="3254"/>
      <c r="C3" s="3254"/>
      <c r="D3" s="3254"/>
      <c r="E3" s="3254"/>
      <c r="F3" s="3254"/>
      <c r="G3" s="3254"/>
      <c r="H3" s="3254"/>
      <c r="I3" s="3254"/>
    </row>
    <row r="4" spans="1:12" ht="14.25">
      <c r="A4" s="2417" t="s">
        <v>2114</v>
      </c>
      <c r="B4" s="2418" t="s">
        <v>2115</v>
      </c>
      <c r="C4" s="2419" t="s">
        <v>3204</v>
      </c>
      <c r="D4" s="2419" t="s">
        <v>3205</v>
      </c>
      <c r="E4" s="3234" t="s">
        <v>2116</v>
      </c>
      <c r="F4" s="3247"/>
      <c r="G4" s="3247"/>
      <c r="H4" s="3247"/>
      <c r="I4" s="3235"/>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225" t="s">
        <v>2117</v>
      </c>
      <c r="B5" s="3151">
        <v>25</v>
      </c>
      <c r="C5" s="3255"/>
      <c r="D5" s="3243"/>
      <c r="E5" s="138" t="s">
        <v>2118</v>
      </c>
      <c r="F5" s="2421"/>
      <c r="G5" s="2421"/>
      <c r="H5" s="2421"/>
      <c r="I5" s="1829"/>
    </row>
    <row r="6" spans="1:12" ht="12.75">
      <c r="A6" s="3225"/>
      <c r="B6" s="3151"/>
      <c r="C6" s="3257"/>
      <c r="D6" s="3243"/>
      <c r="E6" s="138" t="s">
        <v>2119</v>
      </c>
      <c r="F6" s="2421"/>
      <c r="G6" s="2421"/>
      <c r="H6" s="2421"/>
      <c r="I6" s="1829"/>
    </row>
    <row r="7" spans="1:12" ht="12.75">
      <c r="A7" s="3225"/>
      <c r="B7" s="3151"/>
      <c r="C7" s="3256"/>
      <c r="D7" s="3243"/>
      <c r="E7" s="138" t="s">
        <v>2120</v>
      </c>
      <c r="F7" s="2421"/>
      <c r="G7" s="2421"/>
      <c r="H7" s="2421"/>
      <c r="I7" s="1829"/>
    </row>
    <row r="8" spans="1:12" ht="12.75">
      <c r="A8" s="3225" t="s">
        <v>2121</v>
      </c>
      <c r="B8" s="3151">
        <v>15</v>
      </c>
      <c r="C8" s="3255"/>
      <c r="D8" s="3243"/>
      <c r="E8" s="138" t="s">
        <v>2122</v>
      </c>
      <c r="F8" s="2421"/>
      <c r="G8" s="2421"/>
      <c r="H8" s="2421"/>
      <c r="I8" s="1829"/>
    </row>
    <row r="9" spans="1:12" ht="12.75">
      <c r="A9" s="3225"/>
      <c r="B9" s="3151"/>
      <c r="C9" s="3256"/>
      <c r="D9" s="3243"/>
      <c r="E9" s="138" t="s">
        <v>2123</v>
      </c>
      <c r="F9" s="2421"/>
      <c r="G9" s="2421"/>
      <c r="H9" s="2421"/>
      <c r="I9" s="1829"/>
    </row>
    <row r="10" spans="1:12" ht="12.75">
      <c r="A10" s="3225" t="s">
        <v>2124</v>
      </c>
      <c r="B10" s="3151">
        <v>15</v>
      </c>
      <c r="C10" s="3255"/>
      <c r="D10" s="3243"/>
      <c r="E10" s="138" t="s">
        <v>2125</v>
      </c>
      <c r="F10" s="2421"/>
      <c r="G10" s="2421"/>
      <c r="H10" s="2421"/>
      <c r="I10" s="1829"/>
    </row>
    <row r="11" spans="1:12" ht="12.75">
      <c r="A11" s="3225"/>
      <c r="B11" s="3151"/>
      <c r="C11" s="3256"/>
      <c r="D11" s="3243"/>
      <c r="E11" s="138" t="s">
        <v>2126</v>
      </c>
      <c r="F11" s="2421"/>
      <c r="G11" s="2421"/>
      <c r="H11" s="2421"/>
      <c r="I11" s="1829"/>
    </row>
    <row r="12" spans="1:12" ht="12.75">
      <c r="A12" s="3225" t="s">
        <v>2127</v>
      </c>
      <c r="B12" s="3151">
        <v>15</v>
      </c>
      <c r="C12" s="3255"/>
      <c r="D12" s="3243"/>
      <c r="E12" s="138" t="s">
        <v>2128</v>
      </c>
      <c r="F12" s="2421"/>
      <c r="G12" s="2421"/>
      <c r="H12" s="2421"/>
      <c r="I12" s="1829"/>
    </row>
    <row r="13" spans="1:12" ht="12.75">
      <c r="A13" s="3225"/>
      <c r="B13" s="3151"/>
      <c r="C13" s="3256"/>
      <c r="D13" s="3243"/>
      <c r="E13" s="138" t="s">
        <v>2129</v>
      </c>
      <c r="F13" s="2421"/>
      <c r="G13" s="2421"/>
      <c r="H13" s="2421"/>
      <c r="I13" s="1829"/>
    </row>
    <row r="14" spans="1:12" ht="12.75">
      <c r="A14" s="3225" t="s">
        <v>2130</v>
      </c>
      <c r="B14" s="3151">
        <v>30</v>
      </c>
      <c r="C14" s="3255">
        <v>5</v>
      </c>
      <c r="D14" s="3243">
        <v>5</v>
      </c>
      <c r="E14" s="138" t="s">
        <v>2131</v>
      </c>
      <c r="F14" s="2421"/>
      <c r="G14" s="2421"/>
      <c r="H14" s="2421"/>
      <c r="I14" s="1829"/>
    </row>
    <row r="15" spans="1:12" ht="12.75">
      <c r="A15" s="3225"/>
      <c r="B15" s="3151"/>
      <c r="C15" s="3257"/>
      <c r="D15" s="3243"/>
      <c r="E15" s="138" t="s">
        <v>2132</v>
      </c>
      <c r="F15" s="2421"/>
      <c r="G15" s="2421"/>
      <c r="H15" s="2421"/>
      <c r="I15" s="1829"/>
    </row>
    <row r="16" spans="1:12" ht="12.75">
      <c r="A16" s="3225"/>
      <c r="B16" s="3151"/>
      <c r="C16" s="3256"/>
      <c r="D16" s="3243"/>
      <c r="E16" s="138" t="s">
        <v>2133</v>
      </c>
      <c r="F16" s="2421"/>
      <c r="G16" s="2421"/>
      <c r="H16" s="2421"/>
      <c r="I16" s="1829"/>
    </row>
    <row r="17" spans="1:35" ht="15">
      <c r="A17" s="2422" t="s">
        <v>2134</v>
      </c>
      <c r="B17" s="64"/>
      <c r="C17" s="139">
        <f>SUM(C5:C16)</f>
        <v>5</v>
      </c>
      <c r="D17" s="139">
        <f>SUM(D5:D16)</f>
        <v>5</v>
      </c>
      <c r="E17" s="136"/>
      <c r="F17" s="136"/>
      <c r="G17" s="136"/>
      <c r="H17" s="136"/>
      <c r="I17" s="136"/>
      <c r="K17" s="2420"/>
      <c r="L17" s="2423" t="s">
        <v>2135</v>
      </c>
      <c r="M17" s="2423" t="s">
        <v>2136</v>
      </c>
    </row>
    <row r="18" spans="1:35" ht="15.7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50691.57</v>
      </c>
      <c r="M18" s="2420">
        <f>IF(C1="",'数据-汇总表'!E3,SUMIF(项目类型,C1,'数据-汇总表'!E17:E26))</f>
        <v>50691.57</v>
      </c>
    </row>
    <row r="19" spans="1:35" ht="15">
      <c r="A19" s="2426" t="s">
        <v>2139</v>
      </c>
      <c r="B19" s="2427" t="s">
        <v>2140</v>
      </c>
      <c r="C19" s="141">
        <f ca="1">SUMIF(INDIRECT("'"&amp;C4&amp;"'"&amp;"!A:A"),结果表!B19,INDIRECT("'"&amp;C4&amp;"'"&amp;"!B:B"))</f>
        <v>237046</v>
      </c>
      <c r="D19" s="142">
        <f ca="1">SUMIF(INDIRECT("'"&amp;D4&amp;"'"&amp;"!A:A"),结果表!B19,INDIRECT("'"&amp;D4&amp;"'"&amp;"!B:B"))</f>
        <v>263152</v>
      </c>
      <c r="E19" s="2426" t="s">
        <v>2141</v>
      </c>
      <c r="F19" s="2427" t="s">
        <v>2140</v>
      </c>
      <c r="G19" s="143">
        <f ca="1">ROUND(C19*$C$18+D19*$D$18,0)</f>
        <v>250099</v>
      </c>
      <c r="H19" s="2428" t="s">
        <v>2142</v>
      </c>
      <c r="I19" s="136"/>
      <c r="K19" s="2420" t="s">
        <v>2143</v>
      </c>
      <c r="L19" s="2420">
        <f>IF(C1="",'数据-汇总表'!D3,SUMIF(项目类型,C1,'数据-汇总表'!D17:D26)+SUMIF(项目类型,C1,'数据-汇总表'!H17:H27))</f>
        <v>7108.46</v>
      </c>
      <c r="M19" s="2420">
        <f>IF(C1="",'数据-汇总表'!D3,SUMIF(项目类型,C1,'数据-汇总表'!D17:D26))</f>
        <v>7108.46</v>
      </c>
    </row>
    <row r="20" spans="1:35" ht="15">
      <c r="A20" s="2429"/>
      <c r="B20" s="1245" t="s">
        <v>2144</v>
      </c>
      <c r="C20" s="144">
        <f ca="1">SUMIF(INDIRECT("'"&amp;C4&amp;"'"&amp;"!A:A"),结果表!B20,INDIRECT("'"&amp;C4&amp;"'"&amp;"!B:B"))</f>
        <v>46762</v>
      </c>
      <c r="D20" s="145">
        <f ca="1">SUMIF(INDIRECT("'"&amp;D4&amp;"'"&amp;"!A:A"),结果表!B20,INDIRECT("'"&amp;D4&amp;"'"&amp;"!B:B"))</f>
        <v>51912</v>
      </c>
      <c r="E20" s="2429"/>
      <c r="F20" s="1245" t="s">
        <v>2144</v>
      </c>
      <c r="G20" s="146">
        <f ca="1">ROUND(C20*$C$18+D20*$D$18,0)</f>
        <v>49337</v>
      </c>
      <c r="H20" s="978" t="s">
        <v>2145</v>
      </c>
      <c r="I20" s="136"/>
    </row>
    <row r="21" spans="1:35" ht="15" customHeight="1" thickBot="1">
      <c r="A21" s="998"/>
      <c r="B21" s="2430" t="s">
        <v>2146</v>
      </c>
      <c r="C21" s="787">
        <f ca="1">ROUND(C19*10000/L19,0)</f>
        <v>333470</v>
      </c>
      <c r="D21" s="788">
        <f ca="1">ROUND(D19*10000/L19,0)</f>
        <v>370196</v>
      </c>
      <c r="E21" s="998"/>
      <c r="F21" s="2430" t="s">
        <v>2146</v>
      </c>
      <c r="G21" s="147">
        <f ca="1">ROUND(G19*10000/L19,0)</f>
        <v>351833</v>
      </c>
      <c r="H21" s="2431" t="s">
        <v>2145</v>
      </c>
      <c r="I21" s="136"/>
    </row>
    <row r="22" spans="1:35" ht="15" thickBot="1">
      <c r="A22" s="2274" t="s">
        <v>2147</v>
      </c>
      <c r="B22" s="2432"/>
      <c r="C22" s="2433"/>
      <c r="D22" s="789">
        <f ca="1">IF(C19&lt;D19,D19/C19-1,C19/D19-1)</f>
        <v>0.11013052318959193</v>
      </c>
      <c r="E22" s="136"/>
      <c r="F22" s="136"/>
      <c r="G22" s="136"/>
      <c r="H22" s="136"/>
      <c r="I22" s="136"/>
    </row>
    <row r="23" spans="1:35" ht="13.5" thickBot="1">
      <c r="A23" s="2410"/>
      <c r="B23" s="2410"/>
      <c r="C23" s="2410"/>
      <c r="D23" s="2410"/>
      <c r="E23" s="136"/>
      <c r="F23" s="136"/>
      <c r="G23" s="136"/>
      <c r="H23" s="136"/>
      <c r="I23" s="136"/>
    </row>
    <row r="24" spans="1:35" ht="14.25">
      <c r="A24" s="3264" t="s">
        <v>2148</v>
      </c>
      <c r="B24" s="2427" t="s">
        <v>2140</v>
      </c>
      <c r="C24" s="143">
        <f>IF(B30=0,0,D30)</f>
        <v>0</v>
      </c>
      <c r="D24" s="2434"/>
      <c r="E24" s="136"/>
      <c r="F24" s="136"/>
      <c r="G24" s="136"/>
      <c r="H24" s="136"/>
      <c r="I24" s="136"/>
    </row>
    <row r="25" spans="1:35" ht="14.25">
      <c r="A25" s="3265"/>
      <c r="B25" s="1245"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2153</v>
      </c>
      <c r="B30" s="149"/>
      <c r="C30" s="149"/>
      <c r="D30" s="149"/>
      <c r="E30" s="2919" t="s">
        <v>3031</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2154</v>
      </c>
      <c r="B32" s="2440"/>
      <c r="C32" s="151">
        <f ca="1">IF(D32="总价",G19-C24,G20-C25)</f>
        <v>250099</v>
      </c>
      <c r="D32" s="2441" t="s">
        <v>2155</v>
      </c>
      <c r="E32" s="136"/>
      <c r="F32" s="136"/>
      <c r="G32" s="136"/>
      <c r="H32" s="136"/>
      <c r="I32" s="136"/>
    </row>
    <row r="33" spans="1:15" ht="15">
      <c r="A33" s="955" t="s">
        <v>2156</v>
      </c>
      <c r="B33" s="2442"/>
      <c r="C33" s="2443"/>
      <c r="D33" s="2444"/>
      <c r="E33" s="2445" t="s">
        <v>2157</v>
      </c>
      <c r="F33" s="2446" t="str">
        <f>IF(D32="楼面单价","取值（单价）","取值（总价）")</f>
        <v>取值（总价）</v>
      </c>
      <c r="G33" s="136"/>
      <c r="H33" s="136"/>
      <c r="I33" s="136"/>
    </row>
    <row r="34" spans="1:15" ht="15">
      <c r="A34" s="2447"/>
      <c r="B34" s="2448" t="s">
        <v>2158</v>
      </c>
      <c r="C34" s="155" t="e">
        <f ca="1">IF(C33="自定义",F34,C32-C35)</f>
        <v>#REF!</v>
      </c>
      <c r="D34" s="1053" t="e">
        <f ca="1">IF(C33="自定义",ROUND(C34/C32,3),IF(C33="收益比率",SUMIF(INDIRECT("'"&amp;D33&amp;"'"&amp;"!b:b"),"土地收益比率",INDIRECT("'"&amp;D33&amp;"'"&amp;"!c:c")),SUMIF(INDIRECT("'"&amp;D33&amp;"'"&amp;"!b:b"),"土地成本比率",INDIRECT("'"&amp;D33&amp;"'"&amp;"!c:c"))))</f>
        <v>#REF!</v>
      </c>
      <c r="E34" s="2449" t="s">
        <v>2159</v>
      </c>
      <c r="F34" s="1734"/>
      <c r="G34" s="136"/>
      <c r="H34" s="136"/>
      <c r="I34" s="136"/>
    </row>
    <row r="35" spans="1:15" ht="15.75" thickBot="1">
      <c r="A35" s="2450"/>
      <c r="B35" s="2451"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2161</v>
      </c>
      <c r="F35" s="161"/>
      <c r="G35" s="136"/>
      <c r="H35" s="136"/>
      <c r="I35" s="136"/>
    </row>
    <row r="36" spans="1:15" ht="15.75" thickBot="1">
      <c r="A36" s="3244" t="s">
        <v>2162</v>
      </c>
      <c r="B36" s="2453" t="s">
        <v>2163</v>
      </c>
      <c r="C36" s="152"/>
      <c r="D36" s="2454"/>
      <c r="E36" s="2455"/>
      <c r="F36" s="2456"/>
      <c r="G36" s="136"/>
      <c r="H36" s="136"/>
      <c r="I36" s="136"/>
    </row>
    <row r="37" spans="1:15" ht="15.75" thickBot="1">
      <c r="A37" s="3245"/>
      <c r="B37" s="2260" t="s">
        <v>2164</v>
      </c>
      <c r="C37" s="154"/>
      <c r="D37" s="1390"/>
      <c r="E37" s="1390"/>
      <c r="F37" s="2456"/>
      <c r="G37" s="136"/>
      <c r="H37" s="136"/>
      <c r="I37" s="136"/>
    </row>
    <row r="38" spans="1:15" ht="15.75" thickBot="1">
      <c r="A38" s="3246"/>
      <c r="B38" s="2457" t="s">
        <v>2165</v>
      </c>
      <c r="C38" s="725"/>
      <c r="D38" s="2458" t="s">
        <v>2166</v>
      </c>
      <c r="E38" s="1390"/>
      <c r="F38" s="2456"/>
      <c r="G38" s="136"/>
      <c r="H38" s="136"/>
      <c r="I38" s="136"/>
    </row>
    <row r="39" spans="1:15" ht="15">
      <c r="A39" s="2429" t="s">
        <v>2167</v>
      </c>
      <c r="B39" s="2459" t="s">
        <v>2168</v>
      </c>
      <c r="C39" s="2460" t="s">
        <v>2169</v>
      </c>
      <c r="D39" s="2460" t="s">
        <v>2170</v>
      </c>
      <c r="E39" s="2461" t="s">
        <v>2171</v>
      </c>
      <c r="F39" s="2456"/>
      <c r="G39" s="136"/>
      <c r="H39" s="136"/>
      <c r="I39" s="136"/>
    </row>
    <row r="40" spans="1:15" ht="14.25">
      <c r="A40" s="2462" t="s">
        <v>2172</v>
      </c>
      <c r="B40" s="156"/>
      <c r="C40" s="157"/>
      <c r="D40" s="157"/>
      <c r="E40" s="158"/>
      <c r="F40" s="2456"/>
      <c r="G40" s="136"/>
      <c r="H40" s="136"/>
      <c r="I40" s="136"/>
    </row>
    <row r="41" spans="1:15" ht="14.25">
      <c r="A41" s="2462" t="s">
        <v>2173</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261" t="s">
        <v>2176</v>
      </c>
      <c r="B45" s="3262"/>
      <c r="C45" s="3263"/>
      <c r="D45" s="162">
        <f ca="1">ROUND(H101*F45,0)</f>
        <v>250099</v>
      </c>
      <c r="E45" s="163" t="s">
        <v>2177</v>
      </c>
      <c r="F45" s="164">
        <v>1</v>
      </c>
      <c r="G45" s="165" t="s">
        <v>2178</v>
      </c>
      <c r="H45" s="136"/>
      <c r="I45" s="136"/>
      <c r="J45" s="3180" t="s">
        <v>2179</v>
      </c>
      <c r="K45" s="3180"/>
      <c r="L45" s="3180"/>
      <c r="M45" s="3180"/>
      <c r="N45" s="3180"/>
      <c r="O45" s="3180"/>
    </row>
    <row r="46" spans="1:15" ht="14.25" customHeight="1">
      <c r="A46" s="3258" t="s">
        <v>2180</v>
      </c>
      <c r="B46" s="3259"/>
      <c r="C46" s="3259"/>
      <c r="D46" s="3259"/>
      <c r="E46" s="3259"/>
      <c r="F46" s="3259"/>
      <c r="G46" s="3260"/>
      <c r="H46" s="2472"/>
      <c r="I46" s="166"/>
      <c r="J46" s="1807">
        <v>1</v>
      </c>
      <c r="K46" s="3180" t="s">
        <v>2181</v>
      </c>
      <c r="L46" s="3180"/>
      <c r="M46" s="3181"/>
      <c r="N46" s="3181"/>
      <c r="O46" s="3181"/>
    </row>
    <row r="47" spans="1:15" ht="12" customHeight="1">
      <c r="A47" s="167" t="s">
        <v>2182</v>
      </c>
      <c r="B47" s="168"/>
      <c r="C47" s="169"/>
      <c r="D47" s="170" t="s">
        <v>2183</v>
      </c>
      <c r="E47" s="24" t="s">
        <v>2184</v>
      </c>
      <c r="F47" s="171" t="s">
        <v>2185</v>
      </c>
      <c r="G47" s="172" t="s">
        <v>2186</v>
      </c>
      <c r="H47" s="2472"/>
      <c r="I47" s="166"/>
      <c r="J47" s="1807">
        <v>2</v>
      </c>
      <c r="K47" s="3180" t="s">
        <v>2187</v>
      </c>
      <c r="L47" s="3180"/>
      <c r="M47" s="3182">
        <f>'数据-取费表'!B2</f>
        <v>43202</v>
      </c>
      <c r="N47" s="3182"/>
      <c r="O47" s="3182"/>
    </row>
    <row r="48" spans="1:15" ht="25.5">
      <c r="A48" s="3248" t="s">
        <v>2188</v>
      </c>
      <c r="B48" s="3249"/>
      <c r="C48" s="3249"/>
      <c r="D48" s="138">
        <f>IF(H48="情况1",0,IF(H48="情况2",D52,IF(H48="情况3",D53,IF(H48="情况4",D54))))</f>
        <v>0</v>
      </c>
      <c r="E48" s="1796" t="str">
        <f>IF(H48="情况4","(销售额-原购置价)×税（费）率","销售额×税（费）率")</f>
        <v>销售额×税（费）率</v>
      </c>
      <c r="F48" s="173" t="str">
        <f>IF(H48="情况1","免征",'数据-取费表'!B41)</f>
        <v>免征</v>
      </c>
      <c r="G48" s="2473" t="s">
        <v>2189</v>
      </c>
      <c r="H48" s="2474" t="s">
        <v>2190</v>
      </c>
      <c r="I48" s="2472"/>
      <c r="J48" s="1807">
        <v>3</v>
      </c>
      <c r="K48" s="3180" t="s">
        <v>2191</v>
      </c>
      <c r="L48" s="3180"/>
      <c r="M48" s="3183">
        <f ca="1">H101</f>
        <v>250099</v>
      </c>
      <c r="N48" s="3183"/>
      <c r="O48" s="3183"/>
    </row>
    <row r="49" spans="1:35" ht="25.5" customHeight="1">
      <c r="A49" s="174" t="s">
        <v>2192</v>
      </c>
      <c r="B49" s="3228" t="s">
        <v>2193</v>
      </c>
      <c r="C49" s="3228"/>
      <c r="D49" s="175">
        <v>0</v>
      </c>
      <c r="E49" s="23" t="s">
        <v>2194</v>
      </c>
      <c r="F49" s="28" t="s">
        <v>34</v>
      </c>
      <c r="G49" s="3209"/>
      <c r="H49" s="136"/>
      <c r="I49" s="2475"/>
      <c r="J49" s="1807">
        <v>4</v>
      </c>
      <c r="K49" s="3180" t="str">
        <f>IF(项目基本情况!E8="房地产抵押价值","房地产抵押价值","抵押担保权已注销时的房地产抵押价值")</f>
        <v>房地产抵押价值</v>
      </c>
      <c r="L49" s="3180"/>
      <c r="M49" s="3183">
        <f ca="1">IF(项目基本情况!E8="房地产抵押价值",H107,H109)</f>
        <v>250099</v>
      </c>
      <c r="N49" s="3183"/>
      <c r="O49" s="3183"/>
    </row>
    <row r="50" spans="1:35" ht="25.5" customHeight="1">
      <c r="A50" s="176"/>
      <c r="B50" s="3228" t="s">
        <v>2195</v>
      </c>
      <c r="C50" s="3228"/>
      <c r="D50" s="177"/>
      <c r="E50" s="31"/>
      <c r="F50" s="178"/>
      <c r="G50" s="3210"/>
      <c r="H50" s="136"/>
      <c r="I50" s="2475"/>
      <c r="J50" s="3180" t="s">
        <v>2196</v>
      </c>
      <c r="K50" s="3180"/>
      <c r="L50" s="3180"/>
      <c r="M50" s="3180"/>
      <c r="N50" s="3180"/>
      <c r="O50" s="3180"/>
    </row>
    <row r="51" spans="1:35" ht="12" customHeight="1">
      <c r="A51" s="179"/>
      <c r="B51" s="3228" t="s">
        <v>2197</v>
      </c>
      <c r="C51" s="3228"/>
      <c r="D51" s="180"/>
      <c r="E51" s="30"/>
      <c r="F51" s="178"/>
      <c r="G51" s="3211"/>
      <c r="H51" s="136"/>
      <c r="I51" s="2475"/>
      <c r="J51" s="2476" t="s">
        <v>2198</v>
      </c>
      <c r="K51" s="3180" t="s">
        <v>2199</v>
      </c>
      <c r="L51" s="3180"/>
      <c r="M51" s="2476" t="s">
        <v>2200</v>
      </c>
      <c r="N51" s="2476" t="s">
        <v>2201</v>
      </c>
      <c r="O51" s="2476" t="s">
        <v>2202</v>
      </c>
    </row>
    <row r="52" spans="1:35" ht="24" customHeight="1">
      <c r="A52" s="181" t="s">
        <v>2203</v>
      </c>
      <c r="B52" s="3228" t="s">
        <v>2204</v>
      </c>
      <c r="C52" s="3228"/>
      <c r="D52" s="180">
        <f ca="1">ROUND(D45*'数据-取费表'!B41/(1+'数据-取费表'!C42),0)</f>
        <v>13339</v>
      </c>
      <c r="E52" s="11" t="s">
        <v>2205</v>
      </c>
      <c r="F52" s="182">
        <f>'数据-取费表'!B41</f>
        <v>5.6000000000000001E-2</v>
      </c>
      <c r="G52" s="2477"/>
      <c r="H52" s="136"/>
      <c r="I52" s="2475"/>
      <c r="J52" s="1807">
        <v>1</v>
      </c>
      <c r="K52" s="3203" t="s">
        <v>2206</v>
      </c>
      <c r="L52" s="3203"/>
      <c r="M52" s="1749">
        <f>D48</f>
        <v>0</v>
      </c>
      <c r="N52" s="1807" t="str">
        <f>E48</f>
        <v>销售额×税（费）率</v>
      </c>
      <c r="O52" s="1750" t="str">
        <f>F48</f>
        <v>免征</v>
      </c>
    </row>
    <row r="53" spans="1:35" ht="12" customHeight="1">
      <c r="A53" s="181" t="s">
        <v>2207</v>
      </c>
      <c r="B53" s="3229" t="s">
        <v>2208</v>
      </c>
      <c r="C53" s="3230"/>
      <c r="D53" s="180">
        <f ca="1">ROUND(D45*'数据-取费表'!B41/(1+'数据-取费表'!C42),0)</f>
        <v>13339</v>
      </c>
      <c r="E53" s="11" t="s">
        <v>2205</v>
      </c>
      <c r="F53" s="182">
        <f>'数据-取费表'!B41</f>
        <v>5.6000000000000001E-2</v>
      </c>
      <c r="G53" s="2477"/>
      <c r="H53" s="136"/>
      <c r="I53" s="2475"/>
      <c r="J53" s="1807">
        <v>2</v>
      </c>
      <c r="K53" s="3203" t="s">
        <v>2209</v>
      </c>
      <c r="L53" s="3203"/>
      <c r="M53" s="1749">
        <f t="shared" ref="M53:O54" ca="1" si="0">D55</f>
        <v>0</v>
      </c>
      <c r="N53" s="1807" t="str">
        <f t="shared" si="0"/>
        <v>销售额×税（费）率</v>
      </c>
      <c r="O53" s="1750">
        <f t="shared" si="0"/>
        <v>0</v>
      </c>
    </row>
    <row r="54" spans="1:35" ht="12" customHeight="1">
      <c r="A54" s="181" t="s">
        <v>2210</v>
      </c>
      <c r="B54" s="3229" t="s">
        <v>2211</v>
      </c>
      <c r="C54" s="3230"/>
      <c r="D54" s="180">
        <f ca="1">C68</f>
        <v>13339</v>
      </c>
      <c r="E54" s="30" t="s">
        <v>2212</v>
      </c>
      <c r="F54" s="182">
        <f>'数据-取费表'!B41</f>
        <v>5.6000000000000001E-2</v>
      </c>
      <c r="G54" s="2477"/>
      <c r="H54" s="2478"/>
      <c r="I54" s="2475"/>
      <c r="J54" s="1807">
        <v>3</v>
      </c>
      <c r="K54" s="3203" t="s">
        <v>2213</v>
      </c>
      <c r="L54" s="3203"/>
      <c r="M54" s="1749">
        <f t="shared" ca="1" si="0"/>
        <v>141556</v>
      </c>
      <c r="N54" s="1807" t="str">
        <f t="shared" si="0"/>
        <v>增值额×税（费）率</v>
      </c>
      <c r="O54" s="1751" t="str">
        <f t="shared" si="0"/>
        <v>——</v>
      </c>
    </row>
    <row r="55" spans="1:35" ht="24" customHeight="1">
      <c r="A55" s="3267" t="s">
        <v>2214</v>
      </c>
      <c r="B55" s="3249"/>
      <c r="C55" s="3249"/>
      <c r="D55" s="183">
        <f ca="1">IF(H55="个人住宅",0,ROUND(D45*I55,0))</f>
        <v>0</v>
      </c>
      <c r="E55" s="11" t="s">
        <v>2215</v>
      </c>
      <c r="F55" s="182">
        <f>IF(H55="正常",I55,"免征")</f>
        <v>0</v>
      </c>
      <c r="G55" s="2477"/>
      <c r="H55" s="2474" t="s">
        <v>2216</v>
      </c>
      <c r="I55" s="184">
        <f>'数据-取费表'!B49</f>
        <v>0</v>
      </c>
      <c r="J55" s="1807" t="str">
        <f>IF(H59="非个人房产","",4)</f>
        <v/>
      </c>
      <c r="K55" s="3203" t="str">
        <f>IF(H59="非个人房产","——","个人所得税")</f>
        <v>——</v>
      </c>
      <c r="L55" s="3203"/>
      <c r="M55" s="1752" t="str">
        <f>D59</f>
        <v>——</v>
      </c>
      <c r="N55" s="1805" t="str">
        <f>E59</f>
        <v>——</v>
      </c>
      <c r="O55" s="1753" t="str">
        <f>F59</f>
        <v>——</v>
      </c>
    </row>
    <row r="56" spans="1:35" ht="24.75">
      <c r="A56" s="3267" t="s">
        <v>2217</v>
      </c>
      <c r="B56" s="3249"/>
      <c r="C56" s="3249"/>
      <c r="D56" s="183">
        <f ca="1">IF(H56="个人住宅",D57,D58)</f>
        <v>141556</v>
      </c>
      <c r="E56" s="11" t="s">
        <v>2218</v>
      </c>
      <c r="F56" s="182" t="str">
        <f>IF(H56="正常",F58,"免征")</f>
        <v>——</v>
      </c>
      <c r="G56" s="2479" t="s">
        <v>2219</v>
      </c>
      <c r="H56" s="2480" t="s">
        <v>2216</v>
      </c>
      <c r="I56" s="2481"/>
      <c r="J56" s="1807" t="str">
        <f>IF(项目基本情况!K6="上海银行",IF(J55="",4,J55+1),"")</f>
        <v/>
      </c>
      <c r="K56" s="3186" t="str">
        <f>IF(项目基本情况!K6="上海银行","其他处置费用","")</f>
        <v/>
      </c>
      <c r="L56" s="3187"/>
      <c r="M56" s="1749" t="str">
        <f>IF(项目基本情况!K6="上海银行",M69,"")</f>
        <v/>
      </c>
      <c r="N56" s="3189" t="str">
        <f>IF(项目基本情况!K6="上海银行","包含处置中涉及的律师、诉讼、拍卖、评估等费用","")</f>
        <v/>
      </c>
      <c r="O56" s="3190"/>
    </row>
    <row r="57" spans="1:35" ht="12.75">
      <c r="A57" s="181" t="s">
        <v>2192</v>
      </c>
      <c r="B57" s="3234" t="s">
        <v>2220</v>
      </c>
      <c r="C57" s="3235"/>
      <c r="D57" s="185">
        <v>0</v>
      </c>
      <c r="E57" s="23" t="s">
        <v>2194</v>
      </c>
      <c r="F57" s="153"/>
      <c r="G57" s="2477"/>
      <c r="H57" s="2481"/>
      <c r="I57" s="2481"/>
      <c r="J57" s="3203">
        <f>IF(AND(J55="",J56=""),4,IF(项目基本情况!K6="上海银行",结果表!J56+1,结果表!J55+1))</f>
        <v>4</v>
      </c>
      <c r="K57" s="3203" t="s">
        <v>2221</v>
      </c>
      <c r="L57" s="2482" t="s">
        <v>2222</v>
      </c>
      <c r="M57" s="1754"/>
      <c r="N57" s="1755">
        <f ca="1">SUMIF(M52:M56,"&lt;9e307")</f>
        <v>141556</v>
      </c>
      <c r="O57" s="2483"/>
      <c r="P57" s="1748">
        <f ca="1">N57/M49</f>
        <v>0.56599986405383473</v>
      </c>
    </row>
    <row r="58" spans="1:35" ht="24.75">
      <c r="A58" s="181" t="s">
        <v>2203</v>
      </c>
      <c r="B58" s="3234" t="s">
        <v>2223</v>
      </c>
      <c r="C58" s="3247"/>
      <c r="D58" s="183">
        <f ca="1">IF(H58="转让取得",C81,C97)</f>
        <v>141556</v>
      </c>
      <c r="E58" s="11" t="s">
        <v>2218</v>
      </c>
      <c r="F58" s="24" t="s">
        <v>34</v>
      </c>
      <c r="G58" s="2477"/>
      <c r="H58" s="2480" t="s">
        <v>2224</v>
      </c>
      <c r="I58" s="2481"/>
      <c r="J58" s="3203"/>
      <c r="K58" s="3203"/>
      <c r="L58" s="2482" t="s">
        <v>2225</v>
      </c>
      <c r="M58" s="1756"/>
      <c r="N58" s="2484" t="str">
        <f ca="1">NUMBERSTRING(INT(N57*10000),2)&amp;"元整"</f>
        <v>壹拾肆亿壹仟伍佰伍拾陆万元整</v>
      </c>
      <c r="O58" s="2485"/>
    </row>
    <row r="59" spans="1:35" ht="24.75" thickBot="1">
      <c r="A59" s="3207" t="s">
        <v>2226</v>
      </c>
      <c r="B59" s="3208"/>
      <c r="C59" s="3208"/>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205">
        <f>J57+1</f>
        <v>5</v>
      </c>
      <c r="K59" s="3203" t="s">
        <v>2228</v>
      </c>
      <c r="L59" s="1807" t="s">
        <v>2222</v>
      </c>
      <c r="M59" s="1757"/>
      <c r="N59" s="1758">
        <f ca="1">M49-N57</f>
        <v>108543</v>
      </c>
      <c r="O59" s="2487"/>
    </row>
    <row r="60" spans="1:35" ht="12" customHeight="1">
      <c r="A60" s="2488"/>
      <c r="B60" s="2410"/>
      <c r="C60" s="2410"/>
      <c r="D60" s="2410"/>
      <c r="E60" s="2159"/>
      <c r="F60" s="2481"/>
      <c r="G60" s="2481"/>
      <c r="H60" s="2489"/>
      <c r="I60" s="136"/>
      <c r="J60" s="3206"/>
      <c r="K60" s="3203"/>
      <c r="L60" s="2482" t="s">
        <v>2225</v>
      </c>
      <c r="M60" s="1756"/>
      <c r="N60" s="2484" t="str">
        <f ca="1">NUMBERSTRING(INT(N59*10000),2)&amp;"元整"</f>
        <v>壹拾亿捌仟伍佰肆拾叁万元整</v>
      </c>
      <c r="O60" s="2485"/>
    </row>
    <row r="61" spans="1:35" ht="13.5" thickBot="1">
      <c r="A61" s="3266" t="s">
        <v>2229</v>
      </c>
      <c r="B61" s="3266"/>
      <c r="C61" s="3266"/>
      <c r="D61" s="3266"/>
      <c r="E61" s="3266"/>
      <c r="F61" s="2481"/>
      <c r="G61" s="2481"/>
      <c r="H61" s="2489"/>
      <c r="I61" s="136"/>
      <c r="J61" s="1807">
        <f>J59+1</f>
        <v>6</v>
      </c>
      <c r="K61" s="3203" t="s">
        <v>2230</v>
      </c>
      <c r="L61" s="3203"/>
      <c r="M61" s="1759"/>
      <c r="N61" s="1760">
        <f ca="1">ROUND(N59*10000/'数据-汇总表'!E3,0)</f>
        <v>21412</v>
      </c>
      <c r="O61" s="2490"/>
    </row>
    <row r="62" spans="1:35" ht="12.75">
      <c r="A62" s="3223" t="s">
        <v>2231</v>
      </c>
      <c r="B62" s="3224"/>
      <c r="C62" s="1799"/>
      <c r="D62" s="1799" t="s">
        <v>2232</v>
      </c>
      <c r="E62" s="190" t="s">
        <v>2233</v>
      </c>
      <c r="F62" s="2481"/>
      <c r="G62" s="2481"/>
      <c r="H62" s="2489"/>
      <c r="I62" s="136"/>
    </row>
    <row r="63" spans="1:35" ht="12.75">
      <c r="A63" s="201" t="s">
        <v>775</v>
      </c>
      <c r="B63" s="191" t="s">
        <v>2234</v>
      </c>
      <c r="C63" s="192">
        <f ca="1">ROUND((C64+C65)/(1+'数据-取费表'!C42),0)</f>
        <v>238190</v>
      </c>
      <c r="D63" s="193"/>
      <c r="E63" s="194"/>
      <c r="F63" s="2481"/>
      <c r="G63" s="2481"/>
      <c r="H63" s="2489"/>
      <c r="I63" s="136"/>
      <c r="J63" s="3188" t="s">
        <v>2235</v>
      </c>
      <c r="K63" s="2491" t="s">
        <v>2236</v>
      </c>
      <c r="L63" s="1747">
        <f ca="1">IF(M49&gt;10000,M49*0.5%,IF(AND(M49&gt;1000,M49&lt;=10000),M49*1%,IF(AND(M49&gt;100,M49&lt;=1000),M49*3%,IF(AND(M49&gt;10,M49&lt;=100),M49*5%,M49*8%))))</f>
        <v>1250.4950000000001</v>
      </c>
      <c r="M63" s="24">
        <f ca="1">ROUND(L63,1)</f>
        <v>1250.5</v>
      </c>
      <c r="Z63" s="2415"/>
      <c r="AI63" s="2416"/>
    </row>
    <row r="64" spans="1:35" ht="14.25" customHeight="1">
      <c r="A64" s="195" t="s">
        <v>770</v>
      </c>
      <c r="B64" s="196" t="s">
        <v>2237</v>
      </c>
      <c r="C64" s="197">
        <f ca="1">D45</f>
        <v>250099</v>
      </c>
      <c r="D64" s="198" t="s">
        <v>32</v>
      </c>
      <c r="E64" s="199"/>
      <c r="F64" s="2481"/>
      <c r="G64" s="2481"/>
      <c r="H64" s="2489"/>
      <c r="I64" s="136"/>
      <c r="J64" s="3188"/>
      <c r="K64" s="2491" t="s">
        <v>2238</v>
      </c>
      <c r="L64" s="1747">
        <f ca="1">IF(M49&gt;2000,M49*0.5%,IF(AND(M49&gt;1000,M49&lt;=2000),M49*0.6%,IF(AND(M49&gt;500,M49&lt;=1000),M49*0.7%,IF(AND(M49&gt;200,M49&lt;=500),M49*0.8%,IF(AND(M49&gt;100,M49&lt;=200),M49*0.9%,IF(AND(M49&gt;50,M49&lt;=100),M49*1%,IF(AND(M49&gt;20,M49&lt;=50),M49*1.5%,IF(AND(M49&gt;10,M49&lt;=20),M49*2%,IF(AND(M49&gt;1,M49&lt;=10),M49*2.5%)))))))))</f>
        <v>1250.4950000000001</v>
      </c>
      <c r="M64" s="24">
        <f t="shared" ref="M64:M65" ca="1" si="1">ROUND(L64,1)</f>
        <v>1250.5</v>
      </c>
      <c r="N64" s="136" t="s">
        <v>2239</v>
      </c>
      <c r="Z64" s="2415"/>
      <c r="AI64" s="2416"/>
    </row>
    <row r="65" spans="1:35" ht="14.25" customHeight="1">
      <c r="A65" s="195" t="s">
        <v>771</v>
      </c>
      <c r="B65" s="196" t="s">
        <v>2240</v>
      </c>
      <c r="C65" s="200"/>
      <c r="D65" s="198"/>
      <c r="E65" s="199"/>
      <c r="F65" s="2481"/>
      <c r="G65" s="2481"/>
      <c r="H65" s="2489"/>
      <c r="I65" s="136"/>
      <c r="J65" s="3188"/>
      <c r="K65" s="2491" t="s">
        <v>2241</v>
      </c>
      <c r="L65" s="1747">
        <f ca="1">IF(M49&gt;1000,M49*0.1%,IF(AND(M49&gt;500,M49&lt;=1000),M49*0.5%,IF(AND(M49&gt;50,M49&lt;=500),M49*1%,IF(AND(M49&gt;1,M49&lt;=50),M49*1.5%))))</f>
        <v>250.09900000000002</v>
      </c>
      <c r="M65" s="24">
        <f t="shared" ca="1" si="1"/>
        <v>250.1</v>
      </c>
      <c r="N65" s="136" t="s">
        <v>2239</v>
      </c>
      <c r="Z65" s="2415"/>
      <c r="AI65" s="2416"/>
    </row>
    <row r="66" spans="1:35" ht="14.25" customHeight="1">
      <c r="A66" s="201" t="s">
        <v>772</v>
      </c>
      <c r="B66" s="202" t="s">
        <v>2242</v>
      </c>
      <c r="C66" s="203"/>
      <c r="D66" s="204" t="s">
        <v>32</v>
      </c>
      <c r="E66" s="1771" t="s">
        <v>1371</v>
      </c>
      <c r="F66" s="2481"/>
      <c r="G66" s="2481"/>
      <c r="H66" s="2489"/>
      <c r="I66" s="136"/>
      <c r="J66" s="3188"/>
      <c r="K66" s="2491" t="s">
        <v>2243</v>
      </c>
      <c r="L66" s="1747">
        <f ca="1">M49*0.5%</f>
        <v>1250.4950000000001</v>
      </c>
      <c r="M66" s="24">
        <f ca="1">IF(L66&gt;0.5,0.5,ROUND(L66,0))</f>
        <v>0.5</v>
      </c>
      <c r="N66" s="136" t="s">
        <v>2244</v>
      </c>
      <c r="Z66" s="2415"/>
      <c r="AI66" s="2416"/>
    </row>
    <row r="67" spans="1:35" ht="14.25" customHeight="1">
      <c r="A67" s="201" t="s">
        <v>773</v>
      </c>
      <c r="B67" s="202" t="s">
        <v>2245</v>
      </c>
      <c r="C67" s="205">
        <f ca="1">C63-C66</f>
        <v>238190</v>
      </c>
      <c r="D67" s="198" t="s">
        <v>32</v>
      </c>
      <c r="E67" s="199"/>
      <c r="F67" s="2481"/>
      <c r="G67" s="2481"/>
      <c r="H67" s="2489"/>
      <c r="I67" s="136"/>
      <c r="J67" s="3188"/>
      <c r="K67" s="2491" t="s">
        <v>2246</v>
      </c>
      <c r="L67" s="1747">
        <f ca="1">IF(M49&gt;=10000,(8.25+(M49-10000)*0.01%),IF(AND(M49&gt;=8000,M49&lt;10000),(7.85+(M49-8000)*0.02%),IF(AND(M49&gt;=5000,M49&lt;8000),(6.65+(M49-5000)*0.04%),IF(AND(M49&gt;=2000,M49&lt;5000),(4.25+(PM49-2000)*0.08%),IF(AND(M49&gt;=1000,M49&lt;2000),(2.75+(M49-1000)*0.15%),IF(AND(M49&gt;=100,M49&lt;1000),(0.5+(M49-100)*0.25%),IF(AND(M49&gt;0,M49&lt;100),M49*0.5%)))))))</f>
        <v>32.259900000000002</v>
      </c>
      <c r="M67" s="24">
        <f ca="1">ROUND(L67*0.9,1)</f>
        <v>29</v>
      </c>
      <c r="Z67" s="2415"/>
      <c r="AI67" s="2416"/>
    </row>
    <row r="68" spans="1:35" ht="14.25" customHeight="1" thickBot="1">
      <c r="A68" s="206" t="s">
        <v>774</v>
      </c>
      <c r="B68" s="207" t="s">
        <v>2247</v>
      </c>
      <c r="C68" s="208">
        <f ca="1">IF(C67&lt;=0,0,ROUND(C67*D68,0))</f>
        <v>13339</v>
      </c>
      <c r="D68" s="209">
        <f>'数据-取费表'!B41</f>
        <v>5.6000000000000001E-2</v>
      </c>
      <c r="E68" s="210"/>
      <c r="F68" s="2481"/>
      <c r="G68" s="2481"/>
      <c r="H68" s="2489"/>
      <c r="I68" s="136"/>
      <c r="J68" s="3188"/>
      <c r="K68" s="2491" t="s">
        <v>2248</v>
      </c>
      <c r="L68" s="1747">
        <f ca="1">IF(M49&gt;10000,M49*0.5%,IF(AND(M49&gt;5000,M49&lt;=10000),M49*1%,IF(AND(M49&gt;1000,M49&lt;=5000),M49*2%,IF(AND(M49&gt;200,M49&lt;=1000),M49*3%,M49*5%))))</f>
        <v>1250.4950000000001</v>
      </c>
      <c r="M68" s="24">
        <f ca="1">ROUND(L68,1)</f>
        <v>1250.5</v>
      </c>
      <c r="Z68" s="2415"/>
      <c r="AI68" s="2416"/>
    </row>
    <row r="69" spans="1:35" s="2438" customFormat="1" ht="16.5" customHeight="1">
      <c r="A69" s="2492"/>
      <c r="B69" s="2493"/>
      <c r="C69" s="2494"/>
      <c r="D69" s="2495"/>
      <c r="E69" s="2496"/>
      <c r="F69" s="2159"/>
      <c r="G69" s="2159"/>
      <c r="H69" s="2158"/>
      <c r="I69" s="2410"/>
      <c r="J69" s="3188"/>
      <c r="K69" s="2491" t="s">
        <v>2249</v>
      </c>
      <c r="L69" s="2497"/>
      <c r="M69" s="24">
        <f ca="1">ROUND(SUM(M63:M68),0)</f>
        <v>4031</v>
      </c>
      <c r="N69" s="1748">
        <f ca="1">M69/M49</f>
        <v>1.6117617423500295E-2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232" t="s">
        <v>2250</v>
      </c>
      <c r="B70" s="3233"/>
      <c r="C70" s="3233"/>
      <c r="D70" s="3233"/>
      <c r="E70" s="3233"/>
      <c r="F70" s="3233"/>
      <c r="G70" s="3233"/>
      <c r="H70" s="323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23" t="s">
        <v>2231</v>
      </c>
      <c r="B71" s="3224"/>
      <c r="C71" s="1799"/>
      <c r="D71" s="1799"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2251</v>
      </c>
      <c r="C72" s="205">
        <f ca="1">ROUND(D45/(1+'数据-取费表'!C42),0)</f>
        <v>238190</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2252</v>
      </c>
      <c r="C73" s="205">
        <f ca="1">C74+C78</f>
        <v>1429</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229" t="s">
        <v>2259</v>
      </c>
      <c r="F76" s="3228"/>
      <c r="G76" s="3228"/>
      <c r="H76" s="323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0</v>
      </c>
      <c r="E77" s="15" t="s">
        <v>2261</v>
      </c>
      <c r="F77" s="222"/>
      <c r="G77" s="2505" t="s">
        <v>2262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1429</v>
      </c>
      <c r="D78" s="224">
        <f>'数据-取费表'!B43</f>
        <v>6.000000000000001E-3</v>
      </c>
      <c r="E78" s="3220" t="s">
        <v>2264</v>
      </c>
      <c r="F78" s="3221"/>
      <c r="G78" s="3221"/>
      <c r="H78" s="322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2265</v>
      </c>
      <c r="C79" s="205">
        <f ca="1">C72-C73</f>
        <v>236761</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165.68299510146957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2267</v>
      </c>
      <c r="C81" s="226">
        <f ca="1">ROUND(IF(C79&lt;=0,0,IF(C80&gt;=200%,C79*60%-C73*35%,IF(C80&gt;=100%,C79*50%-C73*15%,IF(C80&gt;=50%,C79*40%-C73*5%,IF(C80&lt;50%,C79*30%,0))))),0)</f>
        <v>141556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32" t="s">
        <v>2268</v>
      </c>
      <c r="B83" s="3233"/>
      <c r="C83" s="3233"/>
      <c r="D83" s="3233"/>
      <c r="E83" s="3233"/>
      <c r="F83" s="3233"/>
      <c r="G83" s="3233"/>
      <c r="H83" s="323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23" t="s">
        <v>2231</v>
      </c>
      <c r="B84" s="3224"/>
      <c r="C84" s="1799"/>
      <c r="D84" s="1799"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2251</v>
      </c>
      <c r="C85" s="205">
        <f ca="1">ROUND(D45/(1+'数据-取费表'!C42),0)</f>
        <v>238190</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2252</v>
      </c>
      <c r="C86" s="205">
        <f ca="1">IF(H88="仅含出让金",C87+C90+C91+C92+C93+C94,C87+C91+C92+C93+C94)</f>
        <v>1429</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2269</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2270</v>
      </c>
      <c r="C88" s="234"/>
      <c r="D88" s="224"/>
      <c r="E88" s="235" t="s">
        <v>2271</v>
      </c>
      <c r="F88" s="1795"/>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2260</v>
      </c>
      <c r="C89" s="223">
        <f>ROUND(C88*D89,0)</f>
        <v>0</v>
      </c>
      <c r="D89" s="224">
        <f>'数据-取费表'!B48+'数据-取费表'!B49</f>
        <v>0</v>
      </c>
      <c r="E89" s="235" t="s">
        <v>2273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2274</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220" t="s">
        <v>2277</v>
      </c>
      <c r="F91" s="3221"/>
      <c r="G91" s="3221"/>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220" t="s">
        <v>2281</v>
      </c>
      <c r="F92" s="3221"/>
      <c r="G92" s="3221"/>
      <c r="H92" s="322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1429</v>
      </c>
      <c r="D93" s="224">
        <f>'数据-取费表'!B43</f>
        <v>6.000000000000001E-3</v>
      </c>
      <c r="E93" s="3220" t="s">
        <v>2264</v>
      </c>
      <c r="F93" s="3221"/>
      <c r="G93" s="3221"/>
      <c r="H93" s="322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268" t="s">
        <v>2285</v>
      </c>
      <c r="F94" s="3269"/>
      <c r="G94" s="3269"/>
      <c r="H94" s="327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2265</v>
      </c>
      <c r="C95" s="205">
        <f ca="1">ROUND(C85-C86,0)</f>
        <v>236761</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165.68299510146957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2267</v>
      </c>
      <c r="C97" s="226">
        <f ca="1">ROUND(IF(C95&lt;=0,0,IF(C96&gt;=200%,C95*60%-C86*35%,IF(C96&gt;=100%,C95*50%-C86*15%,IF(C96&gt;=50%,C95*40%-C86*5%,IF(C96&lt;50%,C95*30%,0))))),0)</f>
        <v>141556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172" t="s">
        <v>2287</v>
      </c>
      <c r="B100" s="3173"/>
      <c r="C100" s="3173"/>
      <c r="D100" s="3204"/>
      <c r="E100" s="3173" t="s">
        <v>2288</v>
      </c>
      <c r="F100" s="3173"/>
      <c r="G100" s="3173"/>
      <c r="H100" s="3204"/>
      <c r="I100" s="136"/>
    </row>
    <row r="101" spans="1:35" ht="18.75" customHeight="1">
      <c r="A101" s="3212" t="s">
        <v>2289</v>
      </c>
      <c r="B101" s="3213"/>
      <c r="C101" s="734" t="str">
        <f>C4</f>
        <v>成本法</v>
      </c>
      <c r="D101" s="735" t="str">
        <f>D4</f>
        <v>收益法（汇总）</v>
      </c>
      <c r="E101" s="3184" t="s">
        <v>2290</v>
      </c>
      <c r="F101" s="3185"/>
      <c r="G101" s="2512" t="s">
        <v>2291</v>
      </c>
      <c r="H101" s="1043">
        <f ca="1">H118</f>
        <v>250099</v>
      </c>
      <c r="I101" s="136"/>
    </row>
    <row r="102" spans="1:35" ht="18.75" customHeight="1">
      <c r="A102" s="3214" t="s">
        <v>2292</v>
      </c>
      <c r="B102" s="2512" t="s">
        <v>2291</v>
      </c>
      <c r="C102" s="734">
        <f ca="1">C19</f>
        <v>237046</v>
      </c>
      <c r="D102" s="735">
        <f ca="1">D19</f>
        <v>263152</v>
      </c>
      <c r="E102" s="3184"/>
      <c r="F102" s="3185"/>
      <c r="G102" s="2512" t="s">
        <v>2293</v>
      </c>
      <c r="H102" s="369">
        <f ca="1">I118</f>
        <v>49337</v>
      </c>
      <c r="I102" s="136"/>
    </row>
    <row r="103" spans="1:35" ht="42.75" customHeight="1">
      <c r="A103" s="3214"/>
      <c r="B103" s="2512" t="s">
        <v>2293</v>
      </c>
      <c r="C103" s="736">
        <f ca="1">C20</f>
        <v>46762</v>
      </c>
      <c r="D103" s="737">
        <f ca="1">D20</f>
        <v>51912</v>
      </c>
      <c r="E103" s="3178" t="s">
        <v>2294</v>
      </c>
      <c r="F103" s="3179"/>
      <c r="G103" s="2513" t="s">
        <v>2295</v>
      </c>
      <c r="H103" s="1043">
        <f>IF(D36="正常操作",H104+H105+H106,H105+H106)</f>
        <v>0</v>
      </c>
      <c r="I103" s="136"/>
    </row>
    <row r="104" spans="1:35" ht="18.75" customHeight="1">
      <c r="A104" s="3214" t="s">
        <v>2296</v>
      </c>
      <c r="B104" s="2514" t="s">
        <v>2291</v>
      </c>
      <c r="C104" s="738">
        <f ca="1">H118</f>
        <v>250099</v>
      </c>
      <c r="D104" s="739"/>
      <c r="E104" s="2260" t="s">
        <v>2297</v>
      </c>
      <c r="F104" s="2251"/>
      <c r="G104" s="2513" t="s">
        <v>2295</v>
      </c>
      <c r="H104" s="1044">
        <f>IF(D36="同一抵押权人同一抵押物续贷",C36&amp;"（未扣减，详见特别提示）",C36)</f>
        <v>0</v>
      </c>
      <c r="I104" s="136"/>
    </row>
    <row r="105" spans="1:35" ht="18.75" customHeight="1" thickBot="1">
      <c r="A105" s="3226"/>
      <c r="B105" s="2515" t="s">
        <v>2293</v>
      </c>
      <c r="C105" s="740">
        <f ca="1">I118</f>
        <v>49337</v>
      </c>
      <c r="D105" s="741"/>
      <c r="E105" s="2260" t="s">
        <v>2298</v>
      </c>
      <c r="F105" s="2251"/>
      <c r="G105" s="2513" t="s">
        <v>2295</v>
      </c>
      <c r="H105" s="1044">
        <f>C37</f>
        <v>0</v>
      </c>
      <c r="I105" s="136"/>
    </row>
    <row r="106" spans="1:35" ht="18.75" customHeight="1">
      <c r="A106" s="2410" t="s">
        <v>2299</v>
      </c>
      <c r="B106" s="2410"/>
      <c r="C106" s="2410"/>
      <c r="D106" s="2410"/>
      <c r="E106" s="2516" t="s">
        <v>2300</v>
      </c>
      <c r="F106" s="2251"/>
      <c r="G106" s="2513" t="s">
        <v>2295</v>
      </c>
      <c r="H106" s="1044">
        <f>C38</f>
        <v>0</v>
      </c>
      <c r="I106" s="136"/>
    </row>
    <row r="107" spans="1:35" ht="18.75" customHeight="1">
      <c r="A107" s="136"/>
      <c r="B107" s="136"/>
      <c r="C107" s="136"/>
      <c r="D107" s="136"/>
      <c r="E107" s="3215" t="str">
        <f>IF(项目基本情况!E8="已注销","——","3.房地产抵押价值")</f>
        <v>3.房地产抵押价值</v>
      </c>
      <c r="F107" s="3185"/>
      <c r="G107" s="2512" t="s">
        <v>2291</v>
      </c>
      <c r="H107" s="1043">
        <f ca="1">IF(E107="——","——",H101-H103)</f>
        <v>250099</v>
      </c>
      <c r="I107" s="136"/>
    </row>
    <row r="108" spans="1:35" ht="18.75" customHeight="1">
      <c r="A108" s="136"/>
      <c r="B108" s="136"/>
      <c r="C108" s="136"/>
      <c r="D108" s="136"/>
      <c r="E108" s="3215"/>
      <c r="F108" s="3185"/>
      <c r="G108" s="2512" t="s">
        <v>2293</v>
      </c>
      <c r="H108" s="369">
        <f ca="1">ROUND(H107*10000/'数据-汇总表'!E3,0)</f>
        <v>49337</v>
      </c>
      <c r="I108" s="136"/>
    </row>
    <row r="109" spans="1:35" ht="18.75" customHeight="1">
      <c r="A109" s="136"/>
      <c r="B109" s="136"/>
      <c r="C109" s="136"/>
      <c r="D109" s="136"/>
      <c r="E109" s="3215" t="str">
        <f>IF(项目基本情况!E8="已注销及未注销","4.抵押担保权已注销时的房地产抵押价值",IF(项目基本情况!E8="已注销","3.抵押担保权已注销时的房地产抵押价值","——"))</f>
        <v>——</v>
      </c>
      <c r="F109" s="3185"/>
      <c r="G109" s="2512" t="s">
        <v>2291</v>
      </c>
      <c r="H109" s="346" t="str">
        <f>IF(E109="——","——",H101-H105-H106)</f>
        <v>——</v>
      </c>
      <c r="I109" s="136"/>
    </row>
    <row r="110" spans="1:35" ht="18.75" customHeight="1">
      <c r="A110" s="136"/>
      <c r="B110" s="136"/>
      <c r="C110" s="136"/>
      <c r="D110" s="136"/>
      <c r="E110" s="3215"/>
      <c r="F110" s="3185"/>
      <c r="G110" s="2512" t="s">
        <v>2293</v>
      </c>
      <c r="H110" s="369" t="str">
        <f>IF(H109="——","——",ROUND(H109*10000/'数据-汇总表'!E3,0))</f>
        <v>——</v>
      </c>
      <c r="I110" s="136"/>
    </row>
    <row r="111" spans="1:35" ht="18.75" customHeight="1">
      <c r="A111" s="136"/>
      <c r="B111" s="136"/>
      <c r="C111" s="136"/>
      <c r="D111" s="136"/>
      <c r="E111" s="3216" t="str">
        <f>IF(项目基本情况!E9="抵押净值",IF(OR(项目基本情况!E8="已注销",项目基本情况!E8="房地产抵押价值"),"4.抵押净值","5.抵押净值"),"——")</f>
        <v>——</v>
      </c>
      <c r="F111" s="3217"/>
      <c r="G111" s="2512" t="s">
        <v>2291</v>
      </c>
      <c r="H111" s="1043" t="str">
        <f>IF(E111="——","——",N59)</f>
        <v>——</v>
      </c>
      <c r="I111" s="136"/>
    </row>
    <row r="112" spans="1:35" ht="18.75" customHeight="1" thickBot="1">
      <c r="A112" s="136"/>
      <c r="B112" s="136"/>
      <c r="C112" s="136"/>
      <c r="D112" s="136"/>
      <c r="E112" s="3218"/>
      <c r="F112" s="3219"/>
      <c r="G112" s="2517" t="s">
        <v>2293</v>
      </c>
      <c r="H112" s="788" t="str">
        <f>IF(E111="——","——",N61)</f>
        <v>——</v>
      </c>
      <c r="I112" s="136"/>
    </row>
    <row r="113" spans="1:11" ht="18.75" customHeight="1">
      <c r="A113" s="136"/>
      <c r="B113" s="136"/>
      <c r="C113" s="136"/>
      <c r="D113" s="136"/>
      <c r="E113" s="3227" t="s">
        <v>2299</v>
      </c>
      <c r="F113" s="3227"/>
      <c r="G113" s="3227"/>
      <c r="H113" s="3227"/>
      <c r="I113" s="136"/>
    </row>
    <row r="114" spans="1:11" ht="3.75" customHeight="1">
      <c r="A114" s="2410"/>
      <c r="B114" s="2410"/>
      <c r="C114" s="2410"/>
      <c r="D114" s="2410"/>
      <c r="E114" s="2488"/>
      <c r="F114" s="2488"/>
      <c r="G114" s="2488"/>
      <c r="H114" s="2488"/>
      <c r="I114" s="2410"/>
    </row>
    <row r="115" spans="1:11" ht="18.75" customHeight="1">
      <c r="A115" s="3240" t="s">
        <v>2301</v>
      </c>
      <c r="B115" s="3241"/>
      <c r="C115" s="3241"/>
      <c r="D115" s="3241"/>
      <c r="E115" s="3241"/>
      <c r="F115" s="3241"/>
      <c r="G115" s="3241"/>
      <c r="H115" s="3241"/>
      <c r="I115" s="3242"/>
    </row>
    <row r="116" spans="1:11" ht="27" customHeight="1">
      <c r="A116" s="3151" t="s">
        <v>2302</v>
      </c>
      <c r="B116" s="3194" t="s">
        <v>2303</v>
      </c>
      <c r="C116" s="3194" t="s">
        <v>2304</v>
      </c>
      <c r="D116" s="3200" t="s">
        <v>2305</v>
      </c>
      <c r="E116" s="3201"/>
      <c r="F116" s="3236" t="s">
        <v>2306</v>
      </c>
      <c r="G116" s="3236"/>
      <c r="H116" s="3151" t="s">
        <v>2307</v>
      </c>
      <c r="I116" s="3151"/>
    </row>
    <row r="117" spans="1:11" ht="18.75" customHeight="1">
      <c r="A117" s="3151"/>
      <c r="B117" s="3195"/>
      <c r="C117" s="3195"/>
      <c r="D117" s="1793" t="s">
        <v>2308</v>
      </c>
      <c r="E117" s="1793" t="s">
        <v>2309</v>
      </c>
      <c r="F117" s="1793" t="s">
        <v>2308</v>
      </c>
      <c r="G117" s="1793" t="s">
        <v>2310</v>
      </c>
      <c r="H117" s="1793" t="s">
        <v>2308</v>
      </c>
      <c r="I117" s="1793" t="s">
        <v>2310</v>
      </c>
    </row>
    <row r="118" spans="1:11" ht="24.75" customHeight="1">
      <c r="A118" s="2518" t="str">
        <f>项目基本情况!S2</f>
        <v>深圳市南山区月亮湾大道与绵山路交汇处房地产</v>
      </c>
      <c r="B118" s="1793">
        <f>M18</f>
        <v>50691.57</v>
      </c>
      <c r="C118" s="1793">
        <f>M19</f>
        <v>7108.46</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250099</v>
      </c>
      <c r="I118" s="1793">
        <f ca="1">ROUND(IF(D32="楼面单价",C32,H118*10000/B118),0)</f>
        <v>49337</v>
      </c>
    </row>
    <row r="119" spans="1:11" ht="18.75" customHeight="1">
      <c r="A119" s="3151" t="s">
        <v>2311</v>
      </c>
      <c r="B119" s="3151"/>
      <c r="C119" s="3151"/>
      <c r="D119" s="3196" t="e">
        <f ca="1">NUMBERSTRING(INT(D118*10000),2)&amp;"元整"</f>
        <v>#REF!</v>
      </c>
      <c r="E119" s="3197"/>
      <c r="F119" s="3196" t="e">
        <f ca="1">NUMBERSTRING(INT(F118*10000),2)&amp;"元整"</f>
        <v>#REF!</v>
      </c>
      <c r="G119" s="3197"/>
      <c r="H119" s="3196" t="str">
        <f ca="1">NUMBERSTRING(INT(H118*10000),2)&amp;"元整"</f>
        <v>贰拾伍亿零玖拾玖万元整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5" t="str">
        <f>IF(D120=0,"故，本次评估不存在"&amp;A120,"故，本次评估"&amp;A120&amp;"为人民币"&amp;D120&amp;"万元整。")</f>
        <v>故，本次评估不存在估价师知悉的法定优先受偿款</v>
      </c>
    </row>
    <row r="121" spans="1:11" ht="18.75" customHeight="1">
      <c r="A121" s="3237" t="s">
        <v>2311</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250099</v>
      </c>
      <c r="E122" s="3192"/>
      <c r="F122" s="3192"/>
      <c r="G122" s="3192"/>
      <c r="H122" s="3192"/>
      <c r="I122" s="3193"/>
    </row>
    <row r="123" spans="1:11" ht="18.75" customHeight="1">
      <c r="A123" s="3151" t="s">
        <v>2311</v>
      </c>
      <c r="B123" s="3151"/>
      <c r="C123" s="3151"/>
      <c r="D123" s="3196" t="str">
        <f ca="1">NUMBERSTRING(INT(D122*10000),2)&amp;"元整"</f>
        <v>贰拾伍亿零玖拾玖万元整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2311</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2311</v>
      </c>
      <c r="B127" s="3151"/>
      <c r="C127" s="3151"/>
      <c r="D127" s="3196" t="e">
        <f>NUMBERSTRING(INT(D126*10000),2)&amp;"元整"</f>
        <v>#VALUE!</v>
      </c>
      <c r="E127" s="3198"/>
      <c r="F127" s="3198"/>
      <c r="G127" s="3198"/>
      <c r="H127" s="3198"/>
      <c r="I127" s="3197"/>
    </row>
    <row r="128" spans="1:11" ht="21.75" customHeight="1">
      <c r="A128" s="3199" t="s">
        <v>2312</v>
      </c>
      <c r="B128" s="3199"/>
      <c r="C128" s="3199"/>
      <c r="D128" s="3199"/>
      <c r="E128" s="3199"/>
      <c r="F128" s="3199"/>
      <c r="G128" s="3199"/>
      <c r="H128" s="3199"/>
      <c r="I128" s="3199"/>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2315</v>
      </c>
      <c r="G135" s="2536"/>
      <c r="H135" s="2536"/>
      <c r="I135" s="2537" t="s">
        <v>2316</v>
      </c>
    </row>
    <row r="136" spans="1:35" ht="21.75" customHeight="1">
      <c r="A136" s="793"/>
      <c r="B136" s="2538"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2318</v>
      </c>
    </row>
    <row r="139" spans="1:35" ht="21.75" customHeight="1">
      <c r="A139" s="793"/>
      <c r="B139" s="2538" t="s">
        <v>2319</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2318</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85" t="str">
        <f>项目基本情况!B1</f>
        <v>深圳市南山区月亮湾大道与绵山路交汇处房地产抵押价值预评估</v>
      </c>
      <c r="C37" s="3085"/>
      <c r="D37" s="3085"/>
      <c r="E37" s="3085"/>
      <c r="F37" s="3085"/>
      <c r="G37" s="3085"/>
      <c r="H37" s="3085"/>
      <c r="I37" s="3085"/>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27" sqref="J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5"/>
      <c r="C1" s="240"/>
      <c r="D1" s="240"/>
      <c r="E1" s="240"/>
      <c r="F1" s="240"/>
      <c r="G1" s="1377">
        <f>MATCH(B1,'数据-取费表'!A6:A16,0)+5</f>
        <v>9</v>
      </c>
    </row>
    <row r="2" spans="1:9" s="242" customFormat="1" ht="18" customHeight="1">
      <c r="A2" s="243" t="s">
        <v>2321</v>
      </c>
      <c r="B2" s="244">
        <f ca="1">IF(D2="——",C52,C52-E2)</f>
        <v>237046</v>
      </c>
      <c r="C2" s="241" t="s">
        <v>2322</v>
      </c>
      <c r="D2" s="2541" t="s">
        <v>70</v>
      </c>
      <c r="E2" s="1438" t="e">
        <f ca="1">SUMIF(INDIRECT("'"&amp;G2&amp;"'"&amp;"!A:A"),"承租人权益价值",INDIRECT("'"&amp;G2&amp;"'"&amp;"!c:c"))</f>
        <v>#REF!</v>
      </c>
      <c r="F2" s="2542" t="s">
        <v>2322</v>
      </c>
      <c r="G2" s="2543"/>
    </row>
    <row r="3" spans="1:9" s="242" customFormat="1" ht="18" customHeight="1" thickBot="1">
      <c r="A3" s="245" t="s">
        <v>2323</v>
      </c>
      <c r="B3" s="246">
        <f ca="1">ROUND(B2*10000/(IF(B1="",'数据-汇总表'!E3,INDIRECT("'数据-取费表'!k"&amp;$G$1))),0)</f>
        <v>46762</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C6+C7+C8</f>
        <v>138336</v>
      </c>
      <c r="D5" s="253" t="s">
        <v>2328</v>
      </c>
      <c r="E5" s="254" t="s">
        <v>2329</v>
      </c>
      <c r="F5" s="254" t="s">
        <v>2330</v>
      </c>
      <c r="G5" s="255"/>
    </row>
    <row r="6" spans="1:9" s="256" customFormat="1" ht="13.5" customHeight="1">
      <c r="A6" s="947" t="s">
        <v>2331</v>
      </c>
      <c r="B6" s="257" t="s">
        <v>2332</v>
      </c>
      <c r="C6" s="258">
        <f>'土地比较法-住宅、综合'!F56</f>
        <v>138336</v>
      </c>
      <c r="D6" s="259"/>
      <c r="E6" s="260"/>
      <c r="F6" s="260"/>
      <c r="G6" s="261"/>
    </row>
    <row r="7" spans="1:9" s="256" customFormat="1" ht="13.5" customHeight="1">
      <c r="A7" s="947" t="s">
        <v>2333</v>
      </c>
      <c r="B7" s="257" t="s">
        <v>2334</v>
      </c>
      <c r="C7" s="262">
        <f>ROUND(C6*F7,0)</f>
        <v>0</v>
      </c>
      <c r="D7" s="262"/>
      <c r="E7" s="260"/>
      <c r="F7" s="263">
        <f>'数据-取费表'!B48+'数据-取费表'!B49</f>
        <v>0</v>
      </c>
      <c r="G7" s="261"/>
    </row>
    <row r="8" spans="1:9" s="265" customFormat="1">
      <c r="A8" s="947" t="s">
        <v>2335</v>
      </c>
      <c r="B8" s="257" t="s">
        <v>2336</v>
      </c>
      <c r="C8" s="3076" t="str">
        <f>IF(G8="已包含在土地购买价格中","0",IF(B1="",'数据-取费表'!B29,IF(G9="全部缴纳",C9+C10,H9)))</f>
        <v>0</v>
      </c>
      <c r="D8" s="264"/>
      <c r="E8" s="262"/>
      <c r="F8" s="263"/>
      <c r="G8" s="2544" t="s">
        <v>1148</v>
      </c>
    </row>
    <row r="9" spans="1:9" s="256" customFormat="1" ht="13.5" customHeight="1">
      <c r="A9" s="948" t="s">
        <v>800</v>
      </c>
      <c r="B9" s="266" t="s">
        <v>2337</v>
      </c>
      <c r="C9" s="3077">
        <f ca="1">ROUND(D9*E9/10000,0)</f>
        <v>0</v>
      </c>
      <c r="D9" s="1030">
        <f ca="1">IF(B1="",'数据-汇总表'!E5,IF(INDIRECT("'数据-取费表'!c"&amp;$G$1)="住宅",INDIRECT("'数据-取费表'!k"&amp;$G$1),0))</f>
        <v>38591</v>
      </c>
      <c r="E9" s="3077">
        <f>'数据-取费表'!B27</f>
        <v>0</v>
      </c>
      <c r="F9" s="263"/>
      <c r="G9" s="2545"/>
      <c r="H9" s="1388"/>
      <c r="I9" s="2546" t="s">
        <v>2338</v>
      </c>
    </row>
    <row r="10" spans="1:9" s="256" customFormat="1" ht="13.5" customHeight="1">
      <c r="A10" s="948" t="s">
        <v>801</v>
      </c>
      <c r="B10" s="266" t="s">
        <v>2339</v>
      </c>
      <c r="C10" s="3077">
        <f ca="1">ROUND(D10*E10/10000,0)</f>
        <v>0</v>
      </c>
      <c r="D10" s="1030">
        <f ca="1">IF(B1="",'数据-汇总表'!E6,IF(INDIRECT("'数据-取费表'!c"&amp;$G$1)="住宅",INDIRECT("'数据-取费表'!s"&amp;$G$1),INDIRECT("'数据-取费表'!k"&amp;$G$1)+INDIRECT("'数据-取费表'!s"&amp;$G$1)))</f>
        <v>12100.57</v>
      </c>
      <c r="E10" s="3077">
        <f>'数据-取费表'!B28</f>
        <v>0</v>
      </c>
      <c r="F10" s="263"/>
      <c r="G10" s="268"/>
    </row>
    <row r="11" spans="1:9" s="256" customFormat="1" ht="13.5" hidden="1" customHeight="1">
      <c r="A11" s="269" t="s">
        <v>7</v>
      </c>
      <c r="B11" s="257" t="s">
        <v>2340</v>
      </c>
      <c r="C11" s="253"/>
      <c r="D11" s="1032"/>
      <c r="E11" s="260"/>
      <c r="F11" s="260"/>
      <c r="G11" s="261"/>
    </row>
    <row r="12" spans="1:9" s="256" customFormat="1" ht="13.5" hidden="1" customHeight="1">
      <c r="A12" s="269" t="s">
        <v>8</v>
      </c>
      <c r="B12" s="257" t="s">
        <v>2341</v>
      </c>
      <c r="C12" s="253">
        <v>0</v>
      </c>
      <c r="D12" s="1032"/>
      <c r="E12" s="270"/>
      <c r="F12" s="263">
        <v>3.0499999999999999E-2</v>
      </c>
      <c r="G12" s="261"/>
    </row>
    <row r="13" spans="1:9" s="256" customFormat="1" ht="13.5" hidden="1" customHeight="1">
      <c r="A13" s="269" t="s">
        <v>9</v>
      </c>
      <c r="B13" s="257" t="s">
        <v>2342</v>
      </c>
      <c r="C13" s="253"/>
      <c r="D13" s="1032"/>
      <c r="E13" s="260"/>
      <c r="F13" s="260"/>
      <c r="G13" s="261"/>
    </row>
    <row r="14" spans="1:9" s="256" customFormat="1" ht="13.5" hidden="1" customHeight="1">
      <c r="A14" s="269" t="s">
        <v>10</v>
      </c>
      <c r="B14" s="257" t="s">
        <v>2343</v>
      </c>
      <c r="C14" s="253"/>
      <c r="D14" s="1032"/>
      <c r="E14" s="260"/>
      <c r="F14" s="260"/>
      <c r="G14" s="261" t="s">
        <v>2344</v>
      </c>
    </row>
    <row r="15" spans="1:9" s="256" customFormat="1" ht="13.5" hidden="1" customHeight="1">
      <c r="A15" s="269" t="s">
        <v>11</v>
      </c>
      <c r="B15" s="257" t="s">
        <v>2345</v>
      </c>
      <c r="C15" s="262"/>
      <c r="D15" s="1032"/>
      <c r="E15" s="260"/>
      <c r="F15" s="260"/>
      <c r="G15" s="261" t="s">
        <v>2346</v>
      </c>
    </row>
    <row r="16" spans="1:9" s="256" customFormat="1" ht="13.5" hidden="1" customHeight="1">
      <c r="A16" s="269" t="s">
        <v>12</v>
      </c>
      <c r="B16" s="257" t="s">
        <v>2343</v>
      </c>
      <c r="C16" s="262"/>
      <c r="D16" s="1032"/>
      <c r="E16" s="260"/>
      <c r="F16" s="260"/>
      <c r="G16" s="261"/>
    </row>
    <row r="17" spans="1:7" s="256" customFormat="1" ht="13.5" hidden="1" customHeight="1">
      <c r="A17" s="269" t="s">
        <v>13</v>
      </c>
      <c r="B17" s="257" t="s">
        <v>2347</v>
      </c>
      <c r="C17" s="271"/>
      <c r="D17" s="1033"/>
      <c r="E17" s="271"/>
      <c r="F17" s="271"/>
      <c r="G17" s="261" t="s">
        <v>2346</v>
      </c>
    </row>
    <row r="18" spans="1:7" s="256" customFormat="1" ht="13.5" hidden="1" customHeight="1">
      <c r="A18" s="269" t="s">
        <v>14</v>
      </c>
      <c r="B18" s="257" t="s">
        <v>2348</v>
      </c>
      <c r="C18" s="262">
        <v>0</v>
      </c>
      <c r="D18" s="1032"/>
      <c r="E18" s="260"/>
      <c r="F18" s="263">
        <v>3.0499999999999999E-2</v>
      </c>
      <c r="G18" s="261" t="s">
        <v>2349</v>
      </c>
    </row>
    <row r="19" spans="1:7" s="265" customFormat="1" ht="13.5" customHeight="1">
      <c r="A19" s="297" t="s">
        <v>2350</v>
      </c>
      <c r="B19" s="252" t="s">
        <v>2351</v>
      </c>
      <c r="C19" s="253">
        <f ca="1">IF(G19="已包含在土地取得成本中","0",ROUND(D19*E19/10000,0))</f>
        <v>1014</v>
      </c>
      <c r="D19" s="1034">
        <f ca="1">D9+D10</f>
        <v>50691.57</v>
      </c>
      <c r="E19" s="253">
        <f>'数据-取费表'!B31</f>
        <v>200</v>
      </c>
      <c r="F19" s="273"/>
      <c r="G19" s="2544"/>
    </row>
    <row r="20" spans="1:7" s="256" customFormat="1" ht="13.5" customHeight="1">
      <c r="A20" s="297" t="s">
        <v>2352</v>
      </c>
      <c r="B20" s="252" t="s">
        <v>2353</v>
      </c>
      <c r="C20" s="274">
        <f ca="1">ROUND((C5+C19)*F20,0)</f>
        <v>2787</v>
      </c>
      <c r="D20" s="274"/>
      <c r="E20" s="274"/>
      <c r="F20" s="275">
        <f>'数据-取费表'!B37</f>
        <v>0.02</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2">
        <f ca="1">ROUND(SUM(C23:C25),0)</f>
        <v>21016</v>
      </c>
      <c r="D22" s="277">
        <f ca="1">C26</f>
        <v>2.2000000000000001E-3</v>
      </c>
      <c r="E22" s="278" t="s">
        <v>2357</v>
      </c>
      <c r="F22" s="279">
        <f ca="1">'数据-取费表'!B40</f>
        <v>4.7500000000000001E-2</v>
      </c>
      <c r="G22" s="276" t="str">
        <f>IF('数据-取费表'!B22&lt;=1,"单利计息","复利计息")</f>
        <v>复利计息</v>
      </c>
    </row>
    <row r="23" spans="1:7" s="256" customFormat="1" ht="13.5" customHeight="1">
      <c r="A23" s="949" t="s">
        <v>2361</v>
      </c>
      <c r="B23" s="257" t="s">
        <v>2362</v>
      </c>
      <c r="C23" s="1353">
        <f ca="1">ROUND(IF('数据-取费表'!B22&lt;=1,C5*F22*'数据-取费表'!B23,C5*(POWER((1+F22),'数据-取费表'!B23)-1)),0)</f>
        <v>20664</v>
      </c>
      <c r="D23" s="280"/>
      <c r="E23" s="280"/>
      <c r="F23" s="281"/>
      <c r="G23" s="282" t="s">
        <v>2363</v>
      </c>
    </row>
    <row r="24" spans="1:7" s="256" customFormat="1" ht="13.5" customHeight="1">
      <c r="A24" s="949" t="s">
        <v>2364</v>
      </c>
      <c r="B24" s="257" t="s">
        <v>2365</v>
      </c>
      <c r="C24" s="1353">
        <f ca="1">ROUND(IF('数据-取费表'!B22&lt;=1,C19*F22*('数据-取费表'!B19/2+'数据-取费表'!B21),C19*(POWER((1+F22),('数据-取费表'!B19/2+'数据-取费表'!B21))-1)),0)</f>
        <v>151</v>
      </c>
      <c r="D24" s="280"/>
      <c r="E24" s="280"/>
      <c r="F24" s="281"/>
      <c r="G24" s="282" t="s">
        <v>2366</v>
      </c>
    </row>
    <row r="25" spans="1:7" s="256" customFormat="1" ht="24">
      <c r="A25" s="949" t="s">
        <v>2367</v>
      </c>
      <c r="B25" s="257" t="s">
        <v>2368</v>
      </c>
      <c r="C25" s="1353">
        <f ca="1">ROUND(IF('数据-取费表'!B22&lt;=1,C20*F22*'数据-取费表'!B23/2,C20*(POWER((1+F22),'数据-取费表'!B23/2)-1)),0)</f>
        <v>201</v>
      </c>
      <c r="D25" s="280"/>
      <c r="E25" s="283"/>
      <c r="F25" s="281"/>
      <c r="G25" s="284" t="s">
        <v>2369</v>
      </c>
    </row>
    <row r="26" spans="1:7" s="256" customFormat="1">
      <c r="A26" s="949" t="s">
        <v>795</v>
      </c>
      <c r="B26" s="257" t="s">
        <v>2370</v>
      </c>
      <c r="C26" s="280">
        <f ca="1">ROUND(IF('数据-取费表'!B22&lt;=1,F21*F22*'数据-取费表'!B23/2,F21*(POWER((1+F22),'数据-取费表'!B23/2)-1)),4)</f>
        <v>2.2000000000000001E-3</v>
      </c>
      <c r="D26" s="280"/>
      <c r="E26" s="283"/>
      <c r="F26" s="281"/>
      <c r="G26" s="285"/>
    </row>
    <row r="27" spans="1:7" s="256" customFormat="1" ht="24.75">
      <c r="A27" s="297" t="s">
        <v>2371</v>
      </c>
      <c r="B27" s="286" t="s">
        <v>2372</v>
      </c>
      <c r="C27" s="287">
        <f ca="1">C28</f>
        <v>28427</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ROUND((C5+C19+C20)*F27*'数据-取费表'!B21/'数据-取费表'!B20,0)</f>
        <v>28427</v>
      </c>
      <c r="D28" s="277"/>
      <c r="E28" s="278"/>
      <c r="F28" s="288"/>
      <c r="G28" s="289"/>
    </row>
    <row r="29" spans="1:7" s="256" customFormat="1" ht="13.5" customHeight="1">
      <c r="A29" s="949" t="s">
        <v>792</v>
      </c>
      <c r="B29" s="290" t="s">
        <v>2376</v>
      </c>
      <c r="C29" s="280">
        <f ca="1">ROUND(C21*F27*'数据-取费表'!B21/'数据-取费表'!B20,4)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210875</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18509</v>
      </c>
      <c r="D33" s="274"/>
      <c r="E33" s="254"/>
      <c r="F33" s="283"/>
      <c r="G33" s="276"/>
    </row>
    <row r="34" spans="1:7" s="300" customFormat="1" ht="13.5" customHeight="1">
      <c r="A34" s="949" t="s">
        <v>791</v>
      </c>
      <c r="B34" s="257" t="s">
        <v>2384</v>
      </c>
      <c r="C34" s="262">
        <f ca="1">IF(B1="",IF(F34=100%,'数据-取费表'!M16,'数据-取费表'!O16),IF(F34=100%,INDIRECT("'数据-取费表'!m"&amp;$G$1)+INDIRECT("'数据-取费表'!t"&amp;$G$1),INDIRECT("'数据-取费表'!o"&amp;$G$1)+INDIRECT("'数据-取费表'!aq"&amp;$G$1)))</f>
        <v>17712</v>
      </c>
      <c r="D34" s="259"/>
      <c r="E34" s="262"/>
      <c r="F34" s="299">
        <f ca="1">IF('数据-取费表'!B24=0,1,IF(B1="",'数据-取费表'!N16,INDIRECT("'数据-取费表'!n"&amp;$G$1)))</f>
        <v>1</v>
      </c>
      <c r="G34" s="261" t="s">
        <v>2385</v>
      </c>
    </row>
    <row r="35" spans="1:7" ht="13.5" customHeight="1">
      <c r="A35" s="949" t="s">
        <v>796</v>
      </c>
      <c r="B35" s="257" t="s">
        <v>2386</v>
      </c>
      <c r="C35" s="262">
        <f ca="1">ROUND(C34*F35,0)</f>
        <v>531</v>
      </c>
      <c r="D35" s="262"/>
      <c r="E35" s="262"/>
      <c r="F35" s="301">
        <f>'数据-取费表'!B33</f>
        <v>0.03</v>
      </c>
      <c r="G35" s="261" t="s">
        <v>2387</v>
      </c>
    </row>
    <row r="36" spans="1:7" ht="24">
      <c r="A36" s="949"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9" t="s">
        <v>798</v>
      </c>
      <c r="B37" s="257" t="s">
        <v>2390</v>
      </c>
      <c r="C37" s="291">
        <f ca="1">ROUND(E37*D37*F34/10000,0)</f>
        <v>0</v>
      </c>
      <c r="D37" s="259">
        <f ca="1">D19</f>
        <v>50691.57</v>
      </c>
      <c r="E37" s="291">
        <f>'数据-取费表'!B35</f>
        <v>0</v>
      </c>
      <c r="F37" s="301"/>
      <c r="G37" s="303" t="s">
        <v>2391</v>
      </c>
    </row>
    <row r="38" spans="1:7" ht="13.5" customHeight="1">
      <c r="A38" s="949" t="s">
        <v>799</v>
      </c>
      <c r="B38" s="257" t="s">
        <v>2392</v>
      </c>
      <c r="C38" s="262">
        <f ca="1">ROUND(C34*F38,0)</f>
        <v>266</v>
      </c>
      <c r="D38" s="262"/>
      <c r="E38" s="262"/>
      <c r="F38" s="301">
        <f>'数据-取费表'!B36</f>
        <v>1.4999999999999999E-2</v>
      </c>
      <c r="G38" s="261" t="s">
        <v>2387</v>
      </c>
    </row>
    <row r="39" spans="1:7" s="256" customFormat="1" ht="13.5" customHeight="1">
      <c r="A39" s="297" t="s">
        <v>2393</v>
      </c>
      <c r="B39" s="252" t="s">
        <v>2394</v>
      </c>
      <c r="C39" s="274">
        <f ca="1">ROUND(C33*F20,0)</f>
        <v>370</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1361</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ROUND(IF('数据-取费表'!B22&lt;=1,C33*F22*'数据-取费表'!B21/2,C33*(POWER((1+F22),'数据-取费表'!B21/2)-1)),0)</f>
        <v>1334</v>
      </c>
      <c r="D42" s="280"/>
      <c r="E42" s="280"/>
      <c r="F42" s="281"/>
      <c r="G42" s="3271" t="s">
        <v>2403</v>
      </c>
    </row>
    <row r="43" spans="1:7" ht="13.5" customHeight="1">
      <c r="A43" s="949" t="s">
        <v>792</v>
      </c>
      <c r="B43" s="257" t="s">
        <v>2404</v>
      </c>
      <c r="C43" s="280">
        <f ca="1">ROUND(IF('数据-取费表'!B22&lt;=1,C39*F22*'数据-取费表'!B21/2,C39*(POWER((1+F22),'数据-取费表'!B21/2)-1)),0)</f>
        <v>27</v>
      </c>
      <c r="D43" s="280"/>
      <c r="E43" s="280"/>
      <c r="F43" s="281"/>
      <c r="G43" s="3272"/>
    </row>
    <row r="44" spans="1:7" ht="13.5" customHeight="1">
      <c r="A44" s="949" t="s">
        <v>793</v>
      </c>
      <c r="B44" s="257" t="s">
        <v>2405</v>
      </c>
      <c r="C44" s="280">
        <f ca="1">ROUND(IF('数据-取费表'!B22&lt;=1,C40*F22*'数据-取费表'!B21/2,C40*(POWER((1+F22),'数据-取费表'!B21/2)-1)),4)</f>
        <v>2.2000000000000001E-3</v>
      </c>
      <c r="D44" s="280"/>
      <c r="E44" s="280"/>
      <c r="F44" s="281"/>
      <c r="G44" s="3273"/>
    </row>
    <row r="45" spans="1:7" s="256" customFormat="1" ht="13.5" customHeight="1">
      <c r="A45" s="297" t="s">
        <v>2406</v>
      </c>
      <c r="B45" s="286" t="s">
        <v>2372</v>
      </c>
      <c r="C45" s="287">
        <f ca="1">C46</f>
        <v>3776</v>
      </c>
      <c r="D45" s="277">
        <f ca="1">C47</f>
        <v>6.0000000000000001E-3</v>
      </c>
      <c r="E45" s="278" t="s">
        <v>2398</v>
      </c>
      <c r="F45" s="288"/>
      <c r="G45" s="289" t="s">
        <v>2407</v>
      </c>
    </row>
    <row r="46" spans="1:7" s="256" customFormat="1" ht="13.5" customHeight="1">
      <c r="A46" s="949" t="s">
        <v>791</v>
      </c>
      <c r="B46" s="290" t="s">
        <v>2408</v>
      </c>
      <c r="C46" s="291">
        <f ca="1">ROUND((C33+C39)*F27,0)</f>
        <v>3776</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1726">
        <f>ROUND(F30/(1+'数据-取费表'!C42),4)</f>
        <v>5.33E-2</v>
      </c>
      <c r="D48" s="278" t="s">
        <v>2398</v>
      </c>
      <c r="E48" s="274"/>
      <c r="F48" s="279"/>
      <c r="G48" s="276" t="s">
        <v>2411</v>
      </c>
    </row>
    <row r="49" spans="1:7" ht="16.5" customHeight="1">
      <c r="A49" s="297" t="s">
        <v>2377</v>
      </c>
      <c r="B49" s="252" t="s">
        <v>2412</v>
      </c>
      <c r="C49" s="274">
        <f ca="1">ROUND((C33+C39+C41+C45)/(1-C40-D41-D45-C48),0)</f>
        <v>26435</v>
      </c>
      <c r="D49" s="274"/>
      <c r="E49" s="274"/>
      <c r="F49" s="306"/>
      <c r="G49" s="276" t="s">
        <v>2413</v>
      </c>
    </row>
    <row r="50" spans="1:7" s="300" customFormat="1" ht="24">
      <c r="A50" s="297" t="s">
        <v>2414</v>
      </c>
      <c r="B50" s="252" t="s">
        <v>2415</v>
      </c>
      <c r="C50" s="274"/>
      <c r="D50" s="274"/>
      <c r="E50" s="274"/>
      <c r="F50" s="306">
        <f>IF('数据-取费表'!B24=0,'数据-取费表'!N16,1)</f>
        <v>0.99</v>
      </c>
      <c r="G50" s="289" t="s">
        <v>2416</v>
      </c>
    </row>
    <row r="51" spans="1:7" ht="16.5" customHeight="1">
      <c r="A51" s="297" t="s">
        <v>2417</v>
      </c>
      <c r="B51" s="252" t="s">
        <v>2418</v>
      </c>
      <c r="C51" s="274">
        <f ca="1">ROUND(C49*F50,0)</f>
        <v>26171</v>
      </c>
      <c r="D51" s="274"/>
      <c r="E51" s="274"/>
      <c r="F51" s="306"/>
      <c r="G51" s="276" t="s">
        <v>2419</v>
      </c>
    </row>
    <row r="52" spans="1:7" s="250" customFormat="1" ht="16.5" thickBot="1">
      <c r="A52" s="307" t="s">
        <v>2420</v>
      </c>
      <c r="B52" s="308"/>
      <c r="C52" s="309">
        <f ca="1">C31+C51</f>
        <v>237046</v>
      </c>
      <c r="D52" s="308"/>
      <c r="E52" s="308"/>
      <c r="F52" s="308"/>
      <c r="G52" s="310"/>
    </row>
    <row r="55" spans="1:7" ht="15">
      <c r="B55" s="312" t="s">
        <v>2421</v>
      </c>
      <c r="C55" s="313"/>
    </row>
    <row r="56" spans="1:7">
      <c r="B56" s="315" t="s">
        <v>1513</v>
      </c>
      <c r="C56" s="317">
        <f ca="1">1-C57</f>
        <v>0.89</v>
      </c>
    </row>
    <row r="57" spans="1:7">
      <c r="B57" s="315" t="s">
        <v>1514</v>
      </c>
      <c r="C57" s="316">
        <f ca="1">ROUND(C51/C52,3)</f>
        <v>0.11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5"/>
      <c r="C1" s="2547" t="s">
        <v>2422</v>
      </c>
      <c r="D1" s="240"/>
      <c r="E1" s="240"/>
      <c r="F1" s="240"/>
      <c r="G1" s="1377">
        <f>MATCH(B1,'数据-取费表'!A6:A16,0)+5</f>
        <v>9</v>
      </c>
      <c r="H1" s="1280" t="str">
        <f>IF(ISERROR(FIND("住宅",B1)),"非住宅","住宅")</f>
        <v>非住宅</v>
      </c>
    </row>
    <row r="2" spans="1:8" s="242" customFormat="1" ht="18" customHeight="1">
      <c r="A2" s="243" t="s">
        <v>2321</v>
      </c>
      <c r="B2" s="244">
        <f ca="1">ROUND(IF(D2="——",C52/10000,C52/10000-E2),0)</f>
        <v>27705</v>
      </c>
      <c r="C2" s="241" t="s">
        <v>2322</v>
      </c>
      <c r="D2" s="2541" t="s">
        <v>70</v>
      </c>
      <c r="E2" s="1438"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5465</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0</v>
      </c>
      <c r="D5" s="253" t="s">
        <v>2328</v>
      </c>
      <c r="E5" s="254" t="s">
        <v>2329</v>
      </c>
      <c r="F5" s="254" t="s">
        <v>2330</v>
      </c>
      <c r="G5" s="255"/>
    </row>
    <row r="6" spans="1:8" s="256" customFormat="1" ht="13.5" customHeight="1">
      <c r="A6" s="947" t="s">
        <v>2331</v>
      </c>
      <c r="B6" s="257" t="s">
        <v>2332</v>
      </c>
      <c r="C6" s="258"/>
      <c r="D6" s="259"/>
      <c r="E6" s="260"/>
      <c r="F6" s="260"/>
      <c r="G6" s="261"/>
    </row>
    <row r="7" spans="1:8" s="256" customFormat="1" ht="13.5" customHeight="1">
      <c r="A7" s="947" t="s">
        <v>2333</v>
      </c>
      <c r="B7" s="257" t="s">
        <v>2334</v>
      </c>
      <c r="C7" s="262">
        <f>ROUND(C6*F7,0)</f>
        <v>0</v>
      </c>
      <c r="D7" s="262"/>
      <c r="E7" s="260"/>
      <c r="F7" s="263">
        <f>'数据-取费表'!B48+'数据-取费表'!B49</f>
        <v>0</v>
      </c>
      <c r="G7" s="261"/>
    </row>
    <row r="8" spans="1:8" s="265" customFormat="1">
      <c r="A8" s="947" t="s">
        <v>2335</v>
      </c>
      <c r="B8" s="257" t="s">
        <v>2336</v>
      </c>
      <c r="C8" s="262">
        <f ca="1">IF(G8="已包含在土地购买价格中",0,C9+C10)</f>
        <v>0</v>
      </c>
      <c r="D8" s="264"/>
      <c r="E8" s="262"/>
      <c r="F8" s="263"/>
      <c r="G8" s="2544"/>
    </row>
    <row r="9" spans="1:8" s="256" customFormat="1" ht="13.5" customHeight="1">
      <c r="A9" s="948" t="s">
        <v>800</v>
      </c>
      <c r="B9" s="266" t="s">
        <v>2337</v>
      </c>
      <c r="C9" s="267">
        <f ca="1">ROUND(D9*E9,0)</f>
        <v>0</v>
      </c>
      <c r="D9" s="1030">
        <f ca="1">IF(B1="",'数据-汇总表'!E5,IF(INDIRECT("'数据-取费表'!c"&amp;$G$1)="住宅",INDIRECT("'数据-取费表'!k"&amp;$G$1),0))</f>
        <v>38591</v>
      </c>
      <c r="E9" s="267">
        <f>'数据-取费表'!B27</f>
        <v>0</v>
      </c>
      <c r="F9" s="263"/>
      <c r="G9" s="268"/>
    </row>
    <row r="10" spans="1:8" s="256" customFormat="1" ht="13.5" customHeight="1">
      <c r="A10" s="948" t="s">
        <v>801</v>
      </c>
      <c r="B10" s="266" t="s">
        <v>2339</v>
      </c>
      <c r="C10" s="267">
        <f ca="1">ROUND(D10*E10,0)</f>
        <v>0</v>
      </c>
      <c r="D10" s="1030">
        <f ca="1">IF(B1="",'数据-汇总表'!E6,IF(INDIRECT("'数据-取费表'!c"&amp;$G$1)="住宅",INDIRECT("'数据-取费表'!s"&amp;$G$1),INDIRECT("'数据-取费表'!k"&amp;$G$1)+INDIRECT("'数据-取费表'!s"&amp;$G$1)))</f>
        <v>12100.57</v>
      </c>
      <c r="E10" s="267">
        <f>'数据-取费表'!B28</f>
        <v>0</v>
      </c>
      <c r="F10" s="263"/>
      <c r="G10" s="268"/>
    </row>
    <row r="11" spans="1:8" s="256" customFormat="1" ht="13.5" hidden="1" customHeight="1">
      <c r="A11" s="269" t="s">
        <v>7</v>
      </c>
      <c r="B11" s="257" t="s">
        <v>2340</v>
      </c>
      <c r="C11" s="253"/>
      <c r="D11" s="1032"/>
      <c r="E11" s="260"/>
      <c r="F11" s="260"/>
      <c r="G11" s="261"/>
    </row>
    <row r="12" spans="1:8" s="256" customFormat="1" ht="13.5" hidden="1" customHeight="1">
      <c r="A12" s="269" t="s">
        <v>8</v>
      </c>
      <c r="B12" s="257" t="s">
        <v>2423</v>
      </c>
      <c r="C12" s="253">
        <v>0</v>
      </c>
      <c r="D12" s="1032"/>
      <c r="E12" s="270"/>
      <c r="F12" s="263">
        <v>3.0499999999999999E-2</v>
      </c>
      <c r="G12" s="261"/>
    </row>
    <row r="13" spans="1:8" s="256" customFormat="1" ht="13.5" hidden="1" customHeight="1">
      <c r="A13" s="269" t="s">
        <v>9</v>
      </c>
      <c r="B13" s="257" t="s">
        <v>2424</v>
      </c>
      <c r="C13" s="253"/>
      <c r="D13" s="1032"/>
      <c r="E13" s="260"/>
      <c r="F13" s="260"/>
      <c r="G13" s="261"/>
    </row>
    <row r="14" spans="1:8" s="256" customFormat="1" ht="13.5" hidden="1" customHeight="1">
      <c r="A14" s="269" t="s">
        <v>10</v>
      </c>
      <c r="B14" s="257" t="s">
        <v>2336</v>
      </c>
      <c r="C14" s="253"/>
      <c r="D14" s="1032"/>
      <c r="E14" s="260"/>
      <c r="F14" s="260"/>
      <c r="G14" s="261" t="s">
        <v>2425</v>
      </c>
    </row>
    <row r="15" spans="1:8" s="256" customFormat="1" ht="13.5" hidden="1" customHeight="1">
      <c r="A15" s="269" t="s">
        <v>11</v>
      </c>
      <c r="B15" s="257" t="s">
        <v>2426</v>
      </c>
      <c r="C15" s="262"/>
      <c r="D15" s="1032"/>
      <c r="E15" s="260"/>
      <c r="F15" s="260"/>
      <c r="G15" s="261" t="s">
        <v>2427</v>
      </c>
    </row>
    <row r="16" spans="1:8" s="256" customFormat="1" ht="13.5" hidden="1" customHeight="1">
      <c r="A16" s="269" t="s">
        <v>12</v>
      </c>
      <c r="B16" s="257" t="s">
        <v>2336</v>
      </c>
      <c r="C16" s="262"/>
      <c r="D16" s="1032"/>
      <c r="E16" s="260"/>
      <c r="F16" s="260"/>
      <c r="G16" s="261"/>
    </row>
    <row r="17" spans="1:7" s="256" customFormat="1" ht="13.5" hidden="1" customHeight="1">
      <c r="A17" s="269" t="s">
        <v>13</v>
      </c>
      <c r="B17" s="257" t="s">
        <v>2428</v>
      </c>
      <c r="C17" s="271"/>
      <c r="D17" s="1033"/>
      <c r="E17" s="271"/>
      <c r="F17" s="271"/>
      <c r="G17" s="261" t="s">
        <v>2427</v>
      </c>
    </row>
    <row r="18" spans="1:7" s="256" customFormat="1" ht="13.5" hidden="1" customHeight="1">
      <c r="A18" s="269" t="s">
        <v>14</v>
      </c>
      <c r="B18" s="257" t="s">
        <v>2429</v>
      </c>
      <c r="C18" s="262">
        <v>0</v>
      </c>
      <c r="D18" s="1032"/>
      <c r="E18" s="260"/>
      <c r="F18" s="263">
        <v>3.0499999999999999E-2</v>
      </c>
      <c r="G18" s="261" t="s">
        <v>2430</v>
      </c>
    </row>
    <row r="19" spans="1:7" s="265" customFormat="1" ht="13.5" customHeight="1">
      <c r="A19" s="297" t="s">
        <v>2431</v>
      </c>
      <c r="B19" s="252" t="s">
        <v>2432</v>
      </c>
      <c r="C19" s="253">
        <f ca="1">IF(G19="已包含在土地取得成本中","0",ROUND(D19*E19,0))</f>
        <v>10138314</v>
      </c>
      <c r="D19" s="1034">
        <f ca="1">D9+D10</f>
        <v>50691.57</v>
      </c>
      <c r="E19" s="253">
        <f>'数据-取费表'!B31</f>
        <v>200</v>
      </c>
      <c r="F19" s="273"/>
      <c r="G19" s="2544"/>
    </row>
    <row r="20" spans="1:7" s="256" customFormat="1" ht="13.5" customHeight="1">
      <c r="A20" s="297" t="s">
        <v>2433</v>
      </c>
      <c r="B20" s="252" t="s">
        <v>2434</v>
      </c>
      <c r="C20" s="274">
        <f ca="1">ROUND((C5+C19)*F20,0)</f>
        <v>202766</v>
      </c>
      <c r="D20" s="274"/>
      <c r="E20" s="274"/>
      <c r="F20" s="275">
        <f>'数据-取费表'!B37</f>
        <v>0.02</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8">
        <f ca="1">ROUND(SUM(C23:C25),0)</f>
        <v>1529037</v>
      </c>
      <c r="D22" s="277">
        <f ca="1">C26</f>
        <v>2.2000000000000001E-3</v>
      </c>
      <c r="E22" s="278" t="s">
        <v>2438</v>
      </c>
      <c r="F22" s="279">
        <f ca="1">'数据-取费表'!B40</f>
        <v>4.7500000000000001E-2</v>
      </c>
      <c r="G22" s="276" t="str">
        <f>IF('数据-取费表'!B22&lt;=1,"单利计息","复利计息")</f>
        <v>复利计息</v>
      </c>
    </row>
    <row r="23" spans="1:7" s="256" customFormat="1" ht="13.5" customHeight="1">
      <c r="A23" s="949" t="s">
        <v>2331</v>
      </c>
      <c r="B23" s="257" t="s">
        <v>2442</v>
      </c>
      <c r="C23" s="1379">
        <f ca="1">ROUND(IF('数据-取费表'!B22&lt;=1,C5*F22*'数据-取费表'!B22,C5*(POWER((1+F22),'数据-取费表'!B22)-1)),0)</f>
        <v>0</v>
      </c>
      <c r="D23" s="280"/>
      <c r="E23" s="280"/>
      <c r="F23" s="281"/>
      <c r="G23" s="282" t="s">
        <v>2443</v>
      </c>
    </row>
    <row r="24" spans="1:7" s="256" customFormat="1" ht="13.5" customHeight="1">
      <c r="A24" s="949" t="s">
        <v>2333</v>
      </c>
      <c r="B24" s="257" t="s">
        <v>2444</v>
      </c>
      <c r="C24" s="1379">
        <f ca="1">ROUND(IF('数据-取费表'!B22&lt;=1,C19*F22*('数据-取费表'!B19/2+'数据-取费表'!B20),C19*(POWER((1+F22),('数据-取费表'!B19/2+'数据-取费表'!B20))-1)),0)</f>
        <v>1514420</v>
      </c>
      <c r="D24" s="280"/>
      <c r="E24" s="280"/>
      <c r="F24" s="281"/>
      <c r="G24" s="282" t="s">
        <v>2445</v>
      </c>
    </row>
    <row r="25" spans="1:7" s="256" customFormat="1" ht="24">
      <c r="A25" s="949" t="s">
        <v>2335</v>
      </c>
      <c r="B25" s="257" t="s">
        <v>2446</v>
      </c>
      <c r="C25" s="1379">
        <f ca="1">ROUND(IF('数据-取费表'!B22&lt;=1,C20*F22*'数据-取费表'!B22/2,C20*(POWER((1+F22),'数据-取费表'!B22/2)-1)),0)</f>
        <v>14617</v>
      </c>
      <c r="D25" s="280"/>
      <c r="E25" s="283"/>
      <c r="F25" s="281"/>
      <c r="G25" s="284" t="s">
        <v>2447</v>
      </c>
    </row>
    <row r="26" spans="1:7" s="256" customFormat="1">
      <c r="A26" s="949" t="s">
        <v>795</v>
      </c>
      <c r="B26" s="257" t="s">
        <v>2370</v>
      </c>
      <c r="C26" s="280">
        <f ca="1">ROUND(IF('数据-取费表'!B22&lt;=1,F21*F22*'数据-取费表'!B22/2,F21*(POWER((1+F22),'数据-取费表'!B22/2)-1)),4)</f>
        <v>2.2000000000000001E-3</v>
      </c>
      <c r="D26" s="280"/>
      <c r="E26" s="283"/>
      <c r="F26" s="281"/>
      <c r="G26" s="285"/>
    </row>
    <row r="27" spans="1:7" s="256" customFormat="1" ht="24.75">
      <c r="A27" s="297" t="s">
        <v>2371</v>
      </c>
      <c r="B27" s="286" t="s">
        <v>2372</v>
      </c>
      <c r="C27" s="287">
        <f ca="1">C28</f>
        <v>2068216</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ROUND((C5+C19+C20)*F27,0)</f>
        <v>2068216</v>
      </c>
      <c r="D28" s="277"/>
      <c r="E28" s="278"/>
      <c r="F28" s="288"/>
      <c r="G28" s="289"/>
    </row>
    <row r="29" spans="1:7" s="256" customFormat="1" ht="13.5" customHeight="1">
      <c r="A29" s="949" t="s">
        <v>792</v>
      </c>
      <c r="B29" s="290" t="s">
        <v>2376</v>
      </c>
      <c r="C29" s="280">
        <f ca="1">ROUND(C21*F27,4)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15342139</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185090619</v>
      </c>
      <c r="D33" s="274"/>
      <c r="E33" s="254"/>
      <c r="F33" s="283"/>
      <c r="G33" s="276"/>
    </row>
    <row r="34" spans="1:7" s="300" customFormat="1" ht="13.5" customHeight="1">
      <c r="A34" s="949" t="s">
        <v>791</v>
      </c>
      <c r="B34" s="257" t="s">
        <v>2384</v>
      </c>
      <c r="C34" s="262">
        <f ca="1">ROUND(IF(B1="",SUMPRODUCT('数据-取费表'!K6:K14,'数据-取费表'!L6:L14),INDIRECT("'数据-取费表'!l"&amp;$G$1)*INDIRECT("'数据-取费表'!k"&amp;$G$1)+'数据-取费表'!L14*INDIRECT("'数据-取费表'!S"&amp;$G$1)),0)</f>
        <v>177120210</v>
      </c>
      <c r="D34" s="259"/>
      <c r="E34" s="262"/>
      <c r="F34" s="299"/>
      <c r="G34" s="261"/>
    </row>
    <row r="35" spans="1:7" ht="13.5" customHeight="1">
      <c r="A35" s="949" t="s">
        <v>796</v>
      </c>
      <c r="B35" s="257" t="s">
        <v>2386</v>
      </c>
      <c r="C35" s="262">
        <f ca="1">ROUND(C34*F35,0)</f>
        <v>5313606</v>
      </c>
      <c r="D35" s="262"/>
      <c r="E35" s="262"/>
      <c r="F35" s="301">
        <f>'数据-取费表'!B33</f>
        <v>0.03</v>
      </c>
      <c r="G35" s="261" t="s">
        <v>2387</v>
      </c>
    </row>
    <row r="36" spans="1:7" ht="24">
      <c r="A36" s="949"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9" t="s">
        <v>798</v>
      </c>
      <c r="B37" s="257" t="s">
        <v>2390</v>
      </c>
      <c r="C37" s="291">
        <f ca="1">ROUND(E37*D37,0)</f>
        <v>0</v>
      </c>
      <c r="D37" s="259">
        <f ca="1">D19</f>
        <v>50691.57</v>
      </c>
      <c r="E37" s="291">
        <f>'数据-取费表'!B35</f>
        <v>0</v>
      </c>
      <c r="F37" s="301"/>
      <c r="G37" s="303"/>
    </row>
    <row r="38" spans="1:7" ht="13.5" customHeight="1">
      <c r="A38" s="949" t="s">
        <v>799</v>
      </c>
      <c r="B38" s="257" t="s">
        <v>2392</v>
      </c>
      <c r="C38" s="262">
        <f ca="1">ROUND(C34*F38,0)</f>
        <v>2656803</v>
      </c>
      <c r="D38" s="262"/>
      <c r="E38" s="262"/>
      <c r="F38" s="301">
        <f>'数据-取费表'!B36</f>
        <v>1.4999999999999999E-2</v>
      </c>
      <c r="G38" s="261" t="s">
        <v>2387</v>
      </c>
    </row>
    <row r="39" spans="1:7" s="256" customFormat="1" ht="13.5" customHeight="1">
      <c r="A39" s="297" t="s">
        <v>2393</v>
      </c>
      <c r="B39" s="252" t="s">
        <v>2394</v>
      </c>
      <c r="C39" s="274">
        <f ca="1">ROUND(C33*F20,0)</f>
        <v>3701812</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13609954</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ROUND(IF('数据-取费表'!B22&lt;=1,C33*F22*'数据-取费表'!B20/2,C33*(POWER((1+F22),'数据-取费表'!B20/2)-1)),0)</f>
        <v>13343092</v>
      </c>
      <c r="D42" s="280"/>
      <c r="E42" s="280"/>
      <c r="F42" s="281"/>
      <c r="G42" s="3271" t="s">
        <v>2450</v>
      </c>
    </row>
    <row r="43" spans="1:7" ht="13.5" customHeight="1">
      <c r="A43" s="949" t="s">
        <v>792</v>
      </c>
      <c r="B43" s="257" t="s">
        <v>2404</v>
      </c>
      <c r="C43" s="280">
        <f ca="1">ROUND(IF('数据-取费表'!B22&lt;=1,C39*F22*'数据-取费表'!B20/2,C39*(POWER((1+F22),'数据-取费表'!B20/2)-1)),0)</f>
        <v>266862</v>
      </c>
      <c r="D43" s="280"/>
      <c r="E43" s="280"/>
      <c r="F43" s="281"/>
      <c r="G43" s="3272"/>
    </row>
    <row r="44" spans="1:7" ht="13.5" customHeight="1">
      <c r="A44" s="949" t="s">
        <v>793</v>
      </c>
      <c r="B44" s="257" t="s">
        <v>2405</v>
      </c>
      <c r="C44" s="280">
        <f ca="1">ROUND(IF('数据-取费表'!B22&lt;=1,C40*F22*'数据-取费表'!B20/2,C40*(POWER((1+F22),'数据-取费表'!B20/2)-1)),4)</f>
        <v>2.2000000000000001E-3</v>
      </c>
      <c r="D44" s="280"/>
      <c r="E44" s="280"/>
      <c r="F44" s="281"/>
      <c r="G44" s="3273"/>
    </row>
    <row r="45" spans="1:7" s="256" customFormat="1" ht="13.5" customHeight="1">
      <c r="A45" s="297" t="s">
        <v>2406</v>
      </c>
      <c r="B45" s="286" t="s">
        <v>2372</v>
      </c>
      <c r="C45" s="287">
        <f ca="1">C46</f>
        <v>37758486</v>
      </c>
      <c r="D45" s="277">
        <f ca="1">C47</f>
        <v>6.0000000000000001E-3</v>
      </c>
      <c r="E45" s="278" t="s">
        <v>2398</v>
      </c>
      <c r="F45" s="288"/>
      <c r="G45" s="289" t="s">
        <v>2407</v>
      </c>
    </row>
    <row r="46" spans="1:7" s="256" customFormat="1" ht="13.5" customHeight="1">
      <c r="A46" s="949" t="s">
        <v>791</v>
      </c>
      <c r="B46" s="290" t="s">
        <v>2408</v>
      </c>
      <c r="C46" s="291">
        <f ca="1">ROUND((C33+C39)*F27,0)</f>
        <v>37758486</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304">
        <f>ROUND(F30/(1+'数据-取费表'!C42),4)</f>
        <v>5.33E-2</v>
      </c>
      <c r="D48" s="278" t="s">
        <v>2398</v>
      </c>
      <c r="E48" s="274"/>
      <c r="F48" s="279"/>
      <c r="G48" s="276" t="s">
        <v>2411</v>
      </c>
    </row>
    <row r="49" spans="1:7" ht="16.5" customHeight="1">
      <c r="A49" s="297" t="s">
        <v>2377</v>
      </c>
      <c r="B49" s="252" t="s">
        <v>2451</v>
      </c>
      <c r="C49" s="274">
        <f ca="1">ROUND((C33+C39+C41+C45)/(1-C40-D41-D45-C48),0)</f>
        <v>264348785</v>
      </c>
      <c r="D49" s="274"/>
      <c r="E49" s="274"/>
      <c r="F49" s="306"/>
      <c r="G49" s="276" t="s">
        <v>2413</v>
      </c>
    </row>
    <row r="50" spans="1:7" s="300" customFormat="1">
      <c r="A50" s="297" t="s">
        <v>2414</v>
      </c>
      <c r="B50" s="252" t="s">
        <v>2415</v>
      </c>
      <c r="C50" s="274"/>
      <c r="D50" s="274"/>
      <c r="E50" s="274"/>
      <c r="F50" s="306">
        <f>IF('数据-取费表'!B24=0,'数据-取费表'!N16,1)</f>
        <v>0.99</v>
      </c>
      <c r="G50" s="289"/>
    </row>
    <row r="51" spans="1:7" ht="16.5" customHeight="1">
      <c r="A51" s="297" t="s">
        <v>2417</v>
      </c>
      <c r="B51" s="252" t="s">
        <v>2452</v>
      </c>
      <c r="C51" s="274">
        <f ca="1">ROUND(C49*F50,0)</f>
        <v>261705297</v>
      </c>
      <c r="D51" s="274"/>
      <c r="E51" s="274"/>
      <c r="F51" s="306"/>
      <c r="G51" s="276" t="s">
        <v>2419</v>
      </c>
    </row>
    <row r="52" spans="1:7" s="250" customFormat="1" ht="16.5" thickBot="1">
      <c r="A52" s="307" t="s">
        <v>2420</v>
      </c>
      <c r="B52" s="308"/>
      <c r="C52" s="309">
        <f ca="1">C31+C51</f>
        <v>277047436</v>
      </c>
      <c r="D52" s="308"/>
      <c r="E52" s="308"/>
      <c r="F52" s="308"/>
      <c r="G52" s="310"/>
    </row>
    <row r="55" spans="1:7" ht="15">
      <c r="B55" s="312" t="s">
        <v>2421</v>
      </c>
      <c r="C55" s="313"/>
    </row>
    <row r="56" spans="1:7">
      <c r="B56" s="315" t="s">
        <v>1513</v>
      </c>
      <c r="C56" s="317">
        <f ca="1">1-C57</f>
        <v>5.5000000000000049E-2</v>
      </c>
    </row>
    <row r="57" spans="1:7">
      <c r="B57" s="315" t="s">
        <v>1514</v>
      </c>
      <c r="C57" s="316">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2453</v>
      </c>
      <c r="B1" s="1579"/>
      <c r="C1" s="1580"/>
      <c r="D1" s="1578"/>
      <c r="E1" s="318"/>
      <c r="F1" s="318"/>
      <c r="G1" s="1579"/>
      <c r="H1" s="318"/>
      <c r="I1" s="318"/>
      <c r="J1" s="318"/>
      <c r="K1" s="318">
        <f>MATCH(C1,'数据-取费表'!A6:A16,0)+5</f>
        <v>9</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48" t="s">
        <v>2459</v>
      </c>
      <c r="D5" s="2548" t="s">
        <v>2460</v>
      </c>
      <c r="E5" s="2548" t="s">
        <v>2461</v>
      </c>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2465</v>
      </c>
      <c r="B8" s="175"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1334</v>
      </c>
      <c r="B11" s="970" t="s">
        <v>2474</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1335</v>
      </c>
      <c r="B12" s="970" t="s">
        <v>2475</v>
      </c>
      <c r="C12" s="24">
        <f ca="1">ROUND(C11*F12,0)</f>
        <v>0</v>
      </c>
      <c r="D12" s="971"/>
      <c r="E12" s="373"/>
      <c r="F12" s="974">
        <f>'数据-取费表'!B33</f>
        <v>0.03</v>
      </c>
      <c r="G12" s="8" t="s">
        <v>2476</v>
      </c>
      <c r="H12" s="966"/>
      <c r="I12" s="966"/>
      <c r="J12" s="966"/>
      <c r="K12" s="967"/>
    </row>
    <row r="13" spans="1:33" s="973" customFormat="1" ht="13.5" customHeight="1">
      <c r="A13" s="969" t="s">
        <v>1336</v>
      </c>
      <c r="B13" s="970" t="s">
        <v>2477</v>
      </c>
      <c r="C13" s="24">
        <f ca="1">ROUND(IF(C1="",SUMIF('数据-取费表'!C:C,"住宅",'数据-取费表'!P:P)*F13,IF(INDIRECT("'数据-取费表'!c"&amp;$K$1)="住宅",INDIRECT("'数据-取费表'!P"&amp;$K$1)*F13,0)),0)</f>
        <v>0</v>
      </c>
      <c r="D13" s="1031"/>
      <c r="E13" s="373"/>
      <c r="F13" s="974">
        <f>'数据-取费表'!B34</f>
        <v>0.05</v>
      </c>
      <c r="G13" s="8" t="s">
        <v>2478</v>
      </c>
      <c r="H13" s="966"/>
      <c r="I13" s="966"/>
      <c r="J13" s="966"/>
      <c r="K13" s="967"/>
    </row>
    <row r="14" spans="1:33" s="975" customFormat="1" ht="13.5" customHeight="1">
      <c r="A14" s="969" t="s">
        <v>1337</v>
      </c>
      <c r="B14" s="970" t="s">
        <v>2479</v>
      </c>
      <c r="C14" s="24">
        <f ca="1">ROUND(D14*E14*F11/10000,0)</f>
        <v>0</v>
      </c>
      <c r="D14" s="1031">
        <f ca="1">IF(C1="",'数据-汇总表'!E3,INDIRECT("'数据-取费表'!K"&amp;$K$1)+INDIRECT("'数据-取费表'!S"&amp;$K$1))</f>
        <v>50691.57</v>
      </c>
      <c r="E14" s="24">
        <f>'数据-取费表'!B35</f>
        <v>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2481</v>
      </c>
      <c r="C15" s="981">
        <f ca="1">ROUND(C11*F15,0)</f>
        <v>0</v>
      </c>
      <c r="D15" s="976"/>
      <c r="E15" s="981"/>
      <c r="F15" s="982">
        <f>'数据-取费表'!B36</f>
        <v>1.4999999999999999E-2</v>
      </c>
      <c r="G15" s="138"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50691.57</v>
      </c>
      <c r="E17" s="24">
        <f>'数据-取费表'!B32</f>
        <v>0</v>
      </c>
      <c r="F17" s="976"/>
      <c r="G17" s="138"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2486</v>
      </c>
      <c r="C18" s="24">
        <f ca="1">C19+C20-IF(C1="",'数据-取费表'!B29,IF(G18="已全部缴纳",C19+C20,H18))</f>
        <v>0</v>
      </c>
      <c r="D18" s="1031"/>
      <c r="E18" s="24"/>
      <c r="F18" s="974"/>
      <c r="G18" s="2550"/>
      <c r="H18" s="1575"/>
      <c r="I18" s="2551"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38591</v>
      </c>
      <c r="E19" s="24">
        <f>'数据-取费表'!B27</f>
        <v>0</v>
      </c>
      <c r="F19" s="974"/>
      <c r="G19" s="15"/>
      <c r="H19" s="1577"/>
      <c r="I19" s="979"/>
      <c r="J19" s="979"/>
      <c r="K19" s="980"/>
    </row>
    <row r="20" spans="1:33" s="973" customFormat="1" ht="13.5" customHeight="1">
      <c r="A20" s="969" t="s">
        <v>806</v>
      </c>
      <c r="B20" s="970" t="s">
        <v>2489</v>
      </c>
      <c r="C20" s="24">
        <f ca="1">ROUND(D20*E20/10000,0)</f>
        <v>0</v>
      </c>
      <c r="D20" s="1031">
        <f ca="1">IF(C1="",'数据-汇总表'!E6,IF(INDIRECT("'数据-取费表'!c"&amp;$K$1)="住宅",INDIRECT("'数据-取费表'!s"&amp;$K$1),INDIRECT("'数据-取费表'!k"&amp;$K$1)+INDIRECT("'数据-取费表'!s"&amp;$K$1)))</f>
        <v>12100.57</v>
      </c>
      <c r="E20" s="24">
        <f>'数据-取费表'!B28</f>
        <v>0</v>
      </c>
      <c r="F20" s="974"/>
      <c r="G20" s="15"/>
      <c r="H20" s="979"/>
      <c r="I20" s="979"/>
      <c r="J20" s="979"/>
      <c r="K20" s="980"/>
    </row>
    <row r="21" spans="1:33" s="973" customFormat="1" ht="13.5" customHeight="1">
      <c r="A21" s="959" t="s">
        <v>802</v>
      </c>
      <c r="B21" s="983" t="s">
        <v>2490</v>
      </c>
      <c r="C21" s="984">
        <f ca="1">C16+C17+C18</f>
        <v>0</v>
      </c>
      <c r="D21" s="985"/>
      <c r="E21" s="323"/>
      <c r="F21" s="323"/>
      <c r="G21" s="138" t="s">
        <v>2491</v>
      </c>
      <c r="H21" s="977"/>
      <c r="I21" s="977"/>
      <c r="J21" s="977"/>
      <c r="K21" s="978"/>
    </row>
    <row r="22" spans="1:33" s="973" customFormat="1" ht="13.5" customHeight="1">
      <c r="A22" s="959" t="s">
        <v>2463</v>
      </c>
      <c r="B22" s="983" t="s">
        <v>2492</v>
      </c>
      <c r="C22" s="984">
        <f ca="1">ROUND(C21*F22,0)</f>
        <v>0</v>
      </c>
      <c r="D22" s="323"/>
      <c r="E22" s="323"/>
      <c r="F22" s="986">
        <f>'数据-取费表'!B37</f>
        <v>0.02</v>
      </c>
      <c r="G22" s="8" t="s">
        <v>2493</v>
      </c>
      <c r="H22" s="966"/>
      <c r="I22" s="966"/>
      <c r="J22" s="966"/>
      <c r="K22" s="967"/>
    </row>
    <row r="23" spans="1:33" s="973" customFormat="1" ht="13.5" customHeight="1">
      <c r="A23" s="959" t="s">
        <v>2465</v>
      </c>
      <c r="B23" s="983" t="s">
        <v>2494</v>
      </c>
      <c r="C23" s="984">
        <f ca="1">ROUND(C4*F23*F11,0)</f>
        <v>0</v>
      </c>
      <c r="D23" s="323"/>
      <c r="E23" s="323"/>
      <c r="F23" s="986">
        <f>'数据-取费表'!B38</f>
        <v>0.03</v>
      </c>
      <c r="G23" s="8" t="s">
        <v>2495</v>
      </c>
      <c r="H23" s="966"/>
      <c r="I23" s="966"/>
      <c r="J23" s="966"/>
      <c r="K23" s="967"/>
    </row>
    <row r="24" spans="1:33" s="973" customFormat="1" ht="13.5" customHeight="1">
      <c r="A24" s="959" t="s">
        <v>2496</v>
      </c>
      <c r="B24" s="983" t="s">
        <v>2497</v>
      </c>
      <c r="C24" s="322">
        <f>ROUND(F24/(1+'数据-取费表'!C42),4)</f>
        <v>0</v>
      </c>
      <c r="D24" s="323" t="s">
        <v>15</v>
      </c>
      <c r="E24" s="323"/>
      <c r="F24" s="986">
        <f>'数据-取费表'!B48+'数据-取费表'!B49</f>
        <v>0</v>
      </c>
      <c r="G24" s="8" t="s">
        <v>2498</v>
      </c>
      <c r="H24" s="988"/>
      <c r="I24" s="988"/>
      <c r="J24" s="988"/>
      <c r="K24" s="989"/>
    </row>
    <row r="25" spans="1:33" s="973" customFormat="1" ht="13.5" customHeight="1">
      <c r="A25" s="959" t="s">
        <v>2499</v>
      </c>
      <c r="B25" s="985" t="s">
        <v>2500</v>
      </c>
      <c r="C25" s="1354">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7"/>
      <c r="I27" s="977"/>
      <c r="J27" s="977"/>
      <c r="K27" s="978"/>
    </row>
    <row r="28" spans="1:33" s="331" customFormat="1" ht="13.5" customHeight="1">
      <c r="A28" s="959" t="s">
        <v>2503</v>
      </c>
      <c r="B28" s="2553" t="s">
        <v>2504</v>
      </c>
      <c r="C28" s="329">
        <f ca="1">C30</f>
        <v>0</v>
      </c>
      <c r="D28" s="322">
        <f ca="1">C29</f>
        <v>0</v>
      </c>
      <c r="E28" s="324" t="s">
        <v>15</v>
      </c>
      <c r="F28" s="330">
        <f ca="1">IF(C1="",'数据-取费表'!Q16,INDIRECT("'数据-取费表'!q"&amp;$K$1))</f>
        <v>0.2</v>
      </c>
      <c r="G28" s="987"/>
      <c r="H28" s="988"/>
      <c r="I28" s="988"/>
      <c r="J28" s="988"/>
      <c r="K28" s="989"/>
    </row>
    <row r="29" spans="1:33" s="333" customFormat="1" ht="13.5" customHeight="1">
      <c r="A29" s="969" t="s">
        <v>803</v>
      </c>
      <c r="B29" s="992" t="s">
        <v>2505</v>
      </c>
      <c r="C29" s="326">
        <f ca="1">ROUND((1+C24)*F28*'数据-取费表'!B24/'数据-取费表'!B20,4)</f>
        <v>0</v>
      </c>
      <c r="D29" s="326"/>
      <c r="E29" s="327"/>
      <c r="F29" s="332"/>
      <c r="G29" s="138" t="s">
        <v>2506</v>
      </c>
      <c r="H29" s="977"/>
      <c r="I29" s="977"/>
      <c r="J29" s="977"/>
      <c r="K29" s="978"/>
    </row>
    <row r="30" spans="1:33" s="333" customFormat="1" ht="13.5" customHeight="1">
      <c r="A30" s="969" t="s">
        <v>804</v>
      </c>
      <c r="B30" s="992" t="s">
        <v>2507</v>
      </c>
      <c r="C30" s="334">
        <f ca="1">ROUND((C21+C22+C23)*F28,0)</f>
        <v>0</v>
      </c>
      <c r="D30" s="326"/>
      <c r="E30" s="327"/>
      <c r="F30" s="332"/>
      <c r="G30" s="138"/>
      <c r="H30" s="977"/>
      <c r="I30" s="977"/>
      <c r="J30" s="977"/>
      <c r="K30" s="978"/>
    </row>
    <row r="31" spans="1:33" s="973" customFormat="1" ht="13.5" customHeight="1" thickBot="1">
      <c r="A31" s="2554"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G118" sqref="G118"/>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138336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27290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275" t="s">
        <v>2642</v>
      </c>
      <c r="AC4" s="3274" t="s">
        <v>2643</v>
      </c>
    </row>
    <row r="5" spans="1:30" ht="15">
      <c r="A5" s="402"/>
      <c r="B5" s="403"/>
      <c r="C5" s="3285" t="s">
        <v>2536</v>
      </c>
      <c r="D5" s="3286"/>
      <c r="E5" s="3283" t="s">
        <v>3073</v>
      </c>
      <c r="F5" s="3284"/>
      <c r="G5" s="3289" t="s">
        <v>3075</v>
      </c>
      <c r="H5" s="3286"/>
      <c r="I5" s="3289" t="s">
        <v>3077</v>
      </c>
      <c r="J5" s="3286"/>
      <c r="K5" s="608"/>
      <c r="L5" s="1128"/>
      <c r="M5" s="1129"/>
      <c r="N5" s="1129"/>
      <c r="O5" s="1129"/>
      <c r="P5" s="3300"/>
      <c r="Q5" s="3301"/>
      <c r="R5" s="3281"/>
      <c r="S5" s="3282"/>
      <c r="T5" s="3281"/>
      <c r="U5" s="3282"/>
      <c r="V5" s="3306"/>
      <c r="W5" s="3306"/>
      <c r="X5" s="1811"/>
      <c r="Y5" s="3281"/>
      <c r="Z5" s="3282"/>
      <c r="AA5" s="3275"/>
      <c r="AB5" s="3275"/>
      <c r="AC5" s="3275"/>
    </row>
    <row r="6" spans="1:30" ht="15.75" thickBot="1">
      <c r="A6" s="404"/>
      <c r="B6" s="405"/>
      <c r="C6" s="3287" t="s">
        <v>2540</v>
      </c>
      <c r="D6" s="3288"/>
      <c r="E6" s="3290" t="s">
        <v>3072</v>
      </c>
      <c r="F6" s="3291"/>
      <c r="G6" s="3292" t="s">
        <v>3074</v>
      </c>
      <c r="H6" s="3288"/>
      <c r="I6" s="3292" t="s">
        <v>3076</v>
      </c>
      <c r="J6" s="3288"/>
      <c r="K6" s="608" t="s">
        <v>2541</v>
      </c>
      <c r="L6" s="1128"/>
      <c r="M6" s="1129"/>
      <c r="N6" s="1129"/>
      <c r="O6" s="1129"/>
      <c r="P6" s="3302"/>
      <c r="Q6" s="3303"/>
      <c r="R6" s="3281"/>
      <c r="S6" s="3282"/>
      <c r="T6" s="3304"/>
      <c r="U6" s="3305"/>
      <c r="V6" s="3306"/>
      <c r="W6" s="3306"/>
      <c r="X6" s="1811"/>
      <c r="Y6" s="3304"/>
      <c r="Z6" s="3305"/>
      <c r="AA6" s="3276"/>
      <c r="AB6" s="3276"/>
      <c r="AC6" s="3276"/>
    </row>
    <row r="7" spans="1:30" s="115" customFormat="1" ht="15.75" thickBot="1">
      <c r="A7" s="406" t="s">
        <v>2542</v>
      </c>
      <c r="B7" s="407"/>
      <c r="C7" s="408">
        <f>'数据-取费表'!B2</f>
        <v>43202</v>
      </c>
      <c r="D7" s="409">
        <v>100</v>
      </c>
      <c r="E7" s="410">
        <v>42711</v>
      </c>
      <c r="F7" s="411">
        <f>SUMIF(70:70,YEAR(E7)&amp;"-"&amp;INT((MONTH(E7)+2)/3),71:71)</f>
        <v>94</v>
      </c>
      <c r="G7" s="2690">
        <v>42709</v>
      </c>
      <c r="H7" s="409">
        <f>SUMIF(70:70,YEAR(G7)&amp;"-"&amp;INT((MONTH(G7)+2)/3),71:71)</f>
        <v>94</v>
      </c>
      <c r="I7" s="2690">
        <v>42709</v>
      </c>
      <c r="J7" s="409">
        <f>SUMIF(70:70,YEAR(I7)&amp;"-"&amp;INT((MONTH(I7)+2)/3),71:71)</f>
        <v>94</v>
      </c>
      <c r="K7" s="609"/>
      <c r="L7" s="1130"/>
      <c r="M7" s="1131"/>
      <c r="N7" s="1131"/>
      <c r="O7" s="1131"/>
      <c r="P7" s="3277" t="s">
        <v>2543</v>
      </c>
      <c r="Q7" s="3307"/>
      <c r="R7" s="768" t="s">
        <v>17</v>
      </c>
      <c r="S7" s="769">
        <f t="shared" ref="S7:S15" si="0">F7</f>
        <v>94</v>
      </c>
      <c r="T7" s="768" t="s">
        <v>17</v>
      </c>
      <c r="U7" s="769">
        <f t="shared" ref="U7:U15" si="1">H7</f>
        <v>94</v>
      </c>
      <c r="V7" s="768" t="s">
        <v>17</v>
      </c>
      <c r="W7" s="769">
        <f t="shared" ref="W7:W15" si="2">J7</f>
        <v>94</v>
      </c>
      <c r="X7" s="770"/>
      <c r="Y7" s="3277" t="s">
        <v>2543</v>
      </c>
      <c r="Z7" s="3278"/>
      <c r="AA7" s="771">
        <f>D7/F7</f>
        <v>1.0638297872340425</v>
      </c>
      <c r="AB7" s="771">
        <f>D7/H7</f>
        <v>1.0638297872340425</v>
      </c>
      <c r="AC7" s="771">
        <f>D7/J7</f>
        <v>1.0638297872340425</v>
      </c>
    </row>
    <row r="8" spans="1:30" s="115" customFormat="1" ht="15.75" thickBot="1">
      <c r="A8" s="406" t="s">
        <v>2544</v>
      </c>
      <c r="B8" s="407"/>
      <c r="C8" s="412" t="s">
        <v>2545</v>
      </c>
      <c r="D8" s="409">
        <v>100</v>
      </c>
      <c r="E8" s="412" t="s">
        <v>3085</v>
      </c>
      <c r="F8" s="411">
        <f>SUMIF(73:73,E8,74:74)-SUMIF(73:73,C8,74:74)+100</f>
        <v>100</v>
      </c>
      <c r="G8" s="412" t="s">
        <v>3085</v>
      </c>
      <c r="H8" s="409">
        <f>SUMIF(73:73,G8,74:74)-SUMIF(73:73,C8,74:74)+100</f>
        <v>100</v>
      </c>
      <c r="I8" s="412" t="s">
        <v>3085</v>
      </c>
      <c r="J8" s="409">
        <f>SUMIF(73:73,I8,74:74)-SUMIF(73:73,C8,74:74)+100</f>
        <v>100</v>
      </c>
      <c r="K8" s="609"/>
      <c r="L8" s="1130"/>
      <c r="M8" s="1131"/>
      <c r="N8" s="1131"/>
      <c r="O8" s="1131"/>
      <c r="P8" s="3277" t="s">
        <v>2546</v>
      </c>
      <c r="Q8" s="3278"/>
      <c r="R8" s="768" t="s">
        <v>17</v>
      </c>
      <c r="S8" s="769">
        <f t="shared" si="0"/>
        <v>100</v>
      </c>
      <c r="T8" s="768" t="s">
        <v>17</v>
      </c>
      <c r="U8" s="769">
        <f t="shared" si="1"/>
        <v>100</v>
      </c>
      <c r="V8" s="768" t="s">
        <v>17</v>
      </c>
      <c r="W8" s="769">
        <f t="shared" si="2"/>
        <v>100</v>
      </c>
      <c r="X8" s="770"/>
      <c r="Y8" s="3277" t="s">
        <v>2546</v>
      </c>
      <c r="Z8" s="3278"/>
      <c r="AA8" s="771">
        <f t="shared" ref="AA8:AA45" si="3">D8/F8</f>
        <v>1</v>
      </c>
      <c r="AB8" s="771">
        <f t="shared" ref="AB8:AB45" si="4">D8/H8</f>
        <v>1</v>
      </c>
      <c r="AC8" s="771">
        <f t="shared" ref="AC8:AC45" si="5">D8/J8</f>
        <v>1</v>
      </c>
    </row>
    <row r="9" spans="1:30" s="115" customFormat="1">
      <c r="A9" s="413" t="s">
        <v>2547</v>
      </c>
      <c r="B9" s="71" t="s">
        <v>2548</v>
      </c>
      <c r="C9" s="2693" t="s">
        <v>3226</v>
      </c>
      <c r="D9" s="133">
        <v>100</v>
      </c>
      <c r="E9" s="2693" t="s">
        <v>3226</v>
      </c>
      <c r="F9" s="133">
        <f>SUMIF(75:75,E9,76:76)-SUMIF(75:75,C9,76:76)+100</f>
        <v>100</v>
      </c>
      <c r="G9" s="2693" t="s">
        <v>3226</v>
      </c>
      <c r="H9" s="133">
        <f>SUMIF(75:75,G9,76:76)-SUMIF(75:75,C9,76:76)+100</f>
        <v>100</v>
      </c>
      <c r="I9" s="2693" t="s">
        <v>3226</v>
      </c>
      <c r="J9" s="133">
        <f>SUMIF(75:75,I9,76:76)-SUMIF(75:75,C9,76:76)+100</f>
        <v>100</v>
      </c>
      <c r="K9" s="609"/>
      <c r="L9" s="1130"/>
      <c r="M9" s="1131"/>
      <c r="N9" s="1131"/>
      <c r="O9" s="1132"/>
      <c r="P9" s="3293"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30" s="425" customFormat="1" ht="28.5">
      <c r="A10" s="419"/>
      <c r="B10" s="420" t="s">
        <v>2551</v>
      </c>
      <c r="C10" s="430" t="s">
        <v>3230</v>
      </c>
      <c r="D10" s="134">
        <v>100</v>
      </c>
      <c r="E10" s="463" t="s">
        <v>3228</v>
      </c>
      <c r="F10" s="134">
        <f>ROUND(100/'数据-取费表'!G16,0)</f>
        <v>106</v>
      </c>
      <c r="G10" s="461" t="s">
        <v>3229</v>
      </c>
      <c r="H10" s="134">
        <f>ROUND(100/'数据-取费表'!G16,0)</f>
        <v>106</v>
      </c>
      <c r="I10" s="461" t="s">
        <v>3229</v>
      </c>
      <c r="J10" s="134">
        <f>ROUND(100/'数据-取费表'!G16,0)</f>
        <v>106</v>
      </c>
      <c r="K10" s="670"/>
      <c r="L10" s="1133"/>
      <c r="M10" s="1134"/>
      <c r="N10" s="1134"/>
      <c r="O10" s="1135"/>
      <c r="P10" s="3293"/>
      <c r="Q10" s="1793" t="str">
        <f t="shared" si="6"/>
        <v>土地使用年限（年）</v>
      </c>
      <c r="R10" s="768" t="s">
        <v>17</v>
      </c>
      <c r="S10" s="769">
        <f t="shared" si="0"/>
        <v>106</v>
      </c>
      <c r="T10" s="768" t="s">
        <v>17</v>
      </c>
      <c r="U10" s="769">
        <f t="shared" si="1"/>
        <v>106</v>
      </c>
      <c r="V10" s="768" t="s">
        <v>17</v>
      </c>
      <c r="W10" s="769">
        <f t="shared" si="2"/>
        <v>106</v>
      </c>
      <c r="X10" s="770"/>
      <c r="Y10" s="3151"/>
      <c r="Z10" s="55" t="str">
        <f t="shared" si="7"/>
        <v>土地使用年限（年）</v>
      </c>
      <c r="AA10" s="771">
        <f t="shared" si="3"/>
        <v>0.94339622641509435</v>
      </c>
      <c r="AB10" s="771">
        <f t="shared" si="4"/>
        <v>0.94339622641509435</v>
      </c>
      <c r="AC10" s="771">
        <f t="shared" si="5"/>
        <v>0.94339622641509435</v>
      </c>
    </row>
    <row r="11" spans="1:30" ht="16.5" thickBot="1">
      <c r="A11" s="426"/>
      <c r="B11" s="420" t="s">
        <v>2552</v>
      </c>
      <c r="C11" s="427">
        <f>'数据-汇总表'!I6</f>
        <v>7.13</v>
      </c>
      <c r="D11" s="134">
        <v>100</v>
      </c>
      <c r="E11" s="427">
        <v>6.54</v>
      </c>
      <c r="F11" s="3073">
        <f>LOOKUP(E11,80:80,81:81)-LOOKUP(C11,80:80,81:81)+100</f>
        <v>105</v>
      </c>
      <c r="G11" s="428">
        <v>4.91</v>
      </c>
      <c r="H11" s="3073">
        <f>LOOKUP(G11,80:80,81:81)-LOOKUP(C11,80:80,81:81)+100</f>
        <v>115</v>
      </c>
      <c r="I11" s="3074">
        <v>9.9700000000000006</v>
      </c>
      <c r="J11" s="3073">
        <f>LOOKUP(I11,80:80,81:81)-LOOKUP(C11,80:80,81:81)+100</f>
        <v>90</v>
      </c>
      <c r="K11" s="3075">
        <v>5</v>
      </c>
      <c r="L11" s="1136"/>
      <c r="M11" s="1129"/>
      <c r="N11" s="1129"/>
      <c r="O11" s="1137"/>
      <c r="P11" s="3293"/>
      <c r="Q11" s="1793" t="str">
        <f t="shared" si="6"/>
        <v>容积率</v>
      </c>
      <c r="R11" s="768" t="s">
        <v>17</v>
      </c>
      <c r="S11" s="769">
        <f t="shared" si="0"/>
        <v>105</v>
      </c>
      <c r="T11" s="768" t="s">
        <v>17</v>
      </c>
      <c r="U11" s="769">
        <f t="shared" si="1"/>
        <v>115</v>
      </c>
      <c r="V11" s="768" t="s">
        <v>17</v>
      </c>
      <c r="W11" s="769">
        <f t="shared" si="2"/>
        <v>90</v>
      </c>
      <c r="X11" s="770"/>
      <c r="Y11" s="3151"/>
      <c r="Z11" s="55" t="str">
        <f t="shared" si="7"/>
        <v>容积率</v>
      </c>
      <c r="AA11" s="771">
        <f t="shared" si="3"/>
        <v>0.95238095238095233</v>
      </c>
      <c r="AB11" s="771">
        <f t="shared" si="4"/>
        <v>0.86956521739130432</v>
      </c>
      <c r="AC11" s="771">
        <f t="shared" si="5"/>
        <v>1.1111111111111112</v>
      </c>
    </row>
    <row r="12" spans="1:30" s="115" customFormat="1" ht="15" hidden="1">
      <c r="A12" s="429"/>
      <c r="B12" s="2594"/>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93"/>
      <c r="Q12" s="1793">
        <f t="shared" si="6"/>
        <v>0</v>
      </c>
      <c r="R12" s="768" t="s">
        <v>17</v>
      </c>
      <c r="S12" s="769">
        <f t="shared" si="0"/>
        <v>100</v>
      </c>
      <c r="T12" s="768" t="s">
        <v>17</v>
      </c>
      <c r="U12" s="769">
        <f t="shared" si="1"/>
        <v>100</v>
      </c>
      <c r="V12" s="768" t="s">
        <v>17</v>
      </c>
      <c r="W12" s="769">
        <f t="shared" si="2"/>
        <v>100</v>
      </c>
      <c r="X12" s="770"/>
      <c r="Y12" s="3151"/>
      <c r="Z12" s="55">
        <f t="shared" si="7"/>
        <v>0</v>
      </c>
      <c r="AA12" s="771">
        <f>D12/F12</f>
        <v>1</v>
      </c>
      <c r="AB12" s="771">
        <f>D12/H12</f>
        <v>1</v>
      </c>
      <c r="AC12" s="771">
        <f>D12/J12</f>
        <v>1</v>
      </c>
    </row>
    <row r="13" spans="1:30" ht="15" hidden="1">
      <c r="A13" s="426"/>
      <c r="B13" s="2594"/>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93"/>
      <c r="Q13" s="1793">
        <f t="shared" si="6"/>
        <v>0</v>
      </c>
      <c r="R13" s="768" t="s">
        <v>17</v>
      </c>
      <c r="S13" s="769">
        <f t="shared" si="0"/>
        <v>100</v>
      </c>
      <c r="T13" s="768" t="s">
        <v>17</v>
      </c>
      <c r="U13" s="769">
        <f t="shared" si="1"/>
        <v>100</v>
      </c>
      <c r="V13" s="768" t="s">
        <v>17</v>
      </c>
      <c r="W13" s="769">
        <f t="shared" si="2"/>
        <v>100</v>
      </c>
      <c r="X13" s="770"/>
      <c r="Y13" s="3151"/>
      <c r="Z13" s="55">
        <f t="shared" si="7"/>
        <v>0</v>
      </c>
      <c r="AA13" s="771">
        <f>D13/F13</f>
        <v>1</v>
      </c>
      <c r="AB13" s="771">
        <f>D13/H13</f>
        <v>1</v>
      </c>
      <c r="AC13" s="771">
        <f>D13/J13</f>
        <v>1</v>
      </c>
    </row>
    <row r="14" spans="1:30" ht="15.75" hidden="1" thickBot="1">
      <c r="A14" s="434"/>
      <c r="B14" s="2596"/>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93"/>
      <c r="Q14" s="1793">
        <f t="shared" si="6"/>
        <v>0</v>
      </c>
      <c r="R14" s="768" t="s">
        <v>17</v>
      </c>
      <c r="S14" s="769">
        <f t="shared" si="0"/>
        <v>100</v>
      </c>
      <c r="T14" s="768" t="s">
        <v>17</v>
      </c>
      <c r="U14" s="769">
        <f t="shared" si="1"/>
        <v>100</v>
      </c>
      <c r="V14" s="768" t="s">
        <v>17</v>
      </c>
      <c r="W14" s="769">
        <f t="shared" si="2"/>
        <v>100</v>
      </c>
      <c r="X14" s="770"/>
      <c r="Y14" s="3151"/>
      <c r="Z14" s="55">
        <f t="shared" si="7"/>
        <v>0</v>
      </c>
      <c r="AA14" s="771">
        <f>D14/F14</f>
        <v>1</v>
      </c>
      <c r="AB14" s="771">
        <f>D14/H14</f>
        <v>1</v>
      </c>
      <c r="AC14" s="771">
        <f>D14/J14</f>
        <v>1</v>
      </c>
    </row>
    <row r="15" spans="1:30" ht="15">
      <c r="A15" s="438" t="s">
        <v>2553</v>
      </c>
      <c r="B15" s="69" t="s">
        <v>2087</v>
      </c>
      <c r="C15" s="2597">
        <f>估价对象房地状况!C15</f>
        <v>0</v>
      </c>
      <c r="D15" s="439">
        <v>100</v>
      </c>
      <c r="E15" s="440"/>
      <c r="F15" s="439">
        <f>SUMIF(88:88,E16,89:89)-SUMIF(88:88,C16,89:89)+100</f>
        <v>100</v>
      </c>
      <c r="G15" s="440"/>
      <c r="H15" s="439">
        <f>SUMIF(88:88,G16,89:89)-SUMIF(88:88,C16,89:89)+100</f>
        <v>100</v>
      </c>
      <c r="I15" s="442"/>
      <c r="J15" s="439">
        <f>SUMIF(88:88,I16,89:89)-SUMIF(88:88,C16,89:89)+100</f>
        <v>100</v>
      </c>
      <c r="K15" s="671">
        <v>3</v>
      </c>
      <c r="L15" s="1138"/>
      <c r="M15" s="1129"/>
      <c r="N15" s="1129"/>
      <c r="O15" s="1137"/>
      <c r="P15" s="3308" t="s">
        <v>2554</v>
      </c>
      <c r="Q15" s="1808" t="str">
        <f t="shared" si="6"/>
        <v>居住社区成熟度</v>
      </c>
      <c r="R15" s="772" t="s">
        <v>17</v>
      </c>
      <c r="S15" s="773">
        <f t="shared" si="0"/>
        <v>100</v>
      </c>
      <c r="T15" s="772" t="s">
        <v>17</v>
      </c>
      <c r="U15" s="773">
        <f t="shared" si="1"/>
        <v>100</v>
      </c>
      <c r="V15" s="772" t="s">
        <v>17</v>
      </c>
      <c r="W15" s="773">
        <f t="shared" si="2"/>
        <v>100</v>
      </c>
      <c r="X15" s="1811"/>
      <c r="Y15" s="3308" t="s">
        <v>2554</v>
      </c>
      <c r="Z15" s="1812" t="str">
        <f t="shared" si="7"/>
        <v>居住社区成熟度</v>
      </c>
      <c r="AA15" s="1809">
        <f t="shared" si="3"/>
        <v>1</v>
      </c>
      <c r="AB15" s="1809">
        <f t="shared" si="4"/>
        <v>1</v>
      </c>
      <c r="AC15" s="1809">
        <f t="shared" si="5"/>
        <v>1</v>
      </c>
    </row>
    <row r="16" spans="1:30" ht="15">
      <c r="A16" s="426"/>
      <c r="B16" s="444"/>
      <c r="C16" s="445" t="s">
        <v>3078</v>
      </c>
      <c r="D16" s="446"/>
      <c r="E16" s="445" t="s">
        <v>3078</v>
      </c>
      <c r="F16" s="446"/>
      <c r="G16" s="445" t="s">
        <v>3078</v>
      </c>
      <c r="H16" s="448"/>
      <c r="I16" s="445" t="s">
        <v>3078</v>
      </c>
      <c r="J16" s="446"/>
      <c r="K16" s="670"/>
      <c r="L16" s="1138"/>
      <c r="M16" s="1129"/>
      <c r="N16" s="1129"/>
      <c r="O16" s="1137"/>
      <c r="P16" s="3309"/>
      <c r="Q16" s="1808"/>
      <c r="R16" s="772"/>
      <c r="S16" s="773"/>
      <c r="T16" s="772"/>
      <c r="U16" s="773"/>
      <c r="V16" s="772"/>
      <c r="W16" s="773"/>
      <c r="X16" s="1811"/>
      <c r="Y16" s="3309"/>
      <c r="Z16" s="1812"/>
      <c r="AA16" s="1809">
        <v>1</v>
      </c>
      <c r="AB16" s="1809">
        <v>1</v>
      </c>
      <c r="AC16" s="1809">
        <v>1</v>
      </c>
    </row>
    <row r="17" spans="1:29" ht="15">
      <c r="A17" s="426"/>
      <c r="B17" s="449" t="s">
        <v>2647</v>
      </c>
      <c r="C17" s="2658">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3</v>
      </c>
      <c r="L17" s="1138"/>
      <c r="M17" s="1129"/>
      <c r="N17" s="1129"/>
      <c r="O17" s="1137"/>
      <c r="P17" s="3309"/>
      <c r="Q17" s="1808" t="str">
        <f>B17</f>
        <v>商业繁华度</v>
      </c>
      <c r="R17" s="772" t="s">
        <v>17</v>
      </c>
      <c r="S17" s="773">
        <f>F17</f>
        <v>100</v>
      </c>
      <c r="T17" s="772" t="s">
        <v>17</v>
      </c>
      <c r="U17" s="773">
        <f>H17</f>
        <v>100</v>
      </c>
      <c r="V17" s="772" t="s">
        <v>17</v>
      </c>
      <c r="W17" s="773">
        <f>J17</f>
        <v>100</v>
      </c>
      <c r="X17" s="1811"/>
      <c r="Y17" s="3309"/>
      <c r="Z17" s="1812" t="str">
        <f>Q17</f>
        <v>商业繁华度</v>
      </c>
      <c r="AA17" s="1809">
        <f t="shared" si="3"/>
        <v>1</v>
      </c>
      <c r="AB17" s="1809">
        <f t="shared" si="4"/>
        <v>1</v>
      </c>
      <c r="AC17" s="1809">
        <f t="shared" si="5"/>
        <v>1</v>
      </c>
    </row>
    <row r="18" spans="1:29" ht="15">
      <c r="A18" s="426"/>
      <c r="B18" s="454"/>
      <c r="C18" s="445" t="s">
        <v>3078</v>
      </c>
      <c r="D18" s="448"/>
      <c r="E18" s="445" t="s">
        <v>3078</v>
      </c>
      <c r="F18" s="448"/>
      <c r="G18" s="445" t="s">
        <v>3078</v>
      </c>
      <c r="H18" s="446"/>
      <c r="I18" s="445" t="s">
        <v>3078</v>
      </c>
      <c r="J18" s="446"/>
      <c r="K18" s="670"/>
      <c r="L18" s="1138"/>
      <c r="M18" s="1129"/>
      <c r="N18" s="1129"/>
      <c r="O18" s="1137"/>
      <c r="P18" s="3309"/>
      <c r="Q18" s="1808"/>
      <c r="R18" s="772"/>
      <c r="S18" s="773"/>
      <c r="T18" s="772"/>
      <c r="U18" s="773"/>
      <c r="V18" s="772"/>
      <c r="W18" s="773"/>
      <c r="X18" s="1811"/>
      <c r="Y18" s="3309"/>
      <c r="Z18" s="1812"/>
      <c r="AA18" s="1809">
        <v>1</v>
      </c>
      <c r="AB18" s="1809">
        <v>1</v>
      </c>
      <c r="AC18" s="1809">
        <v>1</v>
      </c>
    </row>
    <row r="19" spans="1:29" ht="15">
      <c r="A19" s="426"/>
      <c r="B19" s="449" t="s">
        <v>2681</v>
      </c>
      <c r="C19" s="265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3</v>
      </c>
      <c r="L19" s="1138"/>
      <c r="M19" s="1129"/>
      <c r="N19" s="1129"/>
      <c r="O19" s="1137"/>
      <c r="P19" s="3309"/>
      <c r="Q19" s="1808" t="str">
        <f>B19</f>
        <v>办公集聚程度</v>
      </c>
      <c r="R19" s="772" t="s">
        <v>17</v>
      </c>
      <c r="S19" s="773">
        <f>F19</f>
        <v>100</v>
      </c>
      <c r="T19" s="772" t="s">
        <v>17</v>
      </c>
      <c r="U19" s="773">
        <f>H19</f>
        <v>100</v>
      </c>
      <c r="V19" s="772" t="s">
        <v>17</v>
      </c>
      <c r="W19" s="773">
        <f>J19</f>
        <v>100</v>
      </c>
      <c r="X19" s="1811"/>
      <c r="Y19" s="3309"/>
      <c r="Z19" s="1812" t="str">
        <f>Q19</f>
        <v>办公集聚程度</v>
      </c>
      <c r="AA19" s="1809">
        <f t="shared" si="3"/>
        <v>1</v>
      </c>
      <c r="AB19" s="1809">
        <f t="shared" si="4"/>
        <v>1</v>
      </c>
      <c r="AC19" s="1809">
        <f t="shared" si="5"/>
        <v>1</v>
      </c>
    </row>
    <row r="20" spans="1:29" ht="15">
      <c r="A20" s="426"/>
      <c r="B20" s="454"/>
      <c r="C20" s="445" t="s">
        <v>3078</v>
      </c>
      <c r="D20" s="446"/>
      <c r="E20" s="445" t="s">
        <v>3078</v>
      </c>
      <c r="F20" s="446"/>
      <c r="G20" s="445" t="s">
        <v>3078</v>
      </c>
      <c r="H20" s="446"/>
      <c r="I20" s="445" t="s">
        <v>3078</v>
      </c>
      <c r="J20" s="446"/>
      <c r="K20" s="670"/>
      <c r="L20" s="1138"/>
      <c r="M20" s="1129"/>
      <c r="N20" s="1129"/>
      <c r="O20" s="1137"/>
      <c r="P20" s="3309"/>
      <c r="Q20" s="1808"/>
      <c r="R20" s="772"/>
      <c r="S20" s="773"/>
      <c r="T20" s="772"/>
      <c r="U20" s="773"/>
      <c r="V20" s="772"/>
      <c r="W20" s="773"/>
      <c r="X20" s="1811"/>
      <c r="Y20" s="3309"/>
      <c r="Z20" s="1812"/>
      <c r="AA20" s="1809">
        <v>1</v>
      </c>
      <c r="AB20" s="1809">
        <v>1</v>
      </c>
      <c r="AC20" s="1809">
        <v>1</v>
      </c>
    </row>
    <row r="21" spans="1:29" ht="15">
      <c r="A21" s="426"/>
      <c r="B21" s="449" t="s">
        <v>2703</v>
      </c>
      <c r="C21" s="2601">
        <f>估价对象房地状况!C18</f>
        <v>0</v>
      </c>
      <c r="D21" s="448">
        <v>100</v>
      </c>
      <c r="E21" s="450"/>
      <c r="F21" s="453">
        <f>SUMIF(94:94,E22,95:95)-SUMIF(94:94,C22,95:95)+100</f>
        <v>100</v>
      </c>
      <c r="G21" s="450"/>
      <c r="H21" s="448">
        <f>SUMIF(94:94,G22,95:95)-SUMIF(94:94,C22,95:95)+100</f>
        <v>100</v>
      </c>
      <c r="I21" s="452"/>
      <c r="J21" s="448">
        <f>SUMIF(94:94,I22,95:95)-SUMIF(94:94,C22,95:95)+100</f>
        <v>100</v>
      </c>
      <c r="K21" s="671">
        <v>3</v>
      </c>
      <c r="L21" s="1138"/>
      <c r="M21" s="1129"/>
      <c r="N21" s="1129"/>
      <c r="O21" s="1137"/>
      <c r="P21" s="3309"/>
      <c r="Q21" s="1808" t="str">
        <f>B21</f>
        <v>交通便捷度</v>
      </c>
      <c r="R21" s="772" t="s">
        <v>17</v>
      </c>
      <c r="S21" s="773">
        <f>F21</f>
        <v>100</v>
      </c>
      <c r="T21" s="772" t="s">
        <v>17</v>
      </c>
      <c r="U21" s="773">
        <f>H21</f>
        <v>100</v>
      </c>
      <c r="V21" s="772" t="s">
        <v>17</v>
      </c>
      <c r="W21" s="773">
        <f>J21</f>
        <v>100</v>
      </c>
      <c r="X21" s="1811"/>
      <c r="Y21" s="3309"/>
      <c r="Z21" s="1812" t="str">
        <f>Q21</f>
        <v>交通便捷度</v>
      </c>
      <c r="AA21" s="1809">
        <f t="shared" si="3"/>
        <v>1</v>
      </c>
      <c r="AB21" s="1809">
        <f t="shared" si="4"/>
        <v>1</v>
      </c>
      <c r="AC21" s="1809">
        <f t="shared" si="5"/>
        <v>1</v>
      </c>
    </row>
    <row r="22" spans="1:29" ht="15">
      <c r="A22" s="426"/>
      <c r="B22" s="1382"/>
      <c r="C22" s="445" t="s">
        <v>3078</v>
      </c>
      <c r="D22" s="448"/>
      <c r="E22" s="445" t="s">
        <v>3078</v>
      </c>
      <c r="F22" s="446"/>
      <c r="G22" s="445" t="s">
        <v>3078</v>
      </c>
      <c r="H22" s="446"/>
      <c r="I22" s="445" t="s">
        <v>3078</v>
      </c>
      <c r="J22" s="446"/>
      <c r="K22" s="670"/>
      <c r="L22" s="1138"/>
      <c r="M22" s="1129"/>
      <c r="N22" s="1129"/>
      <c r="O22" s="1137"/>
      <c r="P22" s="3309"/>
      <c r="Q22" s="1808"/>
      <c r="R22" s="772"/>
      <c r="S22" s="773"/>
      <c r="T22" s="772"/>
      <c r="U22" s="773"/>
      <c r="V22" s="772"/>
      <c r="W22" s="773"/>
      <c r="X22" s="1811"/>
      <c r="Y22" s="3309"/>
      <c r="Z22" s="1812"/>
      <c r="AA22" s="1809">
        <v>1</v>
      </c>
      <c r="AB22" s="1809">
        <v>1</v>
      </c>
      <c r="AC22" s="1809">
        <v>1</v>
      </c>
    </row>
    <row r="23" spans="1:29" ht="15">
      <c r="A23" s="402"/>
      <c r="B23" s="449" t="s">
        <v>2741</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38"/>
      <c r="M23" s="1129"/>
      <c r="N23" s="1129"/>
      <c r="O23" s="1137"/>
      <c r="P23" s="3309"/>
      <c r="Q23" s="1808" t="str">
        <f t="shared" ref="Q23:Q37" si="8">B23</f>
        <v>区域土地利用方向</v>
      </c>
      <c r="R23" s="772" t="s">
        <v>17</v>
      </c>
      <c r="S23" s="773">
        <f>F23</f>
        <v>100</v>
      </c>
      <c r="T23" s="772" t="s">
        <v>17</v>
      </c>
      <c r="U23" s="773">
        <f>H23</f>
        <v>100</v>
      </c>
      <c r="V23" s="772" t="s">
        <v>17</v>
      </c>
      <c r="W23" s="773">
        <f>J23</f>
        <v>100</v>
      </c>
      <c r="X23" s="1811"/>
      <c r="Y23" s="3309"/>
      <c r="Z23" s="1812" t="str">
        <f>Q23</f>
        <v>区域土地利用方向</v>
      </c>
      <c r="AA23" s="1809">
        <f t="shared" si="3"/>
        <v>1</v>
      </c>
      <c r="AB23" s="1809">
        <f t="shared" si="4"/>
        <v>1</v>
      </c>
      <c r="AC23" s="1809">
        <f t="shared" si="5"/>
        <v>1</v>
      </c>
    </row>
    <row r="24" spans="1:29" ht="15">
      <c r="A24" s="402"/>
      <c r="B24" s="454"/>
      <c r="C24" s="445" t="s">
        <v>3078</v>
      </c>
      <c r="D24" s="446"/>
      <c r="E24" s="445" t="s">
        <v>3078</v>
      </c>
      <c r="F24" s="446"/>
      <c r="G24" s="445" t="s">
        <v>3078</v>
      </c>
      <c r="H24" s="446"/>
      <c r="I24" s="445" t="s">
        <v>3078</v>
      </c>
      <c r="J24" s="446"/>
      <c r="K24" s="807"/>
      <c r="L24" s="1138"/>
      <c r="M24" s="1129"/>
      <c r="N24" s="1129"/>
      <c r="O24" s="1137"/>
      <c r="P24" s="3309"/>
      <c r="Q24" s="1808"/>
      <c r="R24" s="772"/>
      <c r="S24" s="773"/>
      <c r="T24" s="772"/>
      <c r="U24" s="773"/>
      <c r="V24" s="772"/>
      <c r="W24" s="773"/>
      <c r="X24" s="1811"/>
      <c r="Y24" s="3309"/>
      <c r="Z24" s="1812"/>
      <c r="AA24" s="1809"/>
      <c r="AB24" s="1809"/>
      <c r="AC24" s="1809"/>
    </row>
    <row r="25" spans="1:29" ht="27">
      <c r="A25" s="402"/>
      <c r="B25" s="1382" t="s">
        <v>2742</v>
      </c>
      <c r="C25" s="2658">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3</v>
      </c>
      <c r="L25" s="1138"/>
      <c r="M25" s="1129"/>
      <c r="N25" s="1129"/>
      <c r="O25" s="1137"/>
      <c r="P25" s="3309"/>
      <c r="Q25" s="1808" t="str">
        <f t="shared" si="8"/>
        <v>自然及人文环境状况</v>
      </c>
      <c r="R25" s="772" t="s">
        <v>17</v>
      </c>
      <c r="S25" s="773">
        <f>F25</f>
        <v>100</v>
      </c>
      <c r="T25" s="772" t="s">
        <v>17</v>
      </c>
      <c r="U25" s="773">
        <f>H25</f>
        <v>100</v>
      </c>
      <c r="V25" s="772" t="s">
        <v>17</v>
      </c>
      <c r="W25" s="773">
        <f>J25</f>
        <v>100</v>
      </c>
      <c r="X25" s="1811"/>
      <c r="Y25" s="3309"/>
      <c r="Z25" s="1812" t="str">
        <f>Q25</f>
        <v>自然及人文环境状况</v>
      </c>
      <c r="AA25" s="1809">
        <f t="shared" si="3"/>
        <v>1</v>
      </c>
      <c r="AB25" s="1809">
        <f t="shared" si="4"/>
        <v>1</v>
      </c>
      <c r="AC25" s="1809">
        <f t="shared" si="5"/>
        <v>1</v>
      </c>
    </row>
    <row r="26" spans="1:29" ht="15">
      <c r="A26" s="402"/>
      <c r="B26" s="454"/>
      <c r="C26" s="445" t="s">
        <v>3078</v>
      </c>
      <c r="D26" s="446"/>
      <c r="E26" s="445" t="s">
        <v>3078</v>
      </c>
      <c r="F26" s="446"/>
      <c r="G26" s="445" t="s">
        <v>3078</v>
      </c>
      <c r="H26" s="446"/>
      <c r="I26" s="445" t="s">
        <v>3078</v>
      </c>
      <c r="J26" s="446"/>
      <c r="K26" s="670"/>
      <c r="L26" s="1138"/>
      <c r="M26" s="1129"/>
      <c r="N26" s="1129"/>
      <c r="O26" s="1137"/>
      <c r="P26" s="3309"/>
      <c r="Q26" s="1808"/>
      <c r="R26" s="772"/>
      <c r="S26" s="773"/>
      <c r="T26" s="772"/>
      <c r="U26" s="773"/>
      <c r="V26" s="772"/>
      <c r="W26" s="773"/>
      <c r="X26" s="1811"/>
      <c r="Y26" s="3309"/>
      <c r="Z26" s="1812"/>
      <c r="AA26" s="1809">
        <v>1</v>
      </c>
      <c r="AB26" s="1809">
        <v>1</v>
      </c>
      <c r="AC26" s="1809">
        <v>1</v>
      </c>
    </row>
    <row r="27" spans="1:29" s="115" customFormat="1" ht="15">
      <c r="A27" s="647"/>
      <c r="B27" s="1382" t="s">
        <v>2648</v>
      </c>
      <c r="C27" s="2601">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30"/>
      <c r="M27" s="1131"/>
      <c r="N27" s="1131"/>
      <c r="O27" s="1132"/>
      <c r="P27" s="3309"/>
      <c r="Q27" s="1793" t="str">
        <f t="shared" si="8"/>
        <v>公共配套设施</v>
      </c>
      <c r="R27" s="768" t="s">
        <v>17</v>
      </c>
      <c r="S27" s="769">
        <f>F27</f>
        <v>100</v>
      </c>
      <c r="T27" s="768" t="s">
        <v>17</v>
      </c>
      <c r="U27" s="769">
        <f>H27</f>
        <v>100</v>
      </c>
      <c r="V27" s="768" t="s">
        <v>17</v>
      </c>
      <c r="W27" s="769">
        <f>J27</f>
        <v>100</v>
      </c>
      <c r="X27" s="770"/>
      <c r="Y27" s="3309"/>
      <c r="Z27" s="55" t="str">
        <f>Q27</f>
        <v>公共配套设施</v>
      </c>
      <c r="AA27" s="1809">
        <f>D27/F27</f>
        <v>1</v>
      </c>
      <c r="AB27" s="1809">
        <f>D27/H27</f>
        <v>1</v>
      </c>
      <c r="AC27" s="1809">
        <f>D27/J27</f>
        <v>1</v>
      </c>
    </row>
    <row r="28" spans="1:29" s="115" customFormat="1" ht="15">
      <c r="A28" s="647"/>
      <c r="B28" s="454"/>
      <c r="C28" s="445" t="s">
        <v>3078</v>
      </c>
      <c r="D28" s="446"/>
      <c r="E28" s="445" t="s">
        <v>3078</v>
      </c>
      <c r="F28" s="446"/>
      <c r="G28" s="445" t="s">
        <v>3078</v>
      </c>
      <c r="H28" s="446"/>
      <c r="I28" s="445" t="s">
        <v>3078</v>
      </c>
      <c r="J28" s="446"/>
      <c r="K28" s="670"/>
      <c r="L28" s="1130"/>
      <c r="M28" s="1131"/>
      <c r="N28" s="1131"/>
      <c r="O28" s="1132"/>
      <c r="P28" s="3309"/>
      <c r="Q28" s="1793"/>
      <c r="R28" s="768"/>
      <c r="S28" s="769"/>
      <c r="T28" s="768"/>
      <c r="U28" s="769"/>
      <c r="V28" s="768"/>
      <c r="W28" s="769"/>
      <c r="X28" s="770"/>
      <c r="Y28" s="3309"/>
      <c r="Z28" s="55"/>
      <c r="AA28" s="1809">
        <v>1</v>
      </c>
      <c r="AB28" s="1809">
        <v>1</v>
      </c>
      <c r="AC28" s="1809">
        <v>1</v>
      </c>
    </row>
    <row r="29" spans="1:29" s="115" customFormat="1" ht="15">
      <c r="A29" s="647"/>
      <c r="B29" s="1382" t="s">
        <v>2649</v>
      </c>
      <c r="C29" s="2601">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0"/>
      <c r="M29" s="1131"/>
      <c r="N29" s="1131"/>
      <c r="O29" s="1132"/>
      <c r="P29" s="3309"/>
      <c r="Q29" s="1793" t="str">
        <f t="shared" ref="Q29" si="9">B29</f>
        <v>基础设施水平</v>
      </c>
      <c r="R29" s="768" t="s">
        <v>17</v>
      </c>
      <c r="S29" s="769">
        <f>F29</f>
        <v>100</v>
      </c>
      <c r="T29" s="768" t="s">
        <v>17</v>
      </c>
      <c r="U29" s="769">
        <f>H29</f>
        <v>100</v>
      </c>
      <c r="V29" s="768" t="s">
        <v>17</v>
      </c>
      <c r="W29" s="769">
        <f>J29</f>
        <v>100</v>
      </c>
      <c r="X29" s="770"/>
      <c r="Y29" s="3309"/>
      <c r="Z29" s="55" t="str">
        <f>Q29</f>
        <v>基础设施水平</v>
      </c>
      <c r="AA29" s="1809">
        <f>D29/F29</f>
        <v>1</v>
      </c>
      <c r="AB29" s="1809">
        <f>D29/H29</f>
        <v>1</v>
      </c>
      <c r="AC29" s="1809">
        <f>D29/J29</f>
        <v>1</v>
      </c>
    </row>
    <row r="30" spans="1:29" s="115" customFormat="1" ht="15">
      <c r="A30" s="647"/>
      <c r="B30" s="454"/>
      <c r="C30" s="2694" t="s">
        <v>3079</v>
      </c>
      <c r="D30" s="446"/>
      <c r="E30" s="2694" t="s">
        <v>3079</v>
      </c>
      <c r="F30" s="446"/>
      <c r="G30" s="2694" t="s">
        <v>3079</v>
      </c>
      <c r="H30" s="446"/>
      <c r="I30" s="2694" t="s">
        <v>3079</v>
      </c>
      <c r="J30" s="446"/>
      <c r="K30" s="670"/>
      <c r="L30" s="1130"/>
      <c r="M30" s="1131"/>
      <c r="N30" s="1131"/>
      <c r="O30" s="1132"/>
      <c r="P30" s="3309"/>
      <c r="Q30" s="1793"/>
      <c r="R30" s="768"/>
      <c r="S30" s="769"/>
      <c r="T30" s="768"/>
      <c r="U30" s="769"/>
      <c r="V30" s="768"/>
      <c r="W30" s="769"/>
      <c r="X30" s="770"/>
      <c r="Y30" s="3309"/>
      <c r="Z30" s="55"/>
      <c r="AA30" s="1809">
        <v>1</v>
      </c>
      <c r="AB30" s="1809">
        <v>1</v>
      </c>
      <c r="AC30" s="1809">
        <v>1</v>
      </c>
    </row>
    <row r="31" spans="1:29" ht="15">
      <c r="A31" s="426"/>
      <c r="B31" s="454" t="s">
        <v>2650</v>
      </c>
      <c r="C31" s="614" t="s">
        <v>3080</v>
      </c>
      <c r="D31" s="433">
        <v>100</v>
      </c>
      <c r="E31" s="614" t="s">
        <v>3080</v>
      </c>
      <c r="F31" s="433">
        <f>SUMIF(104:104,E31,105:105)-SUMIF(104:104,C31,105:105)+100</f>
        <v>100</v>
      </c>
      <c r="G31" s="614" t="s">
        <v>3080</v>
      </c>
      <c r="H31" s="433">
        <f>SUMIF(104:104,G31,105:105)-SUMIF(104:104,C31,105:105)+100</f>
        <v>100</v>
      </c>
      <c r="I31" s="614" t="s">
        <v>3080</v>
      </c>
      <c r="J31" s="433">
        <f>SUMIF(104:104,I31,105:105)-SUMIF(104:104,C31,105:105)+100</f>
        <v>100</v>
      </c>
      <c r="K31" s="671">
        <v>2</v>
      </c>
      <c r="L31" s="1138"/>
      <c r="M31" s="1129"/>
      <c r="N31" s="1129"/>
      <c r="O31" s="1137"/>
      <c r="P31" s="330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309"/>
      <c r="Z31" s="1812" t="str">
        <f t="shared" ref="Z31:Z45" si="13">Q31</f>
        <v>临街状况</v>
      </c>
      <c r="AA31" s="1809">
        <f t="shared" si="3"/>
        <v>1</v>
      </c>
      <c r="AB31" s="1809">
        <f t="shared" si="4"/>
        <v>1</v>
      </c>
      <c r="AC31" s="1809">
        <f t="shared" si="5"/>
        <v>1</v>
      </c>
    </row>
    <row r="32" spans="1:29" ht="27">
      <c r="A32" s="426"/>
      <c r="B32" s="1382"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8"/>
      <c r="M32" s="1129"/>
      <c r="N32" s="1129"/>
      <c r="O32" s="1137"/>
      <c r="P32" s="3309"/>
      <c r="Q32" s="1808" t="str">
        <f t="shared" si="8"/>
        <v>毗邻道路的类型与等级</v>
      </c>
      <c r="R32" s="772" t="s">
        <v>17</v>
      </c>
      <c r="S32" s="773">
        <f t="shared" si="10"/>
        <v>100</v>
      </c>
      <c r="T32" s="772" t="s">
        <v>17</v>
      </c>
      <c r="U32" s="773">
        <f t="shared" si="11"/>
        <v>100</v>
      </c>
      <c r="V32" s="772" t="s">
        <v>17</v>
      </c>
      <c r="W32" s="773">
        <f t="shared" si="12"/>
        <v>100</v>
      </c>
      <c r="X32" s="1811"/>
      <c r="Y32" s="3309"/>
      <c r="Z32" s="1812" t="str">
        <f t="shared" si="13"/>
        <v>毗邻道路的类型与等级</v>
      </c>
      <c r="AA32" s="1809">
        <f t="shared" si="3"/>
        <v>1</v>
      </c>
      <c r="AB32" s="1809">
        <f t="shared" si="4"/>
        <v>1</v>
      </c>
      <c r="AC32" s="1809">
        <f t="shared" si="5"/>
        <v>1</v>
      </c>
    </row>
    <row r="33" spans="1:29" ht="15.75" thickBot="1">
      <c r="A33" s="426"/>
      <c r="B33" s="454"/>
      <c r="C33" s="445" t="s">
        <v>3081</v>
      </c>
      <c r="D33" s="446"/>
      <c r="E33" s="445" t="s">
        <v>3081</v>
      </c>
      <c r="F33" s="446"/>
      <c r="G33" s="445" t="s">
        <v>3081</v>
      </c>
      <c r="H33" s="446"/>
      <c r="I33" s="445" t="s">
        <v>3081</v>
      </c>
      <c r="J33" s="446"/>
      <c r="K33" s="611"/>
      <c r="L33" s="1138"/>
      <c r="M33" s="1129"/>
      <c r="N33" s="1129"/>
      <c r="O33" s="1137"/>
      <c r="P33" s="3309"/>
      <c r="Q33" s="1808"/>
      <c r="R33" s="772"/>
      <c r="S33" s="773"/>
      <c r="T33" s="772"/>
      <c r="U33" s="773"/>
      <c r="V33" s="772"/>
      <c r="W33" s="773"/>
      <c r="X33" s="1811"/>
      <c r="Y33" s="3309"/>
      <c r="Z33" s="1812"/>
      <c r="AA33" s="1809">
        <v>1</v>
      </c>
      <c r="AB33" s="1809">
        <v>1</v>
      </c>
      <c r="AC33" s="1809">
        <v>1</v>
      </c>
    </row>
    <row r="34" spans="1:29" ht="15.75" hidden="1" thickBot="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309"/>
      <c r="Q34" s="1808" t="str">
        <f t="shared" si="8"/>
        <v>土地级别</v>
      </c>
      <c r="R34" s="772" t="s">
        <v>17</v>
      </c>
      <c r="S34" s="773">
        <f t="shared" si="10"/>
        <v>100</v>
      </c>
      <c r="T34" s="772" t="s">
        <v>17</v>
      </c>
      <c r="U34" s="773">
        <f t="shared" si="11"/>
        <v>100</v>
      </c>
      <c r="V34" s="772" t="s">
        <v>17</v>
      </c>
      <c r="W34" s="773">
        <f t="shared" si="12"/>
        <v>100</v>
      </c>
      <c r="X34" s="1811"/>
      <c r="Y34" s="3309"/>
      <c r="Z34" s="1812" t="str">
        <f t="shared" si="13"/>
        <v>土地级别</v>
      </c>
      <c r="AA34" s="1809">
        <f t="shared" si="3"/>
        <v>1</v>
      </c>
      <c r="AB34" s="1809">
        <f t="shared" si="4"/>
        <v>1</v>
      </c>
      <c r="AC34" s="1809">
        <f t="shared" si="5"/>
        <v>1</v>
      </c>
    </row>
    <row r="35" spans="1:29" ht="15" hidden="1">
      <c r="A35" s="402"/>
      <c r="B35" s="1384"/>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309"/>
      <c r="Q35" s="1808">
        <f t="shared" si="8"/>
        <v>0</v>
      </c>
      <c r="R35" s="772" t="s">
        <v>17</v>
      </c>
      <c r="S35" s="773">
        <f t="shared" si="10"/>
        <v>100</v>
      </c>
      <c r="T35" s="772" t="s">
        <v>17</v>
      </c>
      <c r="U35" s="773">
        <f t="shared" si="11"/>
        <v>100</v>
      </c>
      <c r="V35" s="772" t="s">
        <v>17</v>
      </c>
      <c r="W35" s="773">
        <f t="shared" si="12"/>
        <v>100</v>
      </c>
      <c r="X35" s="1811"/>
      <c r="Y35" s="3309"/>
      <c r="Z35" s="1812">
        <f t="shared" si="13"/>
        <v>0</v>
      </c>
      <c r="AA35" s="1809">
        <f t="shared" si="3"/>
        <v>1</v>
      </c>
      <c r="AB35" s="1809">
        <f t="shared" si="4"/>
        <v>1</v>
      </c>
      <c r="AC35" s="1809">
        <f t="shared" si="5"/>
        <v>1</v>
      </c>
    </row>
    <row r="36" spans="1:29" ht="15" hidden="1">
      <c r="A36" s="673"/>
      <c r="B36" s="1385"/>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310" t="s">
        <v>2559</v>
      </c>
      <c r="Q36" s="1808">
        <f t="shared" si="8"/>
        <v>0</v>
      </c>
      <c r="R36" s="772" t="s">
        <v>17</v>
      </c>
      <c r="S36" s="773">
        <f t="shared" si="10"/>
        <v>100</v>
      </c>
      <c r="T36" s="772" t="s">
        <v>17</v>
      </c>
      <c r="U36" s="773">
        <f t="shared" si="11"/>
        <v>100</v>
      </c>
      <c r="V36" s="772" t="s">
        <v>17</v>
      </c>
      <c r="W36" s="773">
        <f t="shared" si="12"/>
        <v>100</v>
      </c>
      <c r="X36" s="1811"/>
      <c r="Y36" s="3311" t="s">
        <v>2559</v>
      </c>
      <c r="Z36" s="1812">
        <f t="shared" si="13"/>
        <v>0</v>
      </c>
      <c r="AA36" s="1809">
        <f t="shared" si="3"/>
        <v>1</v>
      </c>
      <c r="AB36" s="1809">
        <f t="shared" si="4"/>
        <v>1</v>
      </c>
      <c r="AC36" s="1809">
        <f t="shared" si="5"/>
        <v>1</v>
      </c>
    </row>
    <row r="37" spans="1:29" s="469" customFormat="1" ht="15.75" hidden="1" thickBot="1">
      <c r="A37" s="674"/>
      <c r="B37" s="1386"/>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311"/>
      <c r="Q37" s="1808">
        <f t="shared" si="8"/>
        <v>0</v>
      </c>
      <c r="R37" s="775" t="s">
        <v>17</v>
      </c>
      <c r="S37" s="776">
        <f t="shared" si="10"/>
        <v>100</v>
      </c>
      <c r="T37" s="775" t="s">
        <v>17</v>
      </c>
      <c r="U37" s="776">
        <f t="shared" si="11"/>
        <v>100</v>
      </c>
      <c r="V37" s="775" t="s">
        <v>17</v>
      </c>
      <c r="W37" s="776">
        <f t="shared" si="12"/>
        <v>100</v>
      </c>
      <c r="X37" s="777"/>
      <c r="Y37" s="3311"/>
      <c r="Z37" s="778">
        <f t="shared" si="13"/>
        <v>0</v>
      </c>
      <c r="AA37" s="1809">
        <f t="shared" si="3"/>
        <v>1</v>
      </c>
      <c r="AB37" s="1809">
        <f t="shared" si="4"/>
        <v>1</v>
      </c>
      <c r="AC37" s="1809">
        <f t="shared" si="5"/>
        <v>1</v>
      </c>
    </row>
    <row r="38" spans="1:29" ht="15">
      <c r="A38" s="470" t="s">
        <v>2557</v>
      </c>
      <c r="B38" s="454" t="s">
        <v>2744</v>
      </c>
      <c r="C38" s="677">
        <f>'数据-基础表'!A3</f>
        <v>21011.77</v>
      </c>
      <c r="D38" s="465">
        <v>100</v>
      </c>
      <c r="E38" s="677">
        <v>19262.18</v>
      </c>
      <c r="F38" s="465">
        <f>LOOKUP(E38,117:117,118:118)-LOOKUP(C38,117:117,118:118)+100</f>
        <v>99</v>
      </c>
      <c r="G38" s="677">
        <v>12495.87</v>
      </c>
      <c r="H38" s="465">
        <f>LOOKUP(G38,117:117,118:118)-LOOKUP(C38,117:117,118:118)+100</f>
        <v>99</v>
      </c>
      <c r="I38" s="528">
        <v>6571.61</v>
      </c>
      <c r="J38" s="465">
        <f>LOOKUP(I38,117:117,118:118)-LOOKUP(C38,117:117,118:118)+100</f>
        <v>98</v>
      </c>
      <c r="K38" s="611"/>
      <c r="L38" s="1138"/>
      <c r="M38" s="1129"/>
      <c r="N38" s="1129"/>
      <c r="O38" s="1137"/>
      <c r="P38" s="3311"/>
      <c r="Q38" s="1808" t="str">
        <f>B38</f>
        <v>宗地面积</v>
      </c>
      <c r="R38" s="772" t="s">
        <v>17</v>
      </c>
      <c r="S38" s="773">
        <f t="shared" si="10"/>
        <v>99</v>
      </c>
      <c r="T38" s="772" t="s">
        <v>17</v>
      </c>
      <c r="U38" s="773">
        <f t="shared" si="11"/>
        <v>99</v>
      </c>
      <c r="V38" s="772" t="s">
        <v>17</v>
      </c>
      <c r="W38" s="773">
        <f t="shared" si="12"/>
        <v>98</v>
      </c>
      <c r="X38" s="1811"/>
      <c r="Y38" s="3311"/>
      <c r="Z38" s="1812" t="str">
        <f t="shared" si="13"/>
        <v>宗地面积</v>
      </c>
      <c r="AA38" s="1809">
        <f t="shared" si="3"/>
        <v>1.0101010101010102</v>
      </c>
      <c r="AB38" s="1809">
        <f t="shared" si="4"/>
        <v>1.0101010101010102</v>
      </c>
      <c r="AC38" s="1809">
        <f t="shared" si="5"/>
        <v>1.0204081632653061</v>
      </c>
    </row>
    <row r="39" spans="1:29" ht="15">
      <c r="A39" s="470"/>
      <c r="B39" s="420" t="s">
        <v>2745</v>
      </c>
      <c r="C39" s="2607" t="s">
        <v>3082</v>
      </c>
      <c r="D39" s="433">
        <v>100</v>
      </c>
      <c r="E39" s="2607" t="s">
        <v>3082</v>
      </c>
      <c r="F39" s="433">
        <f>SUMIF(119:119,E39,120:120)-SUMIF(119:119,C39,120:120)+100</f>
        <v>100</v>
      </c>
      <c r="G39" s="2607" t="s">
        <v>3082</v>
      </c>
      <c r="H39" s="433">
        <f>SUMIF(119:119,G39,120:120)-SUMIF(119:119,C39,120:120)+100</f>
        <v>100</v>
      </c>
      <c r="I39" s="2607" t="s">
        <v>3082</v>
      </c>
      <c r="J39" s="433">
        <f>SUMIF(119:119,I39,120:120)-SUMIF(119:119,C39,120:120)+100</f>
        <v>100</v>
      </c>
      <c r="K39" s="610">
        <v>1</v>
      </c>
      <c r="L39" s="1138"/>
      <c r="M39" s="1129"/>
      <c r="N39" s="1129"/>
      <c r="O39" s="1137"/>
      <c r="P39" s="3311"/>
      <c r="Q39" s="1808" t="str">
        <f t="shared" ref="Q39:Q45" si="14">B39</f>
        <v>宗地形状</v>
      </c>
      <c r="R39" s="772" t="s">
        <v>17</v>
      </c>
      <c r="S39" s="773">
        <f t="shared" si="10"/>
        <v>100</v>
      </c>
      <c r="T39" s="772" t="s">
        <v>17</v>
      </c>
      <c r="U39" s="773">
        <f t="shared" si="11"/>
        <v>100</v>
      </c>
      <c r="V39" s="772" t="s">
        <v>17</v>
      </c>
      <c r="W39" s="773">
        <f t="shared" si="12"/>
        <v>100</v>
      </c>
      <c r="X39" s="1811"/>
      <c r="Y39" s="3311"/>
      <c r="Z39" s="1812" t="str">
        <f t="shared" si="13"/>
        <v>宗地形状</v>
      </c>
      <c r="AA39" s="1809">
        <f t="shared" si="3"/>
        <v>1</v>
      </c>
      <c r="AB39" s="1809">
        <f t="shared" si="4"/>
        <v>1</v>
      </c>
      <c r="AC39" s="1809">
        <f t="shared" si="5"/>
        <v>1</v>
      </c>
    </row>
    <row r="40" spans="1:29" ht="15">
      <c r="A40" s="470"/>
      <c r="B40" s="420" t="s">
        <v>2746</v>
      </c>
      <c r="C40" s="2607" t="s">
        <v>3083</v>
      </c>
      <c r="D40" s="433">
        <v>100</v>
      </c>
      <c r="E40" s="2607" t="s">
        <v>3083</v>
      </c>
      <c r="F40" s="433">
        <f>SUMIF(121:121,E40,122:122)-SUMIF(121:121,C40,122:122)+100</f>
        <v>100</v>
      </c>
      <c r="G40" s="2607" t="s">
        <v>3083</v>
      </c>
      <c r="H40" s="433">
        <f>SUMIF(121:121,G40,122:122)-SUMIF(121:121,C40,122:122)+100</f>
        <v>100</v>
      </c>
      <c r="I40" s="2607" t="s">
        <v>3083</v>
      </c>
      <c r="J40" s="433">
        <f>SUMIF(121:121,I40,122:122)-SUMIF(121:121,C40,122:122)+100</f>
        <v>100</v>
      </c>
      <c r="K40" s="610">
        <v>1</v>
      </c>
      <c r="L40" s="1138"/>
      <c r="M40" s="1129"/>
      <c r="N40" s="1129"/>
      <c r="O40" s="1137"/>
      <c r="P40" s="3311"/>
      <c r="Q40" s="1808" t="str">
        <f t="shared" si="14"/>
        <v>临街宽度及深度</v>
      </c>
      <c r="R40" s="772" t="s">
        <v>17</v>
      </c>
      <c r="S40" s="773">
        <f t="shared" si="10"/>
        <v>100</v>
      </c>
      <c r="T40" s="772" t="s">
        <v>17</v>
      </c>
      <c r="U40" s="773">
        <f t="shared" si="11"/>
        <v>100</v>
      </c>
      <c r="V40" s="772" t="s">
        <v>17</v>
      </c>
      <c r="W40" s="773">
        <f t="shared" si="12"/>
        <v>100</v>
      </c>
      <c r="X40" s="1811"/>
      <c r="Y40" s="3311"/>
      <c r="Z40" s="1812" t="str">
        <f t="shared" si="13"/>
        <v>临街宽度及深度</v>
      </c>
      <c r="AA40" s="1809">
        <f t="shared" si="3"/>
        <v>1</v>
      </c>
      <c r="AB40" s="1809">
        <f t="shared" si="4"/>
        <v>1</v>
      </c>
      <c r="AC40" s="1809">
        <f t="shared" si="5"/>
        <v>1</v>
      </c>
    </row>
    <row r="41" spans="1:29" s="115" customFormat="1" ht="15">
      <c r="A41" s="471"/>
      <c r="B41" s="420" t="s">
        <v>2747</v>
      </c>
      <c r="C41" s="2696" t="s">
        <v>3084</v>
      </c>
      <c r="D41" s="134">
        <v>100</v>
      </c>
      <c r="E41" s="2696" t="s">
        <v>3084</v>
      </c>
      <c r="F41" s="433">
        <f>SUMIF(123:123,E41,124:124)-SUMIF(123:123,C41,124:124)+100</f>
        <v>100</v>
      </c>
      <c r="G41" s="2696" t="s">
        <v>3084</v>
      </c>
      <c r="H41" s="433">
        <f>SUMIF(123:123,G41,124:124)-SUMIF(123:123,C41,124:124)+100</f>
        <v>100</v>
      </c>
      <c r="I41" s="2696" t="s">
        <v>3084</v>
      </c>
      <c r="J41" s="433">
        <f>SUMIF(123:123,I41,124:124)-SUMIF(123:123,C41,124:124)+100</f>
        <v>100</v>
      </c>
      <c r="K41" s="610">
        <v>1</v>
      </c>
      <c r="L41" s="1130"/>
      <c r="M41" s="1131"/>
      <c r="N41" s="1131"/>
      <c r="O41" s="1132"/>
      <c r="P41" s="3311"/>
      <c r="Q41" s="1808" t="str">
        <f t="shared" si="14"/>
        <v>宗地开发程度</v>
      </c>
      <c r="R41" s="768" t="s">
        <v>17</v>
      </c>
      <c r="S41" s="769">
        <f t="shared" si="10"/>
        <v>100</v>
      </c>
      <c r="T41" s="768" t="s">
        <v>17</v>
      </c>
      <c r="U41" s="769">
        <f t="shared" si="11"/>
        <v>100</v>
      </c>
      <c r="V41" s="768" t="s">
        <v>17</v>
      </c>
      <c r="W41" s="769">
        <f t="shared" si="12"/>
        <v>100</v>
      </c>
      <c r="X41" s="770"/>
      <c r="Y41" s="3311"/>
      <c r="Z41" s="55" t="str">
        <f t="shared" si="13"/>
        <v>宗地开发程度</v>
      </c>
      <c r="AA41" s="771">
        <f t="shared" si="3"/>
        <v>1</v>
      </c>
      <c r="AB41" s="771">
        <f t="shared" si="4"/>
        <v>1</v>
      </c>
      <c r="AC41" s="771">
        <f t="shared" si="5"/>
        <v>1</v>
      </c>
    </row>
    <row r="42" spans="1:29" ht="15.75" thickBot="1">
      <c r="A42" s="470"/>
      <c r="B42" s="420" t="s">
        <v>2748</v>
      </c>
      <c r="C42" s="2607" t="s">
        <v>3078</v>
      </c>
      <c r="D42" s="433">
        <v>100</v>
      </c>
      <c r="E42" s="2607" t="s">
        <v>3078</v>
      </c>
      <c r="F42" s="433">
        <f>SUMIF(125:125,E42,126:126)-SUMIF(125:125,C42,126:126)+100</f>
        <v>100</v>
      </c>
      <c r="G42" s="2607" t="s">
        <v>3078</v>
      </c>
      <c r="H42" s="433">
        <f>SUMIF(125:125,G42,126:126)-SUMIF(125:125,C42,126:126)+100</f>
        <v>100</v>
      </c>
      <c r="I42" s="2607" t="s">
        <v>3078</v>
      </c>
      <c r="J42" s="433">
        <f>SUMIF(125:125,I42,126:126)-SUMIF(125:125,C42,126:126)+100</f>
        <v>100</v>
      </c>
      <c r="K42" s="610">
        <v>1</v>
      </c>
      <c r="L42" s="1138"/>
      <c r="M42" s="1129"/>
      <c r="N42" s="1129"/>
      <c r="O42" s="1137"/>
      <c r="P42" s="3311" t="s">
        <v>2559</v>
      </c>
      <c r="Q42" s="1808" t="str">
        <f t="shared" si="14"/>
        <v>工程地质条件</v>
      </c>
      <c r="R42" s="772" t="s">
        <v>17</v>
      </c>
      <c r="S42" s="773">
        <f t="shared" si="10"/>
        <v>100</v>
      </c>
      <c r="T42" s="772" t="s">
        <v>17</v>
      </c>
      <c r="U42" s="773">
        <f t="shared" si="11"/>
        <v>100</v>
      </c>
      <c r="V42" s="772" t="s">
        <v>17</v>
      </c>
      <c r="W42" s="773">
        <f t="shared" si="12"/>
        <v>100</v>
      </c>
      <c r="X42" s="1811"/>
      <c r="Y42" s="3311" t="s">
        <v>2559</v>
      </c>
      <c r="Z42" s="1812" t="str">
        <f t="shared" si="13"/>
        <v>工程地质条件</v>
      </c>
      <c r="AA42" s="1809">
        <f t="shared" si="3"/>
        <v>1</v>
      </c>
      <c r="AB42" s="1809">
        <f t="shared" si="4"/>
        <v>1</v>
      </c>
      <c r="AC42" s="1809">
        <f t="shared" si="5"/>
        <v>1</v>
      </c>
    </row>
    <row r="43" spans="1:29" ht="15" hidden="1">
      <c r="A43" s="470"/>
      <c r="B43" s="1385"/>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311"/>
      <c r="Q43" s="1808">
        <f t="shared" si="14"/>
        <v>0</v>
      </c>
      <c r="R43" s="772" t="s">
        <v>17</v>
      </c>
      <c r="S43" s="773">
        <f t="shared" si="10"/>
        <v>100</v>
      </c>
      <c r="T43" s="772" t="s">
        <v>17</v>
      </c>
      <c r="U43" s="773">
        <f t="shared" si="11"/>
        <v>100</v>
      </c>
      <c r="V43" s="772" t="s">
        <v>17</v>
      </c>
      <c r="W43" s="773">
        <f t="shared" si="12"/>
        <v>100</v>
      </c>
      <c r="X43" s="1811"/>
      <c r="Y43" s="3311"/>
      <c r="Z43" s="1812">
        <f t="shared" si="13"/>
        <v>0</v>
      </c>
      <c r="AA43" s="1809">
        <f t="shared" si="3"/>
        <v>1</v>
      </c>
      <c r="AB43" s="1809">
        <f t="shared" si="4"/>
        <v>1</v>
      </c>
      <c r="AC43" s="1809">
        <f t="shared" si="5"/>
        <v>1</v>
      </c>
    </row>
    <row r="44" spans="1:29" ht="15" hidden="1">
      <c r="A44" s="470"/>
      <c r="B44" s="1385"/>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311"/>
      <c r="Q44" s="1808">
        <f t="shared" si="14"/>
        <v>0</v>
      </c>
      <c r="R44" s="772" t="s">
        <v>17</v>
      </c>
      <c r="S44" s="773">
        <f t="shared" si="10"/>
        <v>100</v>
      </c>
      <c r="T44" s="772" t="s">
        <v>17</v>
      </c>
      <c r="U44" s="773">
        <f t="shared" si="11"/>
        <v>100</v>
      </c>
      <c r="V44" s="772" t="s">
        <v>17</v>
      </c>
      <c r="W44" s="773">
        <f t="shared" si="12"/>
        <v>100</v>
      </c>
      <c r="X44" s="1811"/>
      <c r="Y44" s="3311"/>
      <c r="Z44" s="1812">
        <f t="shared" si="13"/>
        <v>0</v>
      </c>
      <c r="AA44" s="1809">
        <f t="shared" si="3"/>
        <v>1</v>
      </c>
      <c r="AB44" s="1809">
        <f t="shared" si="4"/>
        <v>1</v>
      </c>
      <c r="AC44" s="1809">
        <f t="shared" si="5"/>
        <v>1</v>
      </c>
    </row>
    <row r="45" spans="1:29" s="469" customFormat="1" ht="15.75" hidden="1" thickBot="1">
      <c r="A45" s="466"/>
      <c r="B45" s="1385"/>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311"/>
      <c r="Q45" s="1808">
        <f t="shared" si="14"/>
        <v>0</v>
      </c>
      <c r="R45" s="775" t="s">
        <v>17</v>
      </c>
      <c r="S45" s="776">
        <f t="shared" si="10"/>
        <v>100</v>
      </c>
      <c r="T45" s="775" t="s">
        <v>17</v>
      </c>
      <c r="U45" s="776">
        <f t="shared" si="11"/>
        <v>100</v>
      </c>
      <c r="V45" s="775" t="s">
        <v>17</v>
      </c>
      <c r="W45" s="776">
        <f t="shared" si="12"/>
        <v>100</v>
      </c>
      <c r="X45" s="777"/>
      <c r="Y45" s="3311"/>
      <c r="Z45" s="778">
        <f t="shared" si="13"/>
        <v>0</v>
      </c>
      <c r="AA45" s="1809">
        <f t="shared" si="3"/>
        <v>1</v>
      </c>
      <c r="AB45" s="1809">
        <f t="shared" si="4"/>
        <v>1</v>
      </c>
      <c r="AC45" s="1809">
        <f t="shared" si="5"/>
        <v>1</v>
      </c>
    </row>
    <row r="46" spans="1:29" ht="15">
      <c r="A46" s="477" t="s">
        <v>2714</v>
      </c>
      <c r="B46" s="2698" t="s">
        <v>2749</v>
      </c>
      <c r="C46" s="680" t="s">
        <v>1</v>
      </c>
      <c r="D46" s="479"/>
      <c r="E46" s="480">
        <v>27207</v>
      </c>
      <c r="F46" s="481"/>
      <c r="G46" s="482">
        <v>29821</v>
      </c>
      <c r="H46" s="483"/>
      <c r="I46" s="480">
        <v>26625</v>
      </c>
      <c r="J46" s="483"/>
      <c r="K46" s="781"/>
      <c r="L46" s="1141"/>
      <c r="M46" s="1142"/>
      <c r="N46" s="1129"/>
      <c r="O46" s="1142"/>
      <c r="P46" s="3293" t="str">
        <f>A46</f>
        <v>成交单价</v>
      </c>
      <c r="Q46" s="3293"/>
      <c r="R46" s="3306">
        <f>E46</f>
        <v>27207</v>
      </c>
      <c r="S46" s="3306"/>
      <c r="T46" s="3306">
        <f>G46</f>
        <v>29821</v>
      </c>
      <c r="U46" s="3306"/>
      <c r="V46" s="3306">
        <f>I46</f>
        <v>26625</v>
      </c>
      <c r="W46" s="3306"/>
      <c r="X46" s="757"/>
      <c r="Y46" s="779"/>
      <c r="Z46" s="757"/>
      <c r="AA46" s="757"/>
      <c r="AB46" s="757"/>
      <c r="AC46" s="757"/>
    </row>
    <row r="47" spans="1:29" ht="15.75" thickBot="1">
      <c r="A47" s="484" t="s">
        <v>2663</v>
      </c>
      <c r="B47" s="681"/>
      <c r="C47" s="488">
        <f>R48</f>
        <v>27617</v>
      </c>
      <c r="D47" s="487"/>
      <c r="E47" s="488">
        <f>R47</f>
        <v>26268</v>
      </c>
      <c r="F47" s="489"/>
      <c r="G47" s="486">
        <f>T47</f>
        <v>26288</v>
      </c>
      <c r="H47" s="487"/>
      <c r="I47" s="488">
        <f>V47</f>
        <v>30296</v>
      </c>
      <c r="J47" s="487"/>
      <c r="K47" s="782"/>
      <c r="L47" s="1141"/>
      <c r="M47" s="1142"/>
      <c r="N47" s="1142"/>
      <c r="O47" s="1142"/>
      <c r="P47" s="3293" t="str">
        <f>A47</f>
        <v>比较价值（元/平方米）</v>
      </c>
      <c r="Q47" s="3293"/>
      <c r="R47" s="3312">
        <f>ROUND(PRODUCT(R46,AA7:AA45),0)</f>
        <v>26268</v>
      </c>
      <c r="S47" s="3312"/>
      <c r="T47" s="3312">
        <f>ROUND(PRODUCT(T46,AB7:AB45),0)</f>
        <v>26288</v>
      </c>
      <c r="U47" s="3312"/>
      <c r="V47" s="3312">
        <f>ROUND(PRODUCT(V46,AC7:AC45),0)</f>
        <v>30296</v>
      </c>
      <c r="W47" s="3312"/>
      <c r="X47" s="757"/>
      <c r="Y47" s="757"/>
      <c r="Z47" s="757"/>
      <c r="AA47" s="757"/>
      <c r="AB47" s="757"/>
      <c r="AC47" s="757"/>
    </row>
    <row r="48" spans="1:29" ht="15.75" thickBot="1">
      <c r="A48" s="490" t="s">
        <v>2750</v>
      </c>
      <c r="B48" s="491"/>
      <c r="C48" s="492">
        <f>R48</f>
        <v>27617</v>
      </c>
      <c r="D48" s="492"/>
      <c r="E48" s="492"/>
      <c r="F48" s="492"/>
      <c r="G48" s="492"/>
      <c r="H48" s="492"/>
      <c r="I48" s="492"/>
      <c r="J48" s="492"/>
      <c r="K48" s="783"/>
      <c r="L48" s="1141"/>
      <c r="M48" s="1142"/>
      <c r="N48" s="1142"/>
      <c r="O48" s="1142"/>
      <c r="P48" s="3313" t="str">
        <f>A48</f>
        <v>估价对象XX用房的比较价值（楼面单价，元/平方米）</v>
      </c>
      <c r="Q48" s="3314"/>
      <c r="R48" s="3315">
        <f>ROUND(AVERAGE(R47:V47),0)</f>
        <v>27617</v>
      </c>
      <c r="S48" s="3315"/>
      <c r="T48" s="3315"/>
      <c r="U48" s="3315"/>
      <c r="V48" s="3315"/>
      <c r="W48" s="331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2665</v>
      </c>
      <c r="D51" s="496"/>
      <c r="E51" s="497">
        <f>IF(E46&lt;E47,E47/E46-1,E46/E47-1)</f>
        <v>3.5746916400182682E-2</v>
      </c>
      <c r="F51" s="498" t="str">
        <f>IF(OR(E51&gt;=0.3,E51&lt;=-0.3),"超过30%","")</f>
        <v/>
      </c>
      <c r="G51" s="497">
        <f>IF(G46&lt;G47,G47/G46-1,G46/G47-1)</f>
        <v>0.13439592209373097</v>
      </c>
      <c r="H51" s="498" t="str">
        <f>IF(OR(G51&gt;=0.3,G51&lt;=-0.3),"超过30%","")</f>
        <v/>
      </c>
      <c r="I51" s="497">
        <f>IF(I46&lt;I47,I47/I46-1,I46/I47-1)</f>
        <v>0.13787793427230044</v>
      </c>
      <c r="J51" s="498" t="str">
        <f>IF(OR(I51&gt;=0.3,I51&lt;=-0.3),"超过30%","")</f>
        <v/>
      </c>
      <c r="K51" s="1103"/>
      <c r="L51" s="1104"/>
      <c r="M51" s="1142"/>
      <c r="N51" s="1142"/>
      <c r="O51" s="1142"/>
    </row>
    <row r="52" spans="1:15" ht="13.5" customHeight="1">
      <c r="A52" s="1142"/>
      <c r="B52" s="1142"/>
      <c r="C52" s="495" t="s">
        <v>2666</v>
      </c>
      <c r="D52" s="499"/>
      <c r="E52" s="497">
        <f>IF(E47&lt;G47,G47/E47-1,E47/G47-1)</f>
        <v>7.6138267093051049E-4</v>
      </c>
      <c r="F52" s="498" t="str">
        <f>IF(OR(E52&gt;=0.2,E52&lt;=-0.2),"超过20%","")</f>
        <v/>
      </c>
      <c r="G52" s="497">
        <f>IF(G47&lt;I47,I47/G47-1,G47/I47-1)</f>
        <v>0.15246500304321353</v>
      </c>
      <c r="H52" s="498" t="str">
        <f>IF(OR(G52&gt;=0.2,G52&lt;=-0.2),"超过20%","")</f>
        <v/>
      </c>
      <c r="I52" s="497">
        <f>IF(I47&lt;E47,E47/I47-1,I47/E47-1)</f>
        <v>0.15334246992538447</v>
      </c>
      <c r="J52" s="498" t="str">
        <f>IF(OR(I52&gt;=0.2,I52&lt;=-0.2),"超过20%","")</f>
        <v/>
      </c>
      <c r="K52" s="1103"/>
      <c r="L52" s="1104"/>
      <c r="M52" s="1142"/>
      <c r="N52" s="1142"/>
      <c r="O52" s="1142"/>
    </row>
    <row r="53" spans="1:15" s="500" customFormat="1" ht="13.5" customHeight="1">
      <c r="A53" s="1143"/>
      <c r="B53" s="1143"/>
      <c r="C53" s="495" t="s">
        <v>2667</v>
      </c>
      <c r="D53" s="499"/>
      <c r="E53" s="497">
        <f>IF(E46&lt;G46,G46/E46-1,E46/G46-1)</f>
        <v>9.6078215165214864E-2</v>
      </c>
      <c r="F53" s="498" t="str">
        <f>IF(OR(E53&gt;=0.3,E53&lt;=-0.3),"超过30%","")</f>
        <v/>
      </c>
      <c r="G53" s="497">
        <f>IF(G46&lt;I46,I46/G46-1,G46/I46-1)</f>
        <v>0.12003755868544608</v>
      </c>
      <c r="H53" s="498" t="str">
        <f>IF(OR(G53&gt;=0.3,G53&lt;=-0.3),"超过30%","")</f>
        <v/>
      </c>
      <c r="I53" s="497">
        <f>IF(I46&lt;E46,E46/I46-1,I46/E46-1)</f>
        <v>2.1859154929577462E-2</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2751</v>
      </c>
      <c r="B55" s="683" t="s">
        <v>2752</v>
      </c>
      <c r="C55" s="2699" t="s">
        <v>2753</v>
      </c>
      <c r="D55" s="2700" t="s">
        <v>2754</v>
      </c>
      <c r="E55" s="684" t="s">
        <v>2755</v>
      </c>
      <c r="F55" s="1105" t="s">
        <v>2756</v>
      </c>
      <c r="G55" s="3294" t="s">
        <v>2757</v>
      </c>
      <c r="H55" s="3316"/>
      <c r="I55" s="142" t="s">
        <v>2758</v>
      </c>
      <c r="J55" s="2701" t="str">
        <f>项目基本情况!F35</f>
        <v>深圳市</v>
      </c>
      <c r="K55" s="2702" t="s">
        <v>2759</v>
      </c>
      <c r="L55" s="1104"/>
      <c r="M55" s="1142"/>
      <c r="N55" s="1142"/>
      <c r="O55" s="1142"/>
    </row>
    <row r="56" spans="1:15" s="690" customFormat="1">
      <c r="A56" s="686" t="s">
        <v>2760</v>
      </c>
      <c r="B56" s="687">
        <f>C48</f>
        <v>27617</v>
      </c>
      <c r="C56" s="688">
        <v>1</v>
      </c>
      <c r="D56" s="1161">
        <v>1</v>
      </c>
      <c r="E56" s="688">
        <f>'数据-汇总表'!E8+'数据-汇总表'!E9</f>
        <v>50091</v>
      </c>
      <c r="F56" s="1101">
        <f t="shared" ref="F56:F65" si="15">ROUND(B56*E56/10000,0)</f>
        <v>138336</v>
      </c>
      <c r="G56" s="3317"/>
      <c r="H56" s="3293"/>
      <c r="I56" s="1106">
        <v>1</v>
      </c>
      <c r="J56" s="1109">
        <v>1</v>
      </c>
      <c r="K56" s="1143"/>
      <c r="L56" s="939"/>
      <c r="M56" s="939"/>
      <c r="N56" s="939"/>
      <c r="O56" s="939"/>
    </row>
    <row r="57" spans="1:15" s="690" customFormat="1">
      <c r="A57" s="691" t="s">
        <v>2761</v>
      </c>
      <c r="B57" s="260">
        <f>ROUND($C$48*C57*D57,0)</f>
        <v>0</v>
      </c>
      <c r="C57" s="198">
        <f t="shared" ref="C57:C65" si="16">IF($C$55="北京市系数",I57,J57)</f>
        <v>0</v>
      </c>
      <c r="D57" s="1162">
        <v>0.25</v>
      </c>
      <c r="E57" s="692"/>
      <c r="F57" s="1101">
        <f t="shared" si="15"/>
        <v>0</v>
      </c>
      <c r="G57" s="3318" t="s">
        <v>2762</v>
      </c>
      <c r="H57" s="1102">
        <f>项目基本情况!B37</f>
        <v>0</v>
      </c>
      <c r="I57" s="1106">
        <f>SUMIF(修正!A45:A56,H57,修正!B45:B56)</f>
        <v>0</v>
      </c>
      <c r="J57" s="1110"/>
      <c r="K57" s="1142"/>
      <c r="L57" s="939"/>
      <c r="M57" s="939"/>
      <c r="N57" s="939"/>
      <c r="O57" s="939"/>
    </row>
    <row r="58" spans="1:15" s="690" customFormat="1">
      <c r="A58" s="691" t="s">
        <v>2763</v>
      </c>
      <c r="B58" s="260">
        <f t="shared" ref="B58:B65" si="17">ROUND($C$48*C58*D58,0)</f>
        <v>0</v>
      </c>
      <c r="C58" s="198">
        <f t="shared" si="16"/>
        <v>0</v>
      </c>
      <c r="D58" s="1162">
        <v>0.25</v>
      </c>
      <c r="E58" s="692"/>
      <c r="F58" s="1101">
        <f t="shared" si="15"/>
        <v>0</v>
      </c>
      <c r="G58" s="3318"/>
      <c r="H58" s="1102">
        <f>项目基本情况!B37</f>
        <v>0</v>
      </c>
      <c r="I58" s="1106">
        <f>SUMIF(修正!A45:A56,H58,修正!C45:C56)</f>
        <v>0</v>
      </c>
      <c r="J58" s="1110"/>
      <c r="K58" s="1143"/>
      <c r="L58" s="939"/>
      <c r="M58" s="939"/>
      <c r="N58" s="939"/>
      <c r="O58" s="939"/>
    </row>
    <row r="59" spans="1:15" s="690" customFormat="1">
      <c r="A59" s="691" t="s">
        <v>2764</v>
      </c>
      <c r="B59" s="260">
        <f t="shared" si="17"/>
        <v>0</v>
      </c>
      <c r="C59" s="198">
        <f t="shared" si="16"/>
        <v>0</v>
      </c>
      <c r="D59" s="1162">
        <v>0.25</v>
      </c>
      <c r="E59" s="692"/>
      <c r="F59" s="1101">
        <f t="shared" si="15"/>
        <v>0</v>
      </c>
      <c r="G59" s="3318"/>
      <c r="H59" s="1102">
        <f>项目基本情况!B37</f>
        <v>0</v>
      </c>
      <c r="I59" s="1106">
        <f>SUMIF(修正!A45:A56,H59,修正!D45:D56)</f>
        <v>0</v>
      </c>
      <c r="J59" s="1110"/>
      <c r="K59" s="1142"/>
      <c r="L59" s="939"/>
      <c r="M59" s="939"/>
      <c r="N59" s="939"/>
      <c r="O59" s="939"/>
    </row>
    <row r="60" spans="1:15" s="690" customFormat="1">
      <c r="A60" s="691" t="s">
        <v>2765</v>
      </c>
      <c r="B60" s="260">
        <f t="shared" si="17"/>
        <v>0</v>
      </c>
      <c r="C60" s="198">
        <f t="shared" si="16"/>
        <v>0</v>
      </c>
      <c r="D60" s="1162">
        <v>0.25</v>
      </c>
      <c r="E60" s="692"/>
      <c r="F60" s="1101">
        <f t="shared" si="15"/>
        <v>0</v>
      </c>
      <c r="G60" s="3318"/>
      <c r="H60" s="1102">
        <f>项目基本情况!B37</f>
        <v>0</v>
      </c>
      <c r="I60" s="1106">
        <f>SUMIF(修正!A45:A56,H60,修正!E45:E56)</f>
        <v>0</v>
      </c>
      <c r="J60" s="1110"/>
      <c r="K60" s="1143"/>
      <c r="L60" s="939"/>
      <c r="M60" s="939"/>
      <c r="N60" s="939"/>
      <c r="O60" s="939"/>
    </row>
    <row r="61" spans="1:15" s="690" customFormat="1">
      <c r="A61" s="691" t="s">
        <v>2766</v>
      </c>
      <c r="B61" s="260">
        <f t="shared" si="17"/>
        <v>0</v>
      </c>
      <c r="C61" s="198">
        <f t="shared" si="16"/>
        <v>0</v>
      </c>
      <c r="D61" s="1162">
        <v>0.25</v>
      </c>
      <c r="E61" s="259">
        <f>'数据-汇总表'!E11</f>
        <v>0</v>
      </c>
      <c r="F61" s="1101">
        <f t="shared" si="15"/>
        <v>0</v>
      </c>
      <c r="G61" s="2703" t="s">
        <v>2767</v>
      </c>
      <c r="H61" s="1102">
        <f>项目基本情况!C37</f>
        <v>0</v>
      </c>
      <c r="I61" s="1106">
        <f>SUMIF(修正!A45:A56,H61,修正!F45:F56)</f>
        <v>0</v>
      </c>
      <c r="J61" s="1110"/>
      <c r="K61" s="1142"/>
      <c r="L61" s="939"/>
      <c r="M61" s="939"/>
      <c r="N61" s="939"/>
      <c r="O61" s="939"/>
    </row>
    <row r="62" spans="1:15" s="690" customFormat="1">
      <c r="A62" s="691" t="s">
        <v>2768</v>
      </c>
      <c r="B62" s="260">
        <f t="shared" si="17"/>
        <v>0</v>
      </c>
      <c r="C62" s="198">
        <f t="shared" si="16"/>
        <v>0</v>
      </c>
      <c r="D62" s="1162">
        <v>0.25</v>
      </c>
      <c r="E62" s="259">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2770</v>
      </c>
      <c r="B63" s="260">
        <f t="shared" si="17"/>
        <v>0</v>
      </c>
      <c r="C63" s="198">
        <f t="shared" si="16"/>
        <v>0</v>
      </c>
      <c r="D63" s="1162">
        <v>0.25</v>
      </c>
      <c r="E63" s="259">
        <f>'数据-汇总表'!E13</f>
        <v>0</v>
      </c>
      <c r="F63" s="1101">
        <f t="shared" si="15"/>
        <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2772</v>
      </c>
      <c r="B64" s="260">
        <f t="shared" si="17"/>
        <v>0</v>
      </c>
      <c r="C64" s="198">
        <f t="shared" si="16"/>
        <v>0</v>
      </c>
      <c r="D64" s="1162">
        <v>0.25</v>
      </c>
      <c r="E64" s="259">
        <f>'数据-汇总表'!E14</f>
        <v>0</v>
      </c>
      <c r="F64" s="1101">
        <f t="shared" si="15"/>
        <v>0</v>
      </c>
      <c r="G64" s="2703" t="s">
        <v>2762</v>
      </c>
      <c r="H64" s="1102">
        <f>项目基本情况!B37</f>
        <v>0</v>
      </c>
      <c r="I64" s="1106">
        <f>SUMIF(修正!A45:A56,H64,修正!H45:H56)</f>
        <v>0</v>
      </c>
      <c r="J64" s="1110"/>
      <c r="K64" s="1143"/>
      <c r="L64" s="939"/>
      <c r="M64" s="939"/>
      <c r="N64" s="939"/>
      <c r="O64" s="939"/>
    </row>
    <row r="65" spans="1:17" s="690" customFormat="1" ht="15" thickBot="1">
      <c r="A65" s="691" t="s">
        <v>2773</v>
      </c>
      <c r="B65" s="260">
        <f t="shared" si="17"/>
        <v>0</v>
      </c>
      <c r="C65" s="198">
        <f t="shared" si="16"/>
        <v>0</v>
      </c>
      <c r="D65" s="1162">
        <v>0.25</v>
      </c>
      <c r="E65" s="259">
        <f>'数据-汇总表'!E15</f>
        <v>0</v>
      </c>
      <c r="F65" s="1101">
        <f t="shared" si="15"/>
        <v>0</v>
      </c>
      <c r="G65" s="2704" t="s">
        <v>2767</v>
      </c>
      <c r="H65" s="1112">
        <f>项目基本情况!C37</f>
        <v>0</v>
      </c>
      <c r="I65" s="1108">
        <f>SUMIF(修正!A45:A56,H65,修正!H45:H56)</f>
        <v>0</v>
      </c>
      <c r="J65" s="1111"/>
      <c r="K65" s="1142"/>
      <c r="L65" s="939"/>
      <c r="M65" s="939"/>
      <c r="N65" s="939"/>
      <c r="O65" s="939"/>
    </row>
    <row r="66" spans="1:17" s="690" customFormat="1" ht="13.5" thickBot="1">
      <c r="A66" s="693" t="s">
        <v>2774</v>
      </c>
      <c r="B66" s="694" t="s">
        <v>28</v>
      </c>
      <c r="C66" s="694" t="s">
        <v>29</v>
      </c>
      <c r="D66" s="694" t="s">
        <v>1029</v>
      </c>
      <c r="E66" s="694">
        <f>IF(B46="楼面地价",SUM(E56:E65),'数据-汇总表'!D3)</f>
        <v>50091</v>
      </c>
      <c r="F66" s="695">
        <f>IF(B46="楼面地价",SUM(F56:F65),ROUND(C48*E66/10000,0))</f>
        <v>138336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2668</v>
      </c>
      <c r="B69" s="757"/>
      <c r="C69" s="762"/>
      <c r="D69" s="762"/>
      <c r="E69" s="762"/>
      <c r="F69" s="763"/>
      <c r="G69" s="763"/>
      <c r="H69" s="762"/>
      <c r="I69" s="762"/>
      <c r="J69" s="1157"/>
      <c r="K69" s="1158"/>
      <c r="L69" s="1159"/>
      <c r="M69" s="1157"/>
      <c r="N69" s="1157"/>
      <c r="O69" s="1157"/>
      <c r="P69" s="501"/>
      <c r="Q69" s="502"/>
    </row>
    <row r="70" spans="1:17" s="506" customFormat="1" ht="15">
      <c r="A70" s="2705" t="s">
        <v>2775</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5"/>
    </row>
    <row r="71" spans="1:17" s="115" customFormat="1" ht="30" customHeight="1">
      <c r="A71" s="2706" t="s">
        <v>2776</v>
      </c>
      <c r="B71" s="330" t="str">
        <f>"北京市平均增长率"&amp;TEXT(SUMIF(基准地价修正!N21:N25,A71,基准地价修正!P21:P25),"0.00%")</f>
        <v>北京市平均增长率2.41%</v>
      </c>
      <c r="C71" s="601">
        <v>100</v>
      </c>
      <c r="D71" s="593">
        <v>99</v>
      </c>
      <c r="E71" s="593">
        <v>98</v>
      </c>
      <c r="F71" s="593">
        <v>97</v>
      </c>
      <c r="G71" s="593">
        <v>96</v>
      </c>
      <c r="H71" s="593">
        <v>95</v>
      </c>
      <c r="I71" s="593">
        <v>94</v>
      </c>
      <c r="J71" s="593">
        <v>93</v>
      </c>
      <c r="K71" s="593">
        <v>92</v>
      </c>
      <c r="L71" s="593">
        <v>91</v>
      </c>
      <c r="M71" s="1565"/>
      <c r="N71" s="593"/>
      <c r="O71" s="1566"/>
      <c r="P71" s="502"/>
    </row>
    <row r="72" spans="1:17" s="115" customFormat="1" ht="15.75" thickBot="1">
      <c r="A72" s="513" t="s">
        <v>2579</v>
      </c>
      <c r="B72" s="514"/>
      <c r="C72" s="515"/>
      <c r="D72" s="516"/>
      <c r="E72" s="516"/>
      <c r="F72" s="516"/>
      <c r="G72" s="516"/>
      <c r="H72" s="516"/>
      <c r="I72" s="516"/>
      <c r="J72" s="516"/>
      <c r="K72" s="516"/>
      <c r="L72" s="516"/>
      <c r="M72" s="517"/>
      <c r="N72" s="516"/>
      <c r="O72" s="1160"/>
      <c r="P72" s="502"/>
      <c r="Q72" s="502"/>
    </row>
    <row r="73" spans="1:17" s="115" customFormat="1" ht="15">
      <c r="A73" s="519" t="s">
        <v>2544</v>
      </c>
      <c r="B73" s="508"/>
      <c r="C73" s="520" t="s">
        <v>2646</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2582</v>
      </c>
      <c r="B75" s="526" t="s">
        <v>2548</v>
      </c>
      <c r="C75" s="2949" t="s">
        <v>3227</v>
      </c>
      <c r="D75" s="2949"/>
      <c r="E75" s="528"/>
      <c r="F75" s="528"/>
      <c r="G75" s="528"/>
      <c r="H75" s="528"/>
      <c r="I75" s="528"/>
      <c r="J75" s="528"/>
      <c r="K75" s="529"/>
      <c r="L75" s="530"/>
      <c r="M75" s="531"/>
      <c r="N75" s="1150"/>
      <c r="O75" s="1150"/>
      <c r="P75" s="45"/>
      <c r="Q75" s="502"/>
    </row>
    <row r="76" spans="1:17" ht="15.75" thickBot="1">
      <c r="A76" s="532"/>
      <c r="B76" s="533"/>
      <c r="C76" s="534">
        <v>100</v>
      </c>
      <c r="D76" s="534"/>
      <c r="E76" s="534"/>
      <c r="F76" s="534"/>
      <c r="G76" s="534"/>
      <c r="H76" s="534"/>
      <c r="I76" s="534"/>
      <c r="J76" s="534"/>
      <c r="K76" s="534"/>
      <c r="L76" s="534"/>
      <c r="M76" s="535"/>
      <c r="N76" s="1151"/>
      <c r="O76" s="1151"/>
      <c r="P76" s="45"/>
      <c r="Q76" s="502"/>
    </row>
    <row r="77" spans="1:17" ht="27.75" thickTop="1">
      <c r="A77" s="532"/>
      <c r="B77" s="536" t="s">
        <v>2551</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1"/>
      <c r="O79" s="1151"/>
      <c r="P79" s="45"/>
      <c r="Q79" s="502"/>
    </row>
    <row r="80" spans="1:17" ht="15">
      <c r="A80" s="532"/>
      <c r="B80" s="546"/>
      <c r="C80" s="547">
        <v>0</v>
      </c>
      <c r="D80" s="547">
        <v>1</v>
      </c>
      <c r="E80" s="547">
        <v>2</v>
      </c>
      <c r="F80" s="547">
        <v>3</v>
      </c>
      <c r="G80" s="547">
        <v>4</v>
      </c>
      <c r="H80" s="547">
        <v>5</v>
      </c>
      <c r="I80" s="547">
        <v>6</v>
      </c>
      <c r="J80" s="547">
        <v>7</v>
      </c>
      <c r="K80" s="548">
        <v>8</v>
      </c>
      <c r="L80" s="549">
        <v>9</v>
      </c>
      <c r="M80" s="550">
        <v>10</v>
      </c>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f>B12</f>
        <v>0</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0</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0</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50"/>
      <c r="O88" s="1150"/>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1"/>
      <c r="O89" s="1151"/>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50"/>
      <c r="O90" s="1150"/>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1"/>
      <c r="O91" s="1151"/>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50"/>
      <c r="O92" s="1150"/>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1"/>
      <c r="O93" s="1151"/>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50"/>
      <c r="O94" s="1150"/>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1"/>
      <c r="O95" s="1151"/>
      <c r="P95" s="45"/>
      <c r="Q95" s="502"/>
    </row>
    <row r="96" spans="1:17" s="115" customFormat="1" ht="15.75" thickTop="1">
      <c r="A96" s="577"/>
      <c r="B96" s="536" t="s">
        <v>2778</v>
      </c>
      <c r="C96" s="576" t="s">
        <v>2591</v>
      </c>
      <c r="D96" s="576" t="s">
        <v>2592</v>
      </c>
      <c r="E96" s="576" t="s">
        <v>2593</v>
      </c>
      <c r="F96" s="576" t="s">
        <v>2594</v>
      </c>
      <c r="G96" s="576" t="s">
        <v>2595</v>
      </c>
      <c r="H96" s="576"/>
      <c r="I96" s="576"/>
      <c r="J96" s="576"/>
      <c r="K96" s="576"/>
      <c r="L96" s="696"/>
      <c r="M96" s="620"/>
      <c r="N96" s="1149"/>
      <c r="O96" s="1149"/>
      <c r="P96" s="45"/>
      <c r="Q96" s="502"/>
    </row>
    <row r="97" spans="1:17" s="115"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5"/>
      <c r="Q97" s="502"/>
    </row>
    <row r="98" spans="1:17" s="115" customFormat="1" ht="27.75" thickTop="1">
      <c r="A98" s="577"/>
      <c r="B98" s="536" t="s">
        <v>2779</v>
      </c>
      <c r="C98" s="571" t="s">
        <v>2591</v>
      </c>
      <c r="D98" s="571" t="s">
        <v>2592</v>
      </c>
      <c r="E98" s="571" t="s">
        <v>2593</v>
      </c>
      <c r="F98" s="571" t="s">
        <v>2594</v>
      </c>
      <c r="G98" s="571" t="s">
        <v>2595</v>
      </c>
      <c r="H98" s="576"/>
      <c r="I98" s="576"/>
      <c r="J98" s="576"/>
      <c r="K98" s="576"/>
      <c r="L98" s="576"/>
      <c r="M98" s="620"/>
      <c r="N98" s="1149"/>
      <c r="O98" s="1149"/>
      <c r="P98" s="45"/>
      <c r="Q98" s="502"/>
    </row>
    <row r="99" spans="1:17" s="115" customFormat="1" ht="15.75" thickBot="1">
      <c r="A99" s="577"/>
      <c r="B99" s="541"/>
      <c r="C99" s="542">
        <v>100</v>
      </c>
      <c r="D99" s="542">
        <f>C99-$K25</f>
        <v>97</v>
      </c>
      <c r="E99" s="542">
        <f>D99-$K25</f>
        <v>94</v>
      </c>
      <c r="F99" s="542">
        <f>E99-$K25</f>
        <v>91</v>
      </c>
      <c r="G99" s="542">
        <f>F99-$K25</f>
        <v>88</v>
      </c>
      <c r="H99" s="542"/>
      <c r="I99" s="542"/>
      <c r="J99" s="542"/>
      <c r="K99" s="542"/>
      <c r="L99" s="542"/>
      <c r="M99" s="543"/>
      <c r="N99" s="1151"/>
      <c r="O99" s="1151"/>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2"/>
      <c r="O100" s="1152"/>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2"/>
      <c r="O101" s="1152"/>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3"/>
      <c r="N102" s="1152"/>
      <c r="O102" s="1152"/>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3"/>
      <c r="N103" s="1152"/>
      <c r="O103" s="1152"/>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0"/>
      <c r="O104" s="1150"/>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1"/>
      <c r="O105" s="1151"/>
      <c r="P105" s="45"/>
      <c r="Q105" s="502"/>
    </row>
    <row r="106" spans="1:17" ht="27.75" thickTop="1">
      <c r="A106" s="532"/>
      <c r="B106" s="536" t="s">
        <v>2685</v>
      </c>
      <c r="C106" s="2950" t="s">
        <v>3052</v>
      </c>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2743</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0</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0</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0</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2557</v>
      </c>
      <c r="B116" s="526" t="s">
        <v>2784</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0</v>
      </c>
      <c r="D117" s="593">
        <v>10000</v>
      </c>
      <c r="E117" s="593">
        <v>20000</v>
      </c>
      <c r="F117" s="593">
        <v>30000</v>
      </c>
      <c r="G117" s="593">
        <v>40000</v>
      </c>
      <c r="H117" s="593"/>
      <c r="I117" s="593"/>
      <c r="J117" s="594"/>
      <c r="K117" s="594"/>
      <c r="L117" s="595"/>
      <c r="M117" s="596"/>
      <c r="N117" s="1150"/>
      <c r="O117" s="1150"/>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1"/>
      <c r="O118" s="1151"/>
      <c r="P118" s="45"/>
      <c r="Q118" s="502"/>
    </row>
    <row r="119" spans="1:17" ht="15" thickTop="1">
      <c r="A119" s="597"/>
      <c r="B119" s="536" t="s">
        <v>2785</v>
      </c>
      <c r="C119" s="581" t="s">
        <v>3053</v>
      </c>
      <c r="D119" s="581" t="s">
        <v>3054</v>
      </c>
      <c r="E119" s="581" t="s">
        <v>3055</v>
      </c>
      <c r="F119" s="581" t="s">
        <v>3056</v>
      </c>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1"/>
      <c r="O120" s="1151"/>
      <c r="P120" s="45"/>
      <c r="Q120" s="502"/>
    </row>
    <row r="121" spans="1:17" ht="15" thickTop="1">
      <c r="A121" s="597"/>
      <c r="B121" s="536" t="s">
        <v>2786</v>
      </c>
      <c r="C121" s="552" t="s">
        <v>3057</v>
      </c>
      <c r="D121" s="552" t="s">
        <v>3058</v>
      </c>
      <c r="E121" s="552" t="s">
        <v>3059</v>
      </c>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1"/>
      <c r="O122" s="1151"/>
      <c r="P122" s="45"/>
      <c r="Q122" s="502"/>
    </row>
    <row r="123" spans="1:17" s="469" customFormat="1" ht="15" thickTop="1">
      <c r="A123" s="591"/>
      <c r="B123" s="536" t="s">
        <v>2787</v>
      </c>
      <c r="C123" s="2951" t="s">
        <v>3060</v>
      </c>
      <c r="D123" s="2951" t="s">
        <v>3061</v>
      </c>
      <c r="E123" s="2951" t="s">
        <v>3062</v>
      </c>
      <c r="F123" s="2951" t="s">
        <v>3063</v>
      </c>
      <c r="G123" s="2951" t="s">
        <v>3064</v>
      </c>
      <c r="H123" s="2952" t="s">
        <v>3065</v>
      </c>
      <c r="I123" s="2952" t="s">
        <v>3066</v>
      </c>
      <c r="J123" s="581"/>
      <c r="K123" s="582"/>
      <c r="L123" s="583"/>
      <c r="M123" s="584"/>
      <c r="N123" s="1152"/>
      <c r="O123" s="1152"/>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2"/>
      <c r="O124" s="1152"/>
      <c r="P124" s="556"/>
      <c r="Q124" s="557"/>
    </row>
    <row r="125" spans="1:17" ht="15" thickTop="1">
      <c r="A125" s="597"/>
      <c r="B125" s="536" t="s">
        <v>2788</v>
      </c>
      <c r="C125" s="552" t="s">
        <v>3067</v>
      </c>
      <c r="D125" s="552" t="s">
        <v>3068</v>
      </c>
      <c r="E125" s="581" t="s">
        <v>3069</v>
      </c>
      <c r="F125" s="581" t="s">
        <v>3070</v>
      </c>
      <c r="G125" s="581" t="s">
        <v>3071</v>
      </c>
      <c r="H125" s="581"/>
      <c r="I125" s="581"/>
      <c r="J125" s="581"/>
      <c r="K125" s="582"/>
      <c r="L125" s="583"/>
      <c r="M125" s="584"/>
      <c r="N125" s="1150"/>
      <c r="O125" s="1150"/>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1"/>
      <c r="O126" s="1151"/>
      <c r="P126" s="45"/>
      <c r="Q126" s="502"/>
    </row>
    <row r="127" spans="1:17" ht="15" thickTop="1">
      <c r="A127" s="597"/>
      <c r="B127" s="536">
        <f>B43</f>
        <v>0</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0</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0</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1"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0">
        <f ca="1">C6+C10+C12</f>
        <v>0</v>
      </c>
      <c r="D5" s="1820" t="s">
        <v>1601</v>
      </c>
      <c r="E5" s="1291"/>
      <c r="F5" s="1292"/>
      <c r="G5" s="1849"/>
      <c r="H5" s="342">
        <v>1</v>
      </c>
      <c r="I5" s="343" t="s">
        <v>1600</v>
      </c>
      <c r="J5" s="1290">
        <f ca="1">J6+J10+J12</f>
        <v>0</v>
      </c>
      <c r="K5" s="1820" t="s">
        <v>1601</v>
      </c>
      <c r="L5" s="1291"/>
      <c r="M5" s="1292"/>
    </row>
    <row r="6" spans="1:37" ht="18" customHeight="1">
      <c r="A6" s="1289" t="s">
        <v>1035</v>
      </c>
      <c r="B6" s="3319" t="s">
        <v>1403</v>
      </c>
      <c r="C6" s="1294">
        <f ca="1">ROUND(F6*F8*F7*(1-F9),0)</f>
        <v>0</v>
      </c>
      <c r="D6" s="162" t="s">
        <v>3024</v>
      </c>
      <c r="E6" s="345" t="s">
        <v>1405</v>
      </c>
      <c r="F6" s="346">
        <f ca="1">INDIRECT("'数据-取费表'!u"&amp;$G$1)</f>
        <v>0</v>
      </c>
      <c r="G6" s="1849"/>
      <c r="H6" s="1289" t="s">
        <v>1035</v>
      </c>
      <c r="I6" s="3319" t="s">
        <v>1403</v>
      </c>
      <c r="J6" s="344">
        <f ca="1">ROUND(M6*M8*M7*(1-M9),0)</f>
        <v>0</v>
      </c>
      <c r="K6" s="1832" t="s">
        <v>3025</v>
      </c>
      <c r="L6" s="345" t="s">
        <v>1405</v>
      </c>
      <c r="M6" s="346">
        <f ca="1">INDIRECT("'数据-取费表'!z"&amp;$G$1)</f>
        <v>0</v>
      </c>
    </row>
    <row r="7" spans="1:37" ht="18" customHeight="1">
      <c r="A7" s="1293"/>
      <c r="B7" s="3320"/>
      <c r="C7" s="1295"/>
      <c r="D7" s="350"/>
      <c r="E7" s="1296" t="s">
        <v>1406</v>
      </c>
      <c r="F7" s="346">
        <f ca="1">IF(INDIRECT("'数据-取费表'!ah"&amp;$G$1)="",INDIRECT("'数据-取费表'!k"&amp;$G$1),INDIRECT("'数据-取费表'!ah"&amp;$G$1))</f>
        <v>0</v>
      </c>
      <c r="G7" s="1849"/>
      <c r="H7" s="347"/>
      <c r="I7" s="3320"/>
      <c r="J7" s="349"/>
      <c r="K7" s="350"/>
      <c r="L7" s="345" t="s">
        <v>1406</v>
      </c>
      <c r="M7" s="346">
        <f ca="1">F7</f>
        <v>0</v>
      </c>
    </row>
    <row r="8" spans="1:37" ht="18" customHeight="1">
      <c r="A8" s="347"/>
      <c r="B8" s="3320"/>
      <c r="C8" s="349"/>
      <c r="D8" s="350"/>
      <c r="E8" s="345" t="s">
        <v>1407</v>
      </c>
      <c r="F8" s="346">
        <f ca="1">INDIRECT("'数据-取费表'!ai"&amp;$G$1)</f>
        <v>0</v>
      </c>
      <c r="G8" s="1849"/>
      <c r="H8" s="347"/>
      <c r="I8" s="3320"/>
      <c r="J8" s="349"/>
      <c r="K8" s="350"/>
      <c r="L8" s="345" t="s">
        <v>1407</v>
      </c>
      <c r="M8" s="346">
        <f ca="1">INDIRECT("'数据-取费表'!ai"&amp;$G$1)</f>
        <v>0</v>
      </c>
    </row>
    <row r="9" spans="1:37" ht="18" customHeight="1">
      <c r="A9" s="347"/>
      <c r="B9" s="3321"/>
      <c r="C9" s="349"/>
      <c r="D9" s="350"/>
      <c r="E9" s="345" t="s">
        <v>1408</v>
      </c>
      <c r="F9" s="355">
        <f ca="1">INDIRECT("'数据-取费表'!w"&amp;$G$1)</f>
        <v>0</v>
      </c>
      <c r="G9" s="1849"/>
      <c r="H9" s="347"/>
      <c r="I9" s="3321"/>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33" t="s">
        <v>3037</v>
      </c>
      <c r="L10" s="356" t="s">
        <v>1410</v>
      </c>
      <c r="M10" s="1364"/>
    </row>
    <row r="11" spans="1:37" ht="18" customHeight="1">
      <c r="A11" s="351"/>
      <c r="B11" s="1823" t="s">
        <v>1602</v>
      </c>
      <c r="C11" s="1176"/>
      <c r="D11" s="350"/>
      <c r="E11" s="356" t="s">
        <v>1412</v>
      </c>
      <c r="F11" s="357">
        <f ca="1">'数据-取费表'!B39</f>
        <v>1.4999999999999999E-2</v>
      </c>
      <c r="G11" s="1849"/>
      <c r="H11" s="1297"/>
      <c r="I11" s="1823" t="s">
        <v>1603</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5" t="s">
        <v>1417</v>
      </c>
      <c r="C14" s="361">
        <f ca="1">ROUND(INDIRECT("'数据-取费表'!l"&amp;$G$1)*F43+'数据-取费表'!L14*INDIRECT("'数据-取费表'!S"&amp;$G$1),0)</f>
        <v>0</v>
      </c>
      <c r="D14" s="1798" t="s">
        <v>1418</v>
      </c>
      <c r="E14" s="1792"/>
      <c r="F14" s="362"/>
      <c r="G14" s="1849"/>
      <c r="H14" s="1199" t="s">
        <v>1035</v>
      </c>
      <c r="I14" s="345" t="s">
        <v>1419</v>
      </c>
      <c r="J14" s="24">
        <f ca="1">C29</f>
        <v>0</v>
      </c>
      <c r="K14" s="15"/>
      <c r="L14" s="977"/>
      <c r="M14" s="978"/>
    </row>
    <row r="15" spans="1:37" s="1856" customFormat="1" ht="18" customHeight="1" thickBot="1">
      <c r="A15" s="1199" t="s">
        <v>1036</v>
      </c>
      <c r="B15" s="345" t="s">
        <v>1420</v>
      </c>
      <c r="C15" s="24">
        <f ca="1">ROUND(C14*F15,0)</f>
        <v>0</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ROUND(INDIRECT("'数据-取费表'!l"&amp;$G$1)*F43*F16,0)</f>
        <v>0</v>
      </c>
      <c r="D16" s="345" t="s">
        <v>1421</v>
      </c>
      <c r="E16" s="345" t="s">
        <v>1422</v>
      </c>
      <c r="F16" s="365">
        <f ca="1">IF(INDIRECT("'数据-取费表'!c"&amp;$G$1)="住宅",'数据-取费表'!B34,0)</f>
        <v>0</v>
      </c>
      <c r="G16" s="1849"/>
      <c r="H16" s="1327" t="s">
        <v>1030</v>
      </c>
      <c r="I16" s="1328" t="s">
        <v>1424</v>
      </c>
      <c r="J16" s="353">
        <f ca="1">ROUND(J17+J22+J23+J24,0)</f>
        <v>0</v>
      </c>
      <c r="K16" s="1335" t="s">
        <v>1425</v>
      </c>
      <c r="L16" s="1336"/>
      <c r="M16" s="1292"/>
    </row>
    <row r="17" spans="1:37" s="1856" customFormat="1" ht="18" customHeight="1">
      <c r="A17" s="1199" t="s">
        <v>1390</v>
      </c>
      <c r="B17" s="345" t="s">
        <v>1426</v>
      </c>
      <c r="C17" s="24">
        <f ca="1">ROUND(F17*(F43+INDIRECT("'数据-取费表'!S"&amp;$G$1)),0)</f>
        <v>0</v>
      </c>
      <c r="D17" s="345" t="s">
        <v>1427</v>
      </c>
      <c r="E17" s="345" t="s">
        <v>1428</v>
      </c>
      <c r="F17" s="26">
        <f>'数据-取费表'!B35</f>
        <v>0</v>
      </c>
      <c r="G17" s="1852"/>
      <c r="H17" s="1199"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0</v>
      </c>
      <c r="D18" s="345" t="s">
        <v>1421</v>
      </c>
      <c r="E18" s="345" t="s">
        <v>1422</v>
      </c>
      <c r="F18" s="365">
        <f>'数据-取费表'!B36</f>
        <v>1.4999999999999999E-2</v>
      </c>
      <c r="G18" s="1852"/>
      <c r="H18" s="1199" t="s">
        <v>1034</v>
      </c>
      <c r="I18" s="345" t="s">
        <v>1433</v>
      </c>
      <c r="J18" s="24">
        <f ca="1">ROUND(J5*M18/(1+'数据-取费表'!C42),0)</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0</v>
      </c>
      <c r="D19" s="138" t="s">
        <v>1436</v>
      </c>
      <c r="E19" s="1816"/>
      <c r="F19" s="26"/>
      <c r="G19" s="1849"/>
      <c r="H19" s="1199"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199" t="s">
        <v>1039</v>
      </c>
      <c r="B20" s="345" t="s">
        <v>1439</v>
      </c>
      <c r="C20" s="24">
        <f ca="1">ROUND(C19*F20,0)</f>
        <v>0</v>
      </c>
      <c r="D20" s="367" t="s">
        <v>1440</v>
      </c>
      <c r="E20" s="345" t="s">
        <v>1422</v>
      </c>
      <c r="F20" s="365">
        <f>'数据-取费表'!B37</f>
        <v>0.02</v>
      </c>
      <c r="G20" s="1852"/>
      <c r="H20" s="1199" t="s">
        <v>1389</v>
      </c>
      <c r="I20" s="162" t="s">
        <v>1441</v>
      </c>
      <c r="J20" s="25">
        <f ca="1">ROUND(M20*M21,0)</f>
        <v>0</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v>
      </c>
      <c r="D21" s="367" t="s">
        <v>1445</v>
      </c>
      <c r="E21" s="345" t="s">
        <v>1446</v>
      </c>
      <c r="F21" s="365">
        <f>'数据-取费表'!B38</f>
        <v>0.03</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ROUND(J14*M22,0)</f>
        <v>0</v>
      </c>
      <c r="K22" s="1796" t="s">
        <v>1450</v>
      </c>
      <c r="L22" s="345" t="s">
        <v>1422</v>
      </c>
      <c r="M22" s="372">
        <f ca="1">INDIRECT("'数据-取费表'!Ak"&amp;$G$1)</f>
        <v>0</v>
      </c>
    </row>
    <row r="23" spans="1:37" s="1856" customFormat="1" ht="18" customHeight="1">
      <c r="A23" s="1199"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5" t="s">
        <v>1461</v>
      </c>
      <c r="C25" s="24"/>
      <c r="D25" s="138" t="s">
        <v>1462</v>
      </c>
      <c r="E25" s="1816"/>
      <c r="F25" s="26"/>
      <c r="G25" s="1849"/>
      <c r="H25" s="1327" t="s">
        <v>1031</v>
      </c>
      <c r="I25" s="1342" t="s">
        <v>1463</v>
      </c>
      <c r="J25" s="353">
        <f ca="1">J5-J16</f>
        <v>0</v>
      </c>
      <c r="K25" s="1343" t="s">
        <v>1464</v>
      </c>
      <c r="L25" s="1344"/>
      <c r="M25" s="1345"/>
    </row>
    <row r="26" spans="1:37" ht="18" customHeight="1">
      <c r="A26" s="1199"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199"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0</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IF(项目基本情况!B11="自然人","——",ROUND(C5*F32/(1+'数据-取费表'!C42),0))</f>
        <v>0</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89" t="s">
        <v>1389</v>
      </c>
      <c r="B34" s="162" t="s">
        <v>1441</v>
      </c>
      <c r="C34" s="25">
        <f ca="1">IF(项目基本情况!B11="自然人","——",ROUND(F34*F35,))</f>
        <v>0</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0</v>
      </c>
      <c r="G35" s="1849"/>
      <c r="H35" s="743"/>
      <c r="I35" s="1858"/>
      <c r="J35" s="1859"/>
      <c r="K35" s="1860"/>
      <c r="L35" s="1857"/>
      <c r="M35" s="1857"/>
    </row>
    <row r="36" spans="1:18" ht="18" customHeight="1">
      <c r="A36" s="1350"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199"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3">
        <f ca="1">C5-C30</f>
        <v>0</v>
      </c>
      <c r="D39" s="1343" t="s">
        <v>1484</v>
      </c>
      <c r="E39" s="1344"/>
      <c r="F39" s="1345"/>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3"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7" t="s">
        <v>1409</v>
      </c>
      <c r="C53" s="359">
        <f ca="1">ROUND(IF(F53="押一",C49/12*F11,IF(F53="押二",C49/12*2*F11,IF(F53="押三",C49/12*3*F11,C54*F11))),0)</f>
        <v>0</v>
      </c>
      <c r="D53" s="1822" t="s">
        <v>3038</v>
      </c>
      <c r="E53" s="356" t="s">
        <v>1410</v>
      </c>
      <c r="F53" s="1364"/>
      <c r="I53" s="1903" t="s">
        <v>1547</v>
      </c>
      <c r="J53" s="1904" t="b">
        <f>IF(M47="住宅",J51,IF(D1="——",MIN(J51,L48),IF(D1="在建（套用方法）",MIN(J51,L48-'数据-取费表'!B24),IF(D1="土地（套用方法）",MIN(J51,L48-'数据-取费表'!B20)))))</f>
        <v>0</v>
      </c>
      <c r="K53" s="3322" t="s">
        <v>1548</v>
      </c>
      <c r="L53" s="3323"/>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5" t="s">
        <v>1424</v>
      </c>
      <c r="C58" s="359">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5">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69">
        <f t="shared" si="0"/>
        <v>9</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3"/>
      <c r="C63" s="29"/>
      <c r="D63" s="1183"/>
      <c r="E63" s="1167"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5">
        <f t="shared" ca="1" si="0"/>
        <v>0</v>
      </c>
      <c r="O66" s="1882" t="s">
        <v>1041</v>
      </c>
      <c r="P66" s="1883" t="s">
        <v>1558</v>
      </c>
      <c r="Q66" s="1884" t="e">
        <f ca="1">L60</f>
        <v>#DIV/0!</v>
      </c>
      <c r="R66" s="1884" t="s">
        <v>1581</v>
      </c>
    </row>
    <row r="67" spans="1:18" s="1840" customFormat="1" ht="16.5" thickBot="1">
      <c r="A67" s="1174" t="s">
        <v>1031</v>
      </c>
      <c r="B67" s="1184" t="s">
        <v>1463</v>
      </c>
      <c r="C67" s="359">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4" t="e">
        <f ca="1">ROUND(C67*(1-((1+F70)/(1+F68))^F69)/(F68-F70),0)</f>
        <v>#DIV/0!</v>
      </c>
      <c r="D68" s="1182" t="s">
        <v>1469</v>
      </c>
      <c r="E68" s="1167" t="s">
        <v>1470</v>
      </c>
      <c r="F68" s="355">
        <f ca="1">F40</f>
        <v>0</v>
      </c>
      <c r="O68" s="1892" t="s">
        <v>1043</v>
      </c>
      <c r="P68" s="1932" t="s">
        <v>1583</v>
      </c>
      <c r="Q68" s="1884">
        <f ca="1">ROUND(Q69-Q70*Q71,0)</f>
        <v>0</v>
      </c>
      <c r="R68" s="1884" t="s">
        <v>1051</v>
      </c>
    </row>
    <row r="69" spans="1:18" s="1840" customFormat="1" ht="13.5" thickBot="1">
      <c r="A69" s="1168"/>
      <c r="B69" s="1169"/>
      <c r="C69" s="349"/>
      <c r="D69" s="1187" t="s">
        <v>1473</v>
      </c>
      <c r="E69" s="1167" t="s">
        <v>1474</v>
      </c>
      <c r="F69" s="377">
        <f ca="1">F41</f>
        <v>0</v>
      </c>
      <c r="O69" s="1892" t="s">
        <v>1048</v>
      </c>
      <c r="P69" s="1932" t="s">
        <v>1584</v>
      </c>
      <c r="Q69" s="1884">
        <f ca="1">C39</f>
        <v>0</v>
      </c>
      <c r="R69" s="1884" t="s">
        <v>1529</v>
      </c>
    </row>
    <row r="70" spans="1:18" s="1840" customFormat="1" ht="13.5" thickBot="1">
      <c r="A70" s="1171"/>
      <c r="B70" s="1172"/>
      <c r="C70" s="353"/>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0" t="e">
        <f ca="1">ROUND(C68/F71,0)</f>
        <v>#DIV/0!</v>
      </c>
      <c r="D71" s="1190" t="s">
        <v>1488</v>
      </c>
      <c r="E71" s="1191"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3" sqref="I3"/>
    </sheetView>
  </sheetViews>
  <sheetFormatPr defaultRowHeight="20.25" customHeight="1"/>
  <cols>
    <col min="1" max="1" width="14.25" style="3026" customWidth="1"/>
    <col min="2" max="2" width="18.75" style="3026" customWidth="1"/>
    <col min="3" max="5" width="14.25" style="3026" customWidth="1"/>
    <col min="6" max="6" width="11" style="3026" customWidth="1"/>
    <col min="7" max="7" width="9" style="3026"/>
    <col min="8" max="8" width="13.75" style="3026" customWidth="1"/>
    <col min="9" max="256" width="9" style="3026"/>
    <col min="257" max="257" width="14.25" style="3026" customWidth="1"/>
    <col min="258" max="258" width="18.75" style="3026" customWidth="1"/>
    <col min="259" max="261" width="14.25" style="3026" customWidth="1"/>
    <col min="262" max="262" width="11" style="3026" customWidth="1"/>
    <col min="263" max="263" width="9" style="3026"/>
    <col min="264" max="264" width="13.75" style="3026" customWidth="1"/>
    <col min="265" max="512" width="9" style="3026"/>
    <col min="513" max="513" width="14.25" style="3026" customWidth="1"/>
    <col min="514" max="514" width="18.75" style="3026" customWidth="1"/>
    <col min="515" max="517" width="14.25" style="3026" customWidth="1"/>
    <col min="518" max="518" width="11" style="3026" customWidth="1"/>
    <col min="519" max="519" width="9" style="3026"/>
    <col min="520" max="520" width="13.75" style="3026" customWidth="1"/>
    <col min="521" max="768" width="9" style="3026"/>
    <col min="769" max="769" width="14.25" style="3026" customWidth="1"/>
    <col min="770" max="770" width="18.75" style="3026" customWidth="1"/>
    <col min="771" max="773" width="14.25" style="3026" customWidth="1"/>
    <col min="774" max="774" width="11" style="3026" customWidth="1"/>
    <col min="775" max="775" width="9" style="3026"/>
    <col min="776" max="776" width="13.75" style="3026" customWidth="1"/>
    <col min="777" max="1024" width="9" style="3026"/>
    <col min="1025" max="1025" width="14.25" style="3026" customWidth="1"/>
    <col min="1026" max="1026" width="18.75" style="3026" customWidth="1"/>
    <col min="1027" max="1029" width="14.25" style="3026" customWidth="1"/>
    <col min="1030" max="1030" width="11" style="3026" customWidth="1"/>
    <col min="1031" max="1031" width="9" style="3026"/>
    <col min="1032" max="1032" width="13.75" style="3026" customWidth="1"/>
    <col min="1033" max="1280" width="9" style="3026"/>
    <col min="1281" max="1281" width="14.25" style="3026" customWidth="1"/>
    <col min="1282" max="1282" width="18.75" style="3026" customWidth="1"/>
    <col min="1283" max="1285" width="14.25" style="3026" customWidth="1"/>
    <col min="1286" max="1286" width="11" style="3026" customWidth="1"/>
    <col min="1287" max="1287" width="9" style="3026"/>
    <col min="1288" max="1288" width="13.75" style="3026" customWidth="1"/>
    <col min="1289" max="1536" width="9" style="3026"/>
    <col min="1537" max="1537" width="14.25" style="3026" customWidth="1"/>
    <col min="1538" max="1538" width="18.75" style="3026" customWidth="1"/>
    <col min="1539" max="1541" width="14.25" style="3026" customWidth="1"/>
    <col min="1542" max="1542" width="11" style="3026" customWidth="1"/>
    <col min="1543" max="1543" width="9" style="3026"/>
    <col min="1544" max="1544" width="13.75" style="3026" customWidth="1"/>
    <col min="1545" max="1792" width="9" style="3026"/>
    <col min="1793" max="1793" width="14.25" style="3026" customWidth="1"/>
    <col min="1794" max="1794" width="18.75" style="3026" customWidth="1"/>
    <col min="1795" max="1797" width="14.25" style="3026" customWidth="1"/>
    <col min="1798" max="1798" width="11" style="3026" customWidth="1"/>
    <col min="1799" max="1799" width="9" style="3026"/>
    <col min="1800" max="1800" width="13.75" style="3026" customWidth="1"/>
    <col min="1801" max="2048" width="9" style="3026"/>
    <col min="2049" max="2049" width="14.25" style="3026" customWidth="1"/>
    <col min="2050" max="2050" width="18.75" style="3026" customWidth="1"/>
    <col min="2051" max="2053" width="14.25" style="3026" customWidth="1"/>
    <col min="2054" max="2054" width="11" style="3026" customWidth="1"/>
    <col min="2055" max="2055" width="9" style="3026"/>
    <col min="2056" max="2056" width="13.75" style="3026" customWidth="1"/>
    <col min="2057" max="2304" width="9" style="3026"/>
    <col min="2305" max="2305" width="14.25" style="3026" customWidth="1"/>
    <col min="2306" max="2306" width="18.75" style="3026" customWidth="1"/>
    <col min="2307" max="2309" width="14.25" style="3026" customWidth="1"/>
    <col min="2310" max="2310" width="11" style="3026" customWidth="1"/>
    <col min="2311" max="2311" width="9" style="3026"/>
    <col min="2312" max="2312" width="13.75" style="3026" customWidth="1"/>
    <col min="2313" max="2560" width="9" style="3026"/>
    <col min="2561" max="2561" width="14.25" style="3026" customWidth="1"/>
    <col min="2562" max="2562" width="18.75" style="3026" customWidth="1"/>
    <col min="2563" max="2565" width="14.25" style="3026" customWidth="1"/>
    <col min="2566" max="2566" width="11" style="3026" customWidth="1"/>
    <col min="2567" max="2567" width="9" style="3026"/>
    <col min="2568" max="2568" width="13.75" style="3026" customWidth="1"/>
    <col min="2569" max="2816" width="9" style="3026"/>
    <col min="2817" max="2817" width="14.25" style="3026" customWidth="1"/>
    <col min="2818" max="2818" width="18.75" style="3026" customWidth="1"/>
    <col min="2819" max="2821" width="14.25" style="3026" customWidth="1"/>
    <col min="2822" max="2822" width="11" style="3026" customWidth="1"/>
    <col min="2823" max="2823" width="9" style="3026"/>
    <col min="2824" max="2824" width="13.75" style="3026" customWidth="1"/>
    <col min="2825" max="3072" width="9" style="3026"/>
    <col min="3073" max="3073" width="14.25" style="3026" customWidth="1"/>
    <col min="3074" max="3074" width="18.75" style="3026" customWidth="1"/>
    <col min="3075" max="3077" width="14.25" style="3026" customWidth="1"/>
    <col min="3078" max="3078" width="11" style="3026" customWidth="1"/>
    <col min="3079" max="3079" width="9" style="3026"/>
    <col min="3080" max="3080" width="13.75" style="3026" customWidth="1"/>
    <col min="3081" max="3328" width="9" style="3026"/>
    <col min="3329" max="3329" width="14.25" style="3026" customWidth="1"/>
    <col min="3330" max="3330" width="18.75" style="3026" customWidth="1"/>
    <col min="3331" max="3333" width="14.25" style="3026" customWidth="1"/>
    <col min="3334" max="3334" width="11" style="3026" customWidth="1"/>
    <col min="3335" max="3335" width="9" style="3026"/>
    <col min="3336" max="3336" width="13.75" style="3026" customWidth="1"/>
    <col min="3337" max="3584" width="9" style="3026"/>
    <col min="3585" max="3585" width="14.25" style="3026" customWidth="1"/>
    <col min="3586" max="3586" width="18.75" style="3026" customWidth="1"/>
    <col min="3587" max="3589" width="14.25" style="3026" customWidth="1"/>
    <col min="3590" max="3590" width="11" style="3026" customWidth="1"/>
    <col min="3591" max="3591" width="9" style="3026"/>
    <col min="3592" max="3592" width="13.75" style="3026" customWidth="1"/>
    <col min="3593" max="3840" width="9" style="3026"/>
    <col min="3841" max="3841" width="14.25" style="3026" customWidth="1"/>
    <col min="3842" max="3842" width="18.75" style="3026" customWidth="1"/>
    <col min="3843" max="3845" width="14.25" style="3026" customWidth="1"/>
    <col min="3846" max="3846" width="11" style="3026" customWidth="1"/>
    <col min="3847" max="3847" width="9" style="3026"/>
    <col min="3848" max="3848" width="13.75" style="3026" customWidth="1"/>
    <col min="3849" max="4096" width="9" style="3026"/>
    <col min="4097" max="4097" width="14.25" style="3026" customWidth="1"/>
    <col min="4098" max="4098" width="18.75" style="3026" customWidth="1"/>
    <col min="4099" max="4101" width="14.25" style="3026" customWidth="1"/>
    <col min="4102" max="4102" width="11" style="3026" customWidth="1"/>
    <col min="4103" max="4103" width="9" style="3026"/>
    <col min="4104" max="4104" width="13.75" style="3026" customWidth="1"/>
    <col min="4105" max="4352" width="9" style="3026"/>
    <col min="4353" max="4353" width="14.25" style="3026" customWidth="1"/>
    <col min="4354" max="4354" width="18.75" style="3026" customWidth="1"/>
    <col min="4355" max="4357" width="14.25" style="3026" customWidth="1"/>
    <col min="4358" max="4358" width="11" style="3026" customWidth="1"/>
    <col min="4359" max="4359" width="9" style="3026"/>
    <col min="4360" max="4360" width="13.75" style="3026" customWidth="1"/>
    <col min="4361" max="4608" width="9" style="3026"/>
    <col min="4609" max="4609" width="14.25" style="3026" customWidth="1"/>
    <col min="4610" max="4610" width="18.75" style="3026" customWidth="1"/>
    <col min="4611" max="4613" width="14.25" style="3026" customWidth="1"/>
    <col min="4614" max="4614" width="11" style="3026" customWidth="1"/>
    <col min="4615" max="4615" width="9" style="3026"/>
    <col min="4616" max="4616" width="13.75" style="3026" customWidth="1"/>
    <col min="4617" max="4864" width="9" style="3026"/>
    <col min="4865" max="4865" width="14.25" style="3026" customWidth="1"/>
    <col min="4866" max="4866" width="18.75" style="3026" customWidth="1"/>
    <col min="4867" max="4869" width="14.25" style="3026" customWidth="1"/>
    <col min="4870" max="4870" width="11" style="3026" customWidth="1"/>
    <col min="4871" max="4871" width="9" style="3026"/>
    <col min="4872" max="4872" width="13.75" style="3026" customWidth="1"/>
    <col min="4873" max="5120" width="9" style="3026"/>
    <col min="5121" max="5121" width="14.25" style="3026" customWidth="1"/>
    <col min="5122" max="5122" width="18.75" style="3026" customWidth="1"/>
    <col min="5123" max="5125" width="14.25" style="3026" customWidth="1"/>
    <col min="5126" max="5126" width="11" style="3026" customWidth="1"/>
    <col min="5127" max="5127" width="9" style="3026"/>
    <col min="5128" max="5128" width="13.75" style="3026" customWidth="1"/>
    <col min="5129" max="5376" width="9" style="3026"/>
    <col min="5377" max="5377" width="14.25" style="3026" customWidth="1"/>
    <col min="5378" max="5378" width="18.75" style="3026" customWidth="1"/>
    <col min="5379" max="5381" width="14.25" style="3026" customWidth="1"/>
    <col min="5382" max="5382" width="11" style="3026" customWidth="1"/>
    <col min="5383" max="5383" width="9" style="3026"/>
    <col min="5384" max="5384" width="13.75" style="3026" customWidth="1"/>
    <col min="5385" max="5632" width="9" style="3026"/>
    <col min="5633" max="5633" width="14.25" style="3026" customWidth="1"/>
    <col min="5634" max="5634" width="18.75" style="3026" customWidth="1"/>
    <col min="5635" max="5637" width="14.25" style="3026" customWidth="1"/>
    <col min="5638" max="5638" width="11" style="3026" customWidth="1"/>
    <col min="5639" max="5639" width="9" style="3026"/>
    <col min="5640" max="5640" width="13.75" style="3026" customWidth="1"/>
    <col min="5641" max="5888" width="9" style="3026"/>
    <col min="5889" max="5889" width="14.25" style="3026" customWidth="1"/>
    <col min="5890" max="5890" width="18.75" style="3026" customWidth="1"/>
    <col min="5891" max="5893" width="14.25" style="3026" customWidth="1"/>
    <col min="5894" max="5894" width="11" style="3026" customWidth="1"/>
    <col min="5895" max="5895" width="9" style="3026"/>
    <col min="5896" max="5896" width="13.75" style="3026" customWidth="1"/>
    <col min="5897" max="6144" width="9" style="3026"/>
    <col min="6145" max="6145" width="14.25" style="3026" customWidth="1"/>
    <col min="6146" max="6146" width="18.75" style="3026" customWidth="1"/>
    <col min="6147" max="6149" width="14.25" style="3026" customWidth="1"/>
    <col min="6150" max="6150" width="11" style="3026" customWidth="1"/>
    <col min="6151" max="6151" width="9" style="3026"/>
    <col min="6152" max="6152" width="13.75" style="3026" customWidth="1"/>
    <col min="6153" max="6400" width="9" style="3026"/>
    <col min="6401" max="6401" width="14.25" style="3026" customWidth="1"/>
    <col min="6402" max="6402" width="18.75" style="3026" customWidth="1"/>
    <col min="6403" max="6405" width="14.25" style="3026" customWidth="1"/>
    <col min="6406" max="6406" width="11" style="3026" customWidth="1"/>
    <col min="6407" max="6407" width="9" style="3026"/>
    <col min="6408" max="6408" width="13.75" style="3026" customWidth="1"/>
    <col min="6409" max="6656" width="9" style="3026"/>
    <col min="6657" max="6657" width="14.25" style="3026" customWidth="1"/>
    <col min="6658" max="6658" width="18.75" style="3026" customWidth="1"/>
    <col min="6659" max="6661" width="14.25" style="3026" customWidth="1"/>
    <col min="6662" max="6662" width="11" style="3026" customWidth="1"/>
    <col min="6663" max="6663" width="9" style="3026"/>
    <col min="6664" max="6664" width="13.75" style="3026" customWidth="1"/>
    <col min="6665" max="6912" width="9" style="3026"/>
    <col min="6913" max="6913" width="14.25" style="3026" customWidth="1"/>
    <col min="6914" max="6914" width="18.75" style="3026" customWidth="1"/>
    <col min="6915" max="6917" width="14.25" style="3026" customWidth="1"/>
    <col min="6918" max="6918" width="11" style="3026" customWidth="1"/>
    <col min="6919" max="6919" width="9" style="3026"/>
    <col min="6920" max="6920" width="13.75" style="3026" customWidth="1"/>
    <col min="6921" max="7168" width="9" style="3026"/>
    <col min="7169" max="7169" width="14.25" style="3026" customWidth="1"/>
    <col min="7170" max="7170" width="18.75" style="3026" customWidth="1"/>
    <col min="7171" max="7173" width="14.25" style="3026" customWidth="1"/>
    <col min="7174" max="7174" width="11" style="3026" customWidth="1"/>
    <col min="7175" max="7175" width="9" style="3026"/>
    <col min="7176" max="7176" width="13.75" style="3026" customWidth="1"/>
    <col min="7177" max="7424" width="9" style="3026"/>
    <col min="7425" max="7425" width="14.25" style="3026" customWidth="1"/>
    <col min="7426" max="7426" width="18.75" style="3026" customWidth="1"/>
    <col min="7427" max="7429" width="14.25" style="3026" customWidth="1"/>
    <col min="7430" max="7430" width="11" style="3026" customWidth="1"/>
    <col min="7431" max="7431" width="9" style="3026"/>
    <col min="7432" max="7432" width="13.75" style="3026" customWidth="1"/>
    <col min="7433" max="7680" width="9" style="3026"/>
    <col min="7681" max="7681" width="14.25" style="3026" customWidth="1"/>
    <col min="7682" max="7682" width="18.75" style="3026" customWidth="1"/>
    <col min="7683" max="7685" width="14.25" style="3026" customWidth="1"/>
    <col min="7686" max="7686" width="11" style="3026" customWidth="1"/>
    <col min="7687" max="7687" width="9" style="3026"/>
    <col min="7688" max="7688" width="13.75" style="3026" customWidth="1"/>
    <col min="7689" max="7936" width="9" style="3026"/>
    <col min="7937" max="7937" width="14.25" style="3026" customWidth="1"/>
    <col min="7938" max="7938" width="18.75" style="3026" customWidth="1"/>
    <col min="7939" max="7941" width="14.25" style="3026" customWidth="1"/>
    <col min="7942" max="7942" width="11" style="3026" customWidth="1"/>
    <col min="7943" max="7943" width="9" style="3026"/>
    <col min="7944" max="7944" width="13.75" style="3026" customWidth="1"/>
    <col min="7945" max="8192" width="9" style="3026"/>
    <col min="8193" max="8193" width="14.25" style="3026" customWidth="1"/>
    <col min="8194" max="8194" width="18.75" style="3026" customWidth="1"/>
    <col min="8195" max="8197" width="14.25" style="3026" customWidth="1"/>
    <col min="8198" max="8198" width="11" style="3026" customWidth="1"/>
    <col min="8199" max="8199" width="9" style="3026"/>
    <col min="8200" max="8200" width="13.75" style="3026" customWidth="1"/>
    <col min="8201" max="8448" width="9" style="3026"/>
    <col min="8449" max="8449" width="14.25" style="3026" customWidth="1"/>
    <col min="8450" max="8450" width="18.75" style="3026" customWidth="1"/>
    <col min="8451" max="8453" width="14.25" style="3026" customWidth="1"/>
    <col min="8454" max="8454" width="11" style="3026" customWidth="1"/>
    <col min="8455" max="8455" width="9" style="3026"/>
    <col min="8456" max="8456" width="13.75" style="3026" customWidth="1"/>
    <col min="8457" max="8704" width="9" style="3026"/>
    <col min="8705" max="8705" width="14.25" style="3026" customWidth="1"/>
    <col min="8706" max="8706" width="18.75" style="3026" customWidth="1"/>
    <col min="8707" max="8709" width="14.25" style="3026" customWidth="1"/>
    <col min="8710" max="8710" width="11" style="3026" customWidth="1"/>
    <col min="8711" max="8711" width="9" style="3026"/>
    <col min="8712" max="8712" width="13.75" style="3026" customWidth="1"/>
    <col min="8713" max="8960" width="9" style="3026"/>
    <col min="8961" max="8961" width="14.25" style="3026" customWidth="1"/>
    <col min="8962" max="8962" width="18.75" style="3026" customWidth="1"/>
    <col min="8963" max="8965" width="14.25" style="3026" customWidth="1"/>
    <col min="8966" max="8966" width="11" style="3026" customWidth="1"/>
    <col min="8967" max="8967" width="9" style="3026"/>
    <col min="8968" max="8968" width="13.75" style="3026" customWidth="1"/>
    <col min="8969" max="9216" width="9" style="3026"/>
    <col min="9217" max="9217" width="14.25" style="3026" customWidth="1"/>
    <col min="9218" max="9218" width="18.75" style="3026" customWidth="1"/>
    <col min="9219" max="9221" width="14.25" style="3026" customWidth="1"/>
    <col min="9222" max="9222" width="11" style="3026" customWidth="1"/>
    <col min="9223" max="9223" width="9" style="3026"/>
    <col min="9224" max="9224" width="13.75" style="3026" customWidth="1"/>
    <col min="9225" max="9472" width="9" style="3026"/>
    <col min="9473" max="9473" width="14.25" style="3026" customWidth="1"/>
    <col min="9474" max="9474" width="18.75" style="3026" customWidth="1"/>
    <col min="9475" max="9477" width="14.25" style="3026" customWidth="1"/>
    <col min="9478" max="9478" width="11" style="3026" customWidth="1"/>
    <col min="9479" max="9479" width="9" style="3026"/>
    <col min="9480" max="9480" width="13.75" style="3026" customWidth="1"/>
    <col min="9481" max="9728" width="9" style="3026"/>
    <col min="9729" max="9729" width="14.25" style="3026" customWidth="1"/>
    <col min="9730" max="9730" width="18.75" style="3026" customWidth="1"/>
    <col min="9731" max="9733" width="14.25" style="3026" customWidth="1"/>
    <col min="9734" max="9734" width="11" style="3026" customWidth="1"/>
    <col min="9735" max="9735" width="9" style="3026"/>
    <col min="9736" max="9736" width="13.75" style="3026" customWidth="1"/>
    <col min="9737" max="9984" width="9" style="3026"/>
    <col min="9985" max="9985" width="14.25" style="3026" customWidth="1"/>
    <col min="9986" max="9986" width="18.75" style="3026" customWidth="1"/>
    <col min="9987" max="9989" width="14.25" style="3026" customWidth="1"/>
    <col min="9990" max="9990" width="11" style="3026" customWidth="1"/>
    <col min="9991" max="9991" width="9" style="3026"/>
    <col min="9992" max="9992" width="13.75" style="3026" customWidth="1"/>
    <col min="9993" max="10240" width="9" style="3026"/>
    <col min="10241" max="10241" width="14.25" style="3026" customWidth="1"/>
    <col min="10242" max="10242" width="18.75" style="3026" customWidth="1"/>
    <col min="10243" max="10245" width="14.25" style="3026" customWidth="1"/>
    <col min="10246" max="10246" width="11" style="3026" customWidth="1"/>
    <col min="10247" max="10247" width="9" style="3026"/>
    <col min="10248" max="10248" width="13.75" style="3026" customWidth="1"/>
    <col min="10249" max="10496" width="9" style="3026"/>
    <col min="10497" max="10497" width="14.25" style="3026" customWidth="1"/>
    <col min="10498" max="10498" width="18.75" style="3026" customWidth="1"/>
    <col min="10499" max="10501" width="14.25" style="3026" customWidth="1"/>
    <col min="10502" max="10502" width="11" style="3026" customWidth="1"/>
    <col min="10503" max="10503" width="9" style="3026"/>
    <col min="10504" max="10504" width="13.75" style="3026" customWidth="1"/>
    <col min="10505" max="10752" width="9" style="3026"/>
    <col min="10753" max="10753" width="14.25" style="3026" customWidth="1"/>
    <col min="10754" max="10754" width="18.75" style="3026" customWidth="1"/>
    <col min="10755" max="10757" width="14.25" style="3026" customWidth="1"/>
    <col min="10758" max="10758" width="11" style="3026" customWidth="1"/>
    <col min="10759" max="10759" width="9" style="3026"/>
    <col min="10760" max="10760" width="13.75" style="3026" customWidth="1"/>
    <col min="10761" max="11008" width="9" style="3026"/>
    <col min="11009" max="11009" width="14.25" style="3026" customWidth="1"/>
    <col min="11010" max="11010" width="18.75" style="3026" customWidth="1"/>
    <col min="11011" max="11013" width="14.25" style="3026" customWidth="1"/>
    <col min="11014" max="11014" width="11" style="3026" customWidth="1"/>
    <col min="11015" max="11015" width="9" style="3026"/>
    <col min="11016" max="11016" width="13.75" style="3026" customWidth="1"/>
    <col min="11017" max="11264" width="9" style="3026"/>
    <col min="11265" max="11265" width="14.25" style="3026" customWidth="1"/>
    <col min="11266" max="11266" width="18.75" style="3026" customWidth="1"/>
    <col min="11267" max="11269" width="14.25" style="3026" customWidth="1"/>
    <col min="11270" max="11270" width="11" style="3026" customWidth="1"/>
    <col min="11271" max="11271" width="9" style="3026"/>
    <col min="11272" max="11272" width="13.75" style="3026" customWidth="1"/>
    <col min="11273" max="11520" width="9" style="3026"/>
    <col min="11521" max="11521" width="14.25" style="3026" customWidth="1"/>
    <col min="11522" max="11522" width="18.75" style="3026" customWidth="1"/>
    <col min="11523" max="11525" width="14.25" style="3026" customWidth="1"/>
    <col min="11526" max="11526" width="11" style="3026" customWidth="1"/>
    <col min="11527" max="11527" width="9" style="3026"/>
    <col min="11528" max="11528" width="13.75" style="3026" customWidth="1"/>
    <col min="11529" max="11776" width="9" style="3026"/>
    <col min="11777" max="11777" width="14.25" style="3026" customWidth="1"/>
    <col min="11778" max="11778" width="18.75" style="3026" customWidth="1"/>
    <col min="11779" max="11781" width="14.25" style="3026" customWidth="1"/>
    <col min="11782" max="11782" width="11" style="3026" customWidth="1"/>
    <col min="11783" max="11783" width="9" style="3026"/>
    <col min="11784" max="11784" width="13.75" style="3026" customWidth="1"/>
    <col min="11785" max="12032" width="9" style="3026"/>
    <col min="12033" max="12033" width="14.25" style="3026" customWidth="1"/>
    <col min="12034" max="12034" width="18.75" style="3026" customWidth="1"/>
    <col min="12035" max="12037" width="14.25" style="3026" customWidth="1"/>
    <col min="12038" max="12038" width="11" style="3026" customWidth="1"/>
    <col min="12039" max="12039" width="9" style="3026"/>
    <col min="12040" max="12040" width="13.75" style="3026" customWidth="1"/>
    <col min="12041" max="12288" width="9" style="3026"/>
    <col min="12289" max="12289" width="14.25" style="3026" customWidth="1"/>
    <col min="12290" max="12290" width="18.75" style="3026" customWidth="1"/>
    <col min="12291" max="12293" width="14.25" style="3026" customWidth="1"/>
    <col min="12294" max="12294" width="11" style="3026" customWidth="1"/>
    <col min="12295" max="12295" width="9" style="3026"/>
    <col min="12296" max="12296" width="13.75" style="3026" customWidth="1"/>
    <col min="12297" max="12544" width="9" style="3026"/>
    <col min="12545" max="12545" width="14.25" style="3026" customWidth="1"/>
    <col min="12546" max="12546" width="18.75" style="3026" customWidth="1"/>
    <col min="12547" max="12549" width="14.25" style="3026" customWidth="1"/>
    <col min="12550" max="12550" width="11" style="3026" customWidth="1"/>
    <col min="12551" max="12551" width="9" style="3026"/>
    <col min="12552" max="12552" width="13.75" style="3026" customWidth="1"/>
    <col min="12553" max="12800" width="9" style="3026"/>
    <col min="12801" max="12801" width="14.25" style="3026" customWidth="1"/>
    <col min="12802" max="12802" width="18.75" style="3026" customWidth="1"/>
    <col min="12803" max="12805" width="14.25" style="3026" customWidth="1"/>
    <col min="12806" max="12806" width="11" style="3026" customWidth="1"/>
    <col min="12807" max="12807" width="9" style="3026"/>
    <col min="12808" max="12808" width="13.75" style="3026" customWidth="1"/>
    <col min="12809" max="13056" width="9" style="3026"/>
    <col min="13057" max="13057" width="14.25" style="3026" customWidth="1"/>
    <col min="13058" max="13058" width="18.75" style="3026" customWidth="1"/>
    <col min="13059" max="13061" width="14.25" style="3026" customWidth="1"/>
    <col min="13062" max="13062" width="11" style="3026" customWidth="1"/>
    <col min="13063" max="13063" width="9" style="3026"/>
    <col min="13064" max="13064" width="13.75" style="3026" customWidth="1"/>
    <col min="13065" max="13312" width="9" style="3026"/>
    <col min="13313" max="13313" width="14.25" style="3026" customWidth="1"/>
    <col min="13314" max="13314" width="18.75" style="3026" customWidth="1"/>
    <col min="13315" max="13317" width="14.25" style="3026" customWidth="1"/>
    <col min="13318" max="13318" width="11" style="3026" customWidth="1"/>
    <col min="13319" max="13319" width="9" style="3026"/>
    <col min="13320" max="13320" width="13.75" style="3026" customWidth="1"/>
    <col min="13321" max="13568" width="9" style="3026"/>
    <col min="13569" max="13569" width="14.25" style="3026" customWidth="1"/>
    <col min="13570" max="13570" width="18.75" style="3026" customWidth="1"/>
    <col min="13571" max="13573" width="14.25" style="3026" customWidth="1"/>
    <col min="13574" max="13574" width="11" style="3026" customWidth="1"/>
    <col min="13575" max="13575" width="9" style="3026"/>
    <col min="13576" max="13576" width="13.75" style="3026" customWidth="1"/>
    <col min="13577" max="13824" width="9" style="3026"/>
    <col min="13825" max="13825" width="14.25" style="3026" customWidth="1"/>
    <col min="13826" max="13826" width="18.75" style="3026" customWidth="1"/>
    <col min="13827" max="13829" width="14.25" style="3026" customWidth="1"/>
    <col min="13830" max="13830" width="11" style="3026" customWidth="1"/>
    <col min="13831" max="13831" width="9" style="3026"/>
    <col min="13832" max="13832" width="13.75" style="3026" customWidth="1"/>
    <col min="13833" max="14080" width="9" style="3026"/>
    <col min="14081" max="14081" width="14.25" style="3026" customWidth="1"/>
    <col min="14082" max="14082" width="18.75" style="3026" customWidth="1"/>
    <col min="14083" max="14085" width="14.25" style="3026" customWidth="1"/>
    <col min="14086" max="14086" width="11" style="3026" customWidth="1"/>
    <col min="14087" max="14087" width="9" style="3026"/>
    <col min="14088" max="14088" width="13.75" style="3026" customWidth="1"/>
    <col min="14089" max="14336" width="9" style="3026"/>
    <col min="14337" max="14337" width="14.25" style="3026" customWidth="1"/>
    <col min="14338" max="14338" width="18.75" style="3026" customWidth="1"/>
    <col min="14339" max="14341" width="14.25" style="3026" customWidth="1"/>
    <col min="14342" max="14342" width="11" style="3026" customWidth="1"/>
    <col min="14343" max="14343" width="9" style="3026"/>
    <col min="14344" max="14344" width="13.75" style="3026" customWidth="1"/>
    <col min="14345" max="14592" width="9" style="3026"/>
    <col min="14593" max="14593" width="14.25" style="3026" customWidth="1"/>
    <col min="14594" max="14594" width="18.75" style="3026" customWidth="1"/>
    <col min="14595" max="14597" width="14.25" style="3026" customWidth="1"/>
    <col min="14598" max="14598" width="11" style="3026" customWidth="1"/>
    <col min="14599" max="14599" width="9" style="3026"/>
    <col min="14600" max="14600" width="13.75" style="3026" customWidth="1"/>
    <col min="14601" max="14848" width="9" style="3026"/>
    <col min="14849" max="14849" width="14.25" style="3026" customWidth="1"/>
    <col min="14850" max="14850" width="18.75" style="3026" customWidth="1"/>
    <col min="14851" max="14853" width="14.25" style="3026" customWidth="1"/>
    <col min="14854" max="14854" width="11" style="3026" customWidth="1"/>
    <col min="14855" max="14855" width="9" style="3026"/>
    <col min="14856" max="14856" width="13.75" style="3026" customWidth="1"/>
    <col min="14857" max="15104" width="9" style="3026"/>
    <col min="15105" max="15105" width="14.25" style="3026" customWidth="1"/>
    <col min="15106" max="15106" width="18.75" style="3026" customWidth="1"/>
    <col min="15107" max="15109" width="14.25" style="3026" customWidth="1"/>
    <col min="15110" max="15110" width="11" style="3026" customWidth="1"/>
    <col min="15111" max="15111" width="9" style="3026"/>
    <col min="15112" max="15112" width="13.75" style="3026" customWidth="1"/>
    <col min="15113" max="15360" width="9" style="3026"/>
    <col min="15361" max="15361" width="14.25" style="3026" customWidth="1"/>
    <col min="15362" max="15362" width="18.75" style="3026" customWidth="1"/>
    <col min="15363" max="15365" width="14.25" style="3026" customWidth="1"/>
    <col min="15366" max="15366" width="11" style="3026" customWidth="1"/>
    <col min="15367" max="15367" width="9" style="3026"/>
    <col min="15368" max="15368" width="13.75" style="3026" customWidth="1"/>
    <col min="15369" max="15616" width="9" style="3026"/>
    <col min="15617" max="15617" width="14.25" style="3026" customWidth="1"/>
    <col min="15618" max="15618" width="18.75" style="3026" customWidth="1"/>
    <col min="15619" max="15621" width="14.25" style="3026" customWidth="1"/>
    <col min="15622" max="15622" width="11" style="3026" customWidth="1"/>
    <col min="15623" max="15623" width="9" style="3026"/>
    <col min="15624" max="15624" width="13.75" style="3026" customWidth="1"/>
    <col min="15625" max="15872" width="9" style="3026"/>
    <col min="15873" max="15873" width="14.25" style="3026" customWidth="1"/>
    <col min="15874" max="15874" width="18.75" style="3026" customWidth="1"/>
    <col min="15875" max="15877" width="14.25" style="3026" customWidth="1"/>
    <col min="15878" max="15878" width="11" style="3026" customWidth="1"/>
    <col min="15879" max="15879" width="9" style="3026"/>
    <col min="15880" max="15880" width="13.75" style="3026" customWidth="1"/>
    <col min="15881" max="16128" width="9" style="3026"/>
    <col min="16129" max="16129" width="14.25" style="3026" customWidth="1"/>
    <col min="16130" max="16130" width="18.75" style="3026" customWidth="1"/>
    <col min="16131" max="16133" width="14.25" style="3026" customWidth="1"/>
    <col min="16134" max="16134" width="11" style="3026" customWidth="1"/>
    <col min="16135" max="16135" width="9" style="3026"/>
    <col min="16136" max="16136" width="13.75" style="3026" customWidth="1"/>
    <col min="16137" max="16384" width="9" style="3026"/>
  </cols>
  <sheetData>
    <row r="1" spans="1:6" ht="20.25" customHeight="1" thickBot="1">
      <c r="A1" s="3024" t="s">
        <v>3206</v>
      </c>
      <c r="B1" s="3025">
        <f>项目基本情况!D3</f>
        <v>43202</v>
      </c>
    </row>
    <row r="2" spans="1:6" ht="33" customHeight="1">
      <c r="A2" s="3027" t="s">
        <v>3207</v>
      </c>
      <c r="B2" s="3028" t="s">
        <v>3208</v>
      </c>
      <c r="C2" s="3029" t="s">
        <v>3209</v>
      </c>
      <c r="D2" s="3028" t="s">
        <v>3210</v>
      </c>
      <c r="E2" s="3030" t="s">
        <v>3211</v>
      </c>
    </row>
    <row r="3" spans="1:6" ht="20.25" customHeight="1">
      <c r="A3" s="3031">
        <v>50</v>
      </c>
      <c r="B3" s="3032">
        <f>项目基本情况!E13</f>
        <v>54592</v>
      </c>
      <c r="C3" s="3033">
        <f>ROUNDDOWN(MIN((B3-$B$1)/365,A3),2)</f>
        <v>31.2</v>
      </c>
      <c r="D3" s="3034">
        <f>IF(ISERROR(ROUND(POWER(1+E3,A3-C3)*(POWER(1+E3,C3)-1)/(POWER(1+E3,A3)-1),3)),0,ROUND(POWER(1+E3,A3-C3)*(POWER(1+E3,C3)-1)/(POWER(1+E3,A3)-1),3))</f>
        <v>0.872</v>
      </c>
      <c r="E3" s="3035">
        <f>'数据-取费表'!I6</f>
        <v>5.5E-2</v>
      </c>
    </row>
    <row r="4" spans="1:6" ht="20.25" customHeight="1">
      <c r="A4" s="3031"/>
      <c r="B4" s="3032"/>
      <c r="C4" s="3033">
        <f>ROUNDDOWN(MIN((B4-$B$1)/365,A4),2)</f>
        <v>-118.36</v>
      </c>
      <c r="D4" s="3034">
        <f>IF(ISERROR(ROUND(POWER(1+E4,A4-C4)*(POWER(1+E4,C4)-1)/(POWER(1+E4,A4)-1),3)),0,ROUND(POWER(1+E4,A4-C4)*(POWER(1+E4,C4)-1)/(POWER(1+E4,A4)-1),3))</f>
        <v>0</v>
      </c>
      <c r="E4" s="3035"/>
    </row>
    <row r="5" spans="1:6" ht="20.25" customHeight="1" thickBot="1">
      <c r="A5" s="3036"/>
      <c r="B5" s="3037"/>
      <c r="C5" s="3038">
        <f>ROUNDDOWN(MIN((B5-$B$1)/365,A5),2)</f>
        <v>-118.36</v>
      </c>
      <c r="D5" s="3039">
        <f>IF(ISERROR(ROUND(POWER(1+E5,A5-C5)*(POWER(1+E5,C5)-1)/(POWER(1+E5,A5)-1),3)),0,ROUND(POWER(1+E5,A5-C5)*(POWER(1+E5,C5)-1)/(POWER(1+E5,A5)-1),3))</f>
        <v>0</v>
      </c>
      <c r="E5" s="3040"/>
    </row>
    <row r="6" spans="1:6" ht="20.25" customHeight="1" thickBot="1"/>
    <row r="7" spans="1:6" s="3043" customFormat="1" ht="20.25" customHeight="1" thickBot="1">
      <c r="A7" s="3041" t="s">
        <v>3212</v>
      </c>
      <c r="B7" s="3042"/>
    </row>
    <row r="8" spans="1:6" ht="20.25" customHeight="1" thickBot="1">
      <c r="A8" s="3324" t="s">
        <v>3213</v>
      </c>
      <c r="B8" s="3325"/>
      <c r="C8" s="3044"/>
      <c r="D8" s="3045" t="s">
        <v>3211</v>
      </c>
      <c r="E8" s="3044"/>
      <c r="F8" s="3046" t="s">
        <v>3210</v>
      </c>
    </row>
    <row r="9" spans="1:6" ht="20.25" customHeight="1">
      <c r="A9" s="3047" t="s">
        <v>3214</v>
      </c>
      <c r="B9" s="3048">
        <v>70</v>
      </c>
      <c r="C9" s="3049" t="s">
        <v>3215</v>
      </c>
      <c r="D9" s="3050">
        <v>4.4999999999999998E-2</v>
      </c>
      <c r="E9" s="3049" t="s">
        <v>3216</v>
      </c>
      <c r="F9" s="3051">
        <f>1-(1/(POWER(1+D9,B9)))</f>
        <v>0.95409503414356267</v>
      </c>
    </row>
    <row r="10" spans="1:6" ht="20.25" customHeight="1" thickBot="1">
      <c r="A10" s="3052" t="s">
        <v>3217</v>
      </c>
      <c r="B10" s="3053">
        <v>40</v>
      </c>
      <c r="C10" s="3054" t="s">
        <v>3218</v>
      </c>
      <c r="D10" s="3055">
        <v>4.4999999999999998E-2</v>
      </c>
      <c r="E10" s="3054" t="s">
        <v>3219</v>
      </c>
      <c r="F10" s="3056">
        <f>1-(1/(POWER(1+D10,B10)))</f>
        <v>0.8280712989125899</v>
      </c>
    </row>
    <row r="11" spans="1:6" ht="20.25" customHeight="1" thickBot="1">
      <c r="A11" s="3057" t="s">
        <v>3220</v>
      </c>
      <c r="B11" s="3058"/>
      <c r="C11" s="3058"/>
      <c r="D11" s="3058"/>
      <c r="E11" s="3058"/>
      <c r="F11" s="3058"/>
    </row>
    <row r="12" spans="1:6" ht="20.25" customHeight="1">
      <c r="A12" s="3047" t="s">
        <v>3221</v>
      </c>
      <c r="B12" s="3059">
        <v>5000</v>
      </c>
      <c r="E12" s="3060"/>
      <c r="F12" s="3060"/>
    </row>
    <row r="13" spans="1:6" ht="20.25" customHeight="1" thickBot="1">
      <c r="A13" s="3052" t="s">
        <v>3222</v>
      </c>
      <c r="B13" s="3061">
        <f>ROUND(B12*F10/F9,2)</f>
        <v>4339.5600000000004</v>
      </c>
      <c r="C13" s="3062">
        <f>ROUND(F10/F9,4)</f>
        <v>0.8679</v>
      </c>
      <c r="E13" s="3060"/>
      <c r="F13" s="3060"/>
    </row>
    <row r="14" spans="1:6" ht="20.25" customHeight="1" thickBot="1">
      <c r="A14" s="3057" t="s">
        <v>3223</v>
      </c>
      <c r="B14" s="3063"/>
      <c r="C14" s="3060"/>
    </row>
    <row r="15" spans="1:6" ht="20.25" customHeight="1">
      <c r="A15" s="3049" t="s">
        <v>3224</v>
      </c>
      <c r="B15" s="3064">
        <v>4810</v>
      </c>
      <c r="C15" s="3060"/>
    </row>
    <row r="16" spans="1:6" ht="20.25" customHeight="1" thickBot="1">
      <c r="A16" s="3054" t="s">
        <v>3225</v>
      </c>
      <c r="B16" s="3065">
        <f>ROUND(B15*F9/F10,2)</f>
        <v>5542.03</v>
      </c>
      <c r="C16" s="3062">
        <f>ROUND(F9/F10,4)</f>
        <v>1.1521999999999999</v>
      </c>
    </row>
    <row r="17" spans="3:3" ht="20.25" customHeight="1">
      <c r="C17" s="306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D22" sqref="D22:D2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2520</v>
      </c>
      <c r="B1" s="2556"/>
      <c r="C1" s="2556"/>
      <c r="D1" s="2556"/>
      <c r="E1" s="2557"/>
    </row>
    <row r="2" spans="1:6" ht="15.75">
      <c r="A2" s="2558" t="s">
        <v>2321</v>
      </c>
      <c r="B2" s="2559">
        <f ca="1">SUMIF(B6:B13,"&lt;&gt;#ref!",B6:B13)</f>
        <v>263152</v>
      </c>
      <c r="C2" s="2560" t="s">
        <v>2513</v>
      </c>
      <c r="D2" s="2561" t="s">
        <v>2514</v>
      </c>
      <c r="E2" s="2562">
        <f>SUM(E6:E13)</f>
        <v>50691.57</v>
      </c>
    </row>
    <row r="3" spans="1:6" ht="15.75">
      <c r="A3" s="2558" t="s">
        <v>1395</v>
      </c>
      <c r="B3" s="2559">
        <f ca="1">ROUND(B2*10000/E2,0)</f>
        <v>51912</v>
      </c>
      <c r="C3" s="2560" t="s">
        <v>2521</v>
      </c>
      <c r="D3" s="2563"/>
      <c r="E3" s="2564"/>
    </row>
    <row r="4" spans="1:6" ht="15.75">
      <c r="A4" s="2565"/>
      <c r="B4" s="2563"/>
      <c r="C4" s="2563"/>
      <c r="D4" s="2563"/>
      <c r="E4" s="2564"/>
    </row>
    <row r="5" spans="1:6" ht="15">
      <c r="A5" s="2566" t="s">
        <v>2515</v>
      </c>
      <c r="B5" s="3326" t="s">
        <v>2516</v>
      </c>
      <c r="C5" s="3326"/>
      <c r="D5" s="2567"/>
      <c r="E5" s="2568" t="s">
        <v>2517</v>
      </c>
      <c r="F5" s="2569" t="s">
        <v>2518</v>
      </c>
    </row>
    <row r="6" spans="1:6">
      <c r="A6" s="2570" t="str">
        <f>'数据-取费表'!AN6</f>
        <v>公寓</v>
      </c>
      <c r="B6" s="2569">
        <f ca="1">IF(F6="是",'数据-取费表'!AO6,0)</f>
        <v>199713</v>
      </c>
      <c r="C6" s="2560" t="s">
        <v>2513</v>
      </c>
      <c r="D6" s="2563"/>
      <c r="E6" s="2571">
        <f>IF(OR(A6=0,F6="否"),0,'数据-取费表'!K6+'数据-取费表'!S6)</f>
        <v>39053.69</v>
      </c>
      <c r="F6" s="2572" t="s">
        <v>2519</v>
      </c>
    </row>
    <row r="7" spans="1:6">
      <c r="A7" s="2570" t="str">
        <f>'数据-取费表'!AN7</f>
        <v>配套商业</v>
      </c>
      <c r="B7" s="2569">
        <f ca="1">IF(F7="是",'数据-取费表'!AO7,0)</f>
        <v>22105</v>
      </c>
      <c r="C7" s="2560" t="s">
        <v>2513</v>
      </c>
      <c r="D7" s="2563"/>
      <c r="E7" s="2571">
        <f>IF(OR(A7=0,F7="否"),0,'数据-取费表'!K7+'数据-取费表'!S7)</f>
        <v>3541.96</v>
      </c>
      <c r="F7" s="2572" t="s">
        <v>2519</v>
      </c>
    </row>
    <row r="8" spans="1:6">
      <c r="A8" s="2570" t="str">
        <f>'数据-取费表'!AN8</f>
        <v>酒店</v>
      </c>
      <c r="B8" s="2569">
        <f ca="1">IF(F8="是",'数据-取费表'!AO8,0)</f>
        <v>41334</v>
      </c>
      <c r="C8" s="2560" t="s">
        <v>2513</v>
      </c>
      <c r="D8" s="2563"/>
      <c r="E8" s="2571">
        <f>IF(OR(A8=0,F8="否"),0,'数据-取费表'!K8+'数据-取费表'!S8)</f>
        <v>8095.92</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3192</v>
      </c>
      <c r="D1" s="1818" t="s">
        <v>70</v>
      </c>
      <c r="E1" s="1819" t="s">
        <v>1387</v>
      </c>
      <c r="F1" s="1281">
        <f ca="1">J53</f>
        <v>41.21</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199713</v>
      </c>
      <c r="C2" s="1843" t="s">
        <v>1516</v>
      </c>
      <c r="D2" s="1843"/>
      <c r="E2" s="1844"/>
      <c r="F2" s="1845"/>
      <c r="G2" s="1846"/>
      <c r="H2" s="1838"/>
      <c r="I2" s="1838"/>
      <c r="J2" s="1838"/>
      <c r="K2" s="1839"/>
      <c r="L2" s="1838"/>
      <c r="M2" s="1838"/>
    </row>
    <row r="3" spans="1:37" ht="18" customHeight="1" thickBot="1">
      <c r="A3" s="1847" t="s">
        <v>1517</v>
      </c>
      <c r="B3" s="1848">
        <f ca="1">IF(ISERROR(B2*10000/F43),0,ROUND(B2*10000/F43,0))</f>
        <v>51751</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10155</v>
      </c>
      <c r="D5" s="1820" t="s">
        <v>1402</v>
      </c>
      <c r="E5" s="1291"/>
      <c r="F5" s="1292"/>
      <c r="G5" s="1849"/>
      <c r="H5" s="342">
        <v>1</v>
      </c>
      <c r="I5" s="343" t="s">
        <v>1401</v>
      </c>
      <c r="J5" s="1290">
        <f ca="1">J6+J10+J12</f>
        <v>0</v>
      </c>
      <c r="K5" s="1820" t="s">
        <v>1402</v>
      </c>
      <c r="L5" s="1291"/>
      <c r="M5" s="1292"/>
    </row>
    <row r="6" spans="1:37" ht="18" customHeight="1">
      <c r="A6" s="1289" t="s">
        <v>1035</v>
      </c>
      <c r="B6" s="3319" t="s">
        <v>1403</v>
      </c>
      <c r="C6" s="1294">
        <f ca="1">ROUND(F6*F8*F7*(1-F9)/10000,0)</f>
        <v>10142</v>
      </c>
      <c r="D6" s="162" t="s">
        <v>3027</v>
      </c>
      <c r="E6" s="345" t="s">
        <v>1405</v>
      </c>
      <c r="F6" s="346">
        <f ca="1">INDIRECT("'数据-取费表'!u"&amp;$G$1)</f>
        <v>8</v>
      </c>
      <c r="G6" s="1849"/>
      <c r="H6" s="1289" t="s">
        <v>1035</v>
      </c>
      <c r="I6" s="3319" t="s">
        <v>1403</v>
      </c>
      <c r="J6" s="344">
        <f ca="1">ROUND(M6*M8*M7*(1-M9)/10000,0)</f>
        <v>0</v>
      </c>
      <c r="K6" s="162" t="s">
        <v>3026</v>
      </c>
      <c r="L6" s="345" t="s">
        <v>1405</v>
      </c>
      <c r="M6" s="346">
        <f ca="1">INDIRECT("'数据-取费表'!z"&amp;$G$1)</f>
        <v>0</v>
      </c>
    </row>
    <row r="7" spans="1:37" ht="18" customHeight="1">
      <c r="A7" s="1293"/>
      <c r="B7" s="3320"/>
      <c r="C7" s="1295"/>
      <c r="D7" s="350"/>
      <c r="E7" s="1296" t="s">
        <v>1406</v>
      </c>
      <c r="F7" s="346">
        <f ca="1">IF(INDIRECT("'数据-取费表'!ah"&amp;$G$1)="",INDIRECT("'数据-取费表'!k"&amp;$G$1),INDIRECT("'数据-取费表'!ah"&amp;$G$1))</f>
        <v>38591</v>
      </c>
      <c r="G7" s="1849"/>
      <c r="H7" s="347"/>
      <c r="I7" s="3320"/>
      <c r="J7" s="349"/>
      <c r="K7" s="350"/>
      <c r="L7" s="345" t="s">
        <v>1406</v>
      </c>
      <c r="M7" s="346">
        <f ca="1">F7</f>
        <v>38591</v>
      </c>
    </row>
    <row r="8" spans="1:37" ht="18" customHeight="1">
      <c r="A8" s="347"/>
      <c r="B8" s="3320"/>
      <c r="C8" s="349"/>
      <c r="D8" s="350"/>
      <c r="E8" s="345" t="s">
        <v>1407</v>
      </c>
      <c r="F8" s="346">
        <f ca="1">INDIRECT("'数据-取费表'!ai"&amp;$G$1)</f>
        <v>365</v>
      </c>
      <c r="G8" s="1849"/>
      <c r="H8" s="347"/>
      <c r="I8" s="3320"/>
      <c r="J8" s="349"/>
      <c r="K8" s="350"/>
      <c r="L8" s="345" t="s">
        <v>1407</v>
      </c>
      <c r="M8" s="346">
        <f ca="1">INDIRECT("'数据-取费表'!ai"&amp;$G$1)</f>
        <v>365</v>
      </c>
    </row>
    <row r="9" spans="1:37" ht="18" customHeight="1">
      <c r="A9" s="347"/>
      <c r="B9" s="3321"/>
      <c r="C9" s="349"/>
      <c r="D9" s="350"/>
      <c r="E9" s="345" t="s">
        <v>1408</v>
      </c>
      <c r="F9" s="355">
        <f ca="1">INDIRECT("'数据-取费表'!w"&amp;$G$1)</f>
        <v>0.1</v>
      </c>
      <c r="G9" s="1849"/>
      <c r="H9" s="347"/>
      <c r="I9" s="3321"/>
      <c r="J9" s="349"/>
      <c r="K9" s="350"/>
      <c r="L9" s="356" t="s">
        <v>1408</v>
      </c>
      <c r="M9" s="357">
        <f ca="1">INDIRECT("'数据-取费表'!ab"&amp;$G$1)</f>
        <v>0</v>
      </c>
    </row>
    <row r="10" spans="1:37" ht="18" customHeight="1">
      <c r="A10" s="1289" t="s">
        <v>1039</v>
      </c>
      <c r="B10" s="1821" t="s">
        <v>1409</v>
      </c>
      <c r="C10" s="359">
        <f ca="1">ROUND(IF(F10="押一",C6/12*F11,IF(F10="押二",C6/12*2*F11,IF(F10="押三",C6/12*3*F11,C11*F11))),0)</f>
        <v>13</v>
      </c>
      <c r="D10" s="1822" t="s">
        <v>3036</v>
      </c>
      <c r="E10" s="356" t="s">
        <v>1410</v>
      </c>
      <c r="F10" s="1364" t="s">
        <v>3193</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20163</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13646</v>
      </c>
      <c r="D14" s="1798" t="s">
        <v>1418</v>
      </c>
      <c r="E14" s="1792"/>
      <c r="F14" s="362"/>
      <c r="G14" s="1849"/>
      <c r="H14" s="1199" t="s">
        <v>1035</v>
      </c>
      <c r="I14" s="345" t="s">
        <v>1419</v>
      </c>
      <c r="J14" s="24">
        <f ca="1">C29</f>
        <v>20367</v>
      </c>
      <c r="K14" s="15"/>
      <c r="L14" s="977"/>
      <c r="M14" s="978"/>
    </row>
    <row r="15" spans="1:37" s="1856" customFormat="1" ht="18" customHeight="1" thickBot="1">
      <c r="A15" s="1199" t="s">
        <v>1036</v>
      </c>
      <c r="B15" s="345" t="s">
        <v>1420</v>
      </c>
      <c r="C15" s="24">
        <f ca="1">ROUND(C14*F15,0)</f>
        <v>409</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482</v>
      </c>
      <c r="K16" s="1335" t="s">
        <v>1425</v>
      </c>
      <c r="L16" s="1336"/>
      <c r="M16" s="1292"/>
    </row>
    <row r="17" spans="1:37" s="1856" customFormat="1" ht="18" customHeight="1">
      <c r="A17" s="1199" t="s">
        <v>1390</v>
      </c>
      <c r="B17" s="345" t="s">
        <v>1426</v>
      </c>
      <c r="C17" s="24">
        <f ca="1">ROUND(F17*(F43+INDIRECT("'数据-取费表'!S"&amp;$G$1))/10000,0)</f>
        <v>0</v>
      </c>
      <c r="D17" s="345" t="s">
        <v>1427</v>
      </c>
      <c r="E17" s="345" t="s">
        <v>1428</v>
      </c>
      <c r="F17" s="26">
        <f>'数据-取费表'!B35</f>
        <v>0</v>
      </c>
      <c r="G17" s="1852"/>
      <c r="H17" s="1199" t="s">
        <v>1035</v>
      </c>
      <c r="I17" s="345" t="s">
        <v>1429</v>
      </c>
      <c r="J17" s="24">
        <f ca="1">ROUND(IF(项目基本情况!B11="自然人",J5*M17,J18+J19+J20),1)</f>
        <v>176</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205</v>
      </c>
      <c r="D18" s="345" t="s">
        <v>1421</v>
      </c>
      <c r="E18" s="345" t="s">
        <v>1422</v>
      </c>
      <c r="F18" s="365">
        <f>'数据-取费表'!B36</f>
        <v>1.4999999999999999E-2</v>
      </c>
      <c r="G18" s="1852"/>
      <c r="H18" s="1199" t="s">
        <v>1034</v>
      </c>
      <c r="I18" s="345" t="s">
        <v>1433</v>
      </c>
      <c r="J18" s="24">
        <f ca="1">ROUND(J5*M18/(1+'数据-取费表'!C42),2)</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14260</v>
      </c>
      <c r="D19" s="138" t="s">
        <v>1436</v>
      </c>
      <c r="E19" s="1816"/>
      <c r="F19" s="26"/>
      <c r="G19" s="1849"/>
      <c r="H19" s="1199" t="s">
        <v>1036</v>
      </c>
      <c r="I19" s="345" t="s">
        <v>1437</v>
      </c>
      <c r="J19" s="24">
        <f ca="1">IF(K19="按租金收入计税",ROUND(J5*M19,2),ROUND(C29*M19*0.7,2))</f>
        <v>171.08</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285</v>
      </c>
      <c r="D20" s="367" t="s">
        <v>1440</v>
      </c>
      <c r="E20" s="345" t="s">
        <v>1422</v>
      </c>
      <c r="F20" s="365">
        <f>'数据-取费表'!B37</f>
        <v>0.02</v>
      </c>
      <c r="G20" s="1852"/>
      <c r="H20" s="1199" t="s">
        <v>1389</v>
      </c>
      <c r="I20" s="162" t="s">
        <v>1441</v>
      </c>
      <c r="J20" s="25">
        <f ca="1">ROUND(M20*M21/10000,2)</f>
        <v>4.93</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5476.4800000000005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ROUND(J14*M22,1)</f>
        <v>305.5</v>
      </c>
      <c r="K22" s="179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1049</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1796" t="s">
        <v>1454</v>
      </c>
      <c r="L23" s="345" t="s">
        <v>1455</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1816"/>
      <c r="F25" s="26"/>
      <c r="G25" s="1849"/>
      <c r="H25" s="1327" t="s">
        <v>1031</v>
      </c>
      <c r="I25" s="1342" t="s">
        <v>1463</v>
      </c>
      <c r="J25" s="353">
        <f ca="1">J5-J16</f>
        <v>-482</v>
      </c>
      <c r="K25" s="1343" t="s">
        <v>1464</v>
      </c>
      <c r="L25" s="1344"/>
      <c r="M25" s="1345"/>
    </row>
    <row r="26" spans="1:37">
      <c r="A26" s="1199" t="s">
        <v>1034</v>
      </c>
      <c r="B26" s="345" t="s">
        <v>1465</v>
      </c>
      <c r="C26" s="24">
        <f ca="1">ROUND((C19+C20)*F26,0)</f>
        <v>2909</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20367</v>
      </c>
      <c r="D29" s="1340"/>
      <c r="E29" s="1338"/>
      <c r="F29" s="1341"/>
      <c r="G29" s="1852"/>
      <c r="H29" s="378" t="s">
        <v>1033</v>
      </c>
      <c r="I29" s="379" t="s">
        <v>1479</v>
      </c>
      <c r="J29" s="380">
        <f ca="1">ROUND(J26/(1+F40)^F41,0)</f>
        <v>0</v>
      </c>
      <c r="K29" s="381" t="s">
        <v>1480</v>
      </c>
      <c r="L29" s="382"/>
      <c r="M29" s="383">
        <f ca="1">INDIRECT("'数据-取费表'!k"&amp;$G$1)</f>
        <v>38591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2202</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ROUND(IF(项目基本情况!B11="自然人",C5*F31,C32+C33+C34),1)</f>
        <v>1765.1</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541.6</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1218.5999999999999</v>
      </c>
      <c r="D33" s="1826" t="s">
        <v>3231</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4.93</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5476.4800000000005</v>
      </c>
      <c r="G35" s="1849"/>
      <c r="H35" s="743"/>
      <c r="I35" s="1858"/>
      <c r="J35" s="1859"/>
      <c r="K35" s="1860"/>
      <c r="L35" s="1857"/>
      <c r="M35" s="1857"/>
    </row>
    <row r="36" spans="1:18" ht="18" customHeight="1">
      <c r="A36" s="1350" t="s">
        <v>1039</v>
      </c>
      <c r="B36" s="345" t="s">
        <v>1449</v>
      </c>
      <c r="C36" s="24">
        <f ca="1">ROUND(C29*F36,1)</f>
        <v>305.5</v>
      </c>
      <c r="D36" s="179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30.2</v>
      </c>
      <c r="D37" s="1796" t="s">
        <v>1454</v>
      </c>
      <c r="E37" s="345" t="s">
        <v>1455</v>
      </c>
      <c r="F37" s="374">
        <f ca="1">INDIRECT("'数据-取费表'!Al"&amp;$G$1)</f>
        <v>1.5E-3</v>
      </c>
      <c r="G37" s="1849"/>
      <c r="H37" s="1857"/>
      <c r="I37" s="1858"/>
      <c r="J37" s="1859"/>
      <c r="K37" s="749"/>
      <c r="L37" s="1857"/>
      <c r="M37" s="1857"/>
    </row>
    <row r="38" spans="1:18" ht="18" customHeight="1" thickBot="1">
      <c r="A38" s="1337" t="s">
        <v>1393</v>
      </c>
      <c r="B38" s="1338" t="s">
        <v>1439</v>
      </c>
      <c r="C38" s="1339">
        <f ca="1">ROUND(C5*F38,1)</f>
        <v>101.6</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3">
        <f ca="1">C5-C30</f>
        <v>7953</v>
      </c>
      <c r="D39" s="1343" t="s">
        <v>1484</v>
      </c>
      <c r="E39" s="1344"/>
      <c r="F39" s="1345"/>
      <c r="G39" s="1849"/>
      <c r="H39" s="1857"/>
      <c r="I39" s="1858"/>
      <c r="J39" s="1859"/>
      <c r="K39" s="1863"/>
      <c r="L39" s="1857"/>
      <c r="M39" s="1857"/>
    </row>
    <row r="40" spans="1:18" ht="18" customHeight="1">
      <c r="A40" s="342" t="s">
        <v>1032</v>
      </c>
      <c r="B40" s="343" t="s">
        <v>1485</v>
      </c>
      <c r="C40" s="344">
        <f ca="1">ROUND(C39*(1-((1+F42)/(1+F40))^F41)/(F40-F42),0)</f>
        <v>199713</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41.21</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51751</v>
      </c>
      <c r="D43" s="381" t="s">
        <v>1488</v>
      </c>
      <c r="E43" s="382" t="s">
        <v>1489</v>
      </c>
      <c r="F43" s="383">
        <f ca="1">INDIRECT("'数据-取费表'!k"&amp;$G$1)</f>
        <v>38591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-232915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3194</v>
      </c>
      <c r="K47" s="1880" t="s">
        <v>1527</v>
      </c>
      <c r="L47" s="1881">
        <f ca="1">INDIRECT("'数据-取费表'!d"&amp;$G$1)</f>
        <v>50</v>
      </c>
      <c r="M47" s="1836" t="str">
        <f>IF(ISNUMBER(FIND("住宅",C1)),"住宅","非住宅")</f>
        <v>非住宅</v>
      </c>
      <c r="O47" s="1882" t="s">
        <v>1040</v>
      </c>
      <c r="P47" s="1883" t="s">
        <v>1528</v>
      </c>
      <c r="Q47" s="1884">
        <f ca="1">C40+J29</f>
        <v>199713</v>
      </c>
      <c r="R47" s="1884" t="s">
        <v>1529</v>
      </c>
    </row>
    <row r="48" spans="1:18" s="1840" customFormat="1" ht="28.5" thickBot="1">
      <c r="A48" s="1358" t="s">
        <v>1135</v>
      </c>
      <c r="B48" s="343" t="s">
        <v>1401</v>
      </c>
      <c r="C48" s="1815">
        <f ca="1">C49+C53+C55</f>
        <v>0</v>
      </c>
      <c r="D48" s="1360"/>
      <c r="E48" s="1361"/>
      <c r="F48" s="1179"/>
      <c r="G48" s="790"/>
      <c r="H48" s="791"/>
      <c r="I48" s="1885" t="s">
        <v>1530</v>
      </c>
      <c r="J48" s="1886" t="s">
        <v>3195</v>
      </c>
      <c r="K48" s="1887" t="s">
        <v>1531</v>
      </c>
      <c r="L48" s="1888">
        <f ca="1">INDIRECT("'数据-取费表'!f"&amp;$G$1)</f>
        <v>41.21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3028</v>
      </c>
      <c r="E49" s="1828" t="s">
        <v>1491</v>
      </c>
      <c r="F49" s="1279"/>
      <c r="G49" s="1889"/>
      <c r="H49" s="791"/>
      <c r="I49" s="1885" t="s">
        <v>1534</v>
      </c>
      <c r="J49" s="3078">
        <v>2018</v>
      </c>
      <c r="K49" s="1887" t="s">
        <v>1535</v>
      </c>
      <c r="L49" s="1891"/>
      <c r="O49" s="1892" t="s">
        <v>1042</v>
      </c>
      <c r="P49" s="1883" t="s">
        <v>1536</v>
      </c>
      <c r="Q49" s="1884">
        <f ca="1">C29</f>
        <v>20367</v>
      </c>
      <c r="R49" s="1884" t="s">
        <v>1529</v>
      </c>
    </row>
    <row r="50" spans="1:18" s="1840" customFormat="1" ht="13.5" thickBot="1">
      <c r="A50" s="1193"/>
      <c r="B50" s="1196"/>
      <c r="C50" s="1366"/>
      <c r="D50" s="1170"/>
      <c r="E50" s="1275" t="s">
        <v>1406</v>
      </c>
      <c r="F50" s="1276">
        <f ca="1">F7</f>
        <v>38591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108074</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v>0.09</v>
      </c>
      <c r="K52" s="1901" t="s">
        <v>1544</v>
      </c>
      <c r="L52" s="1902"/>
      <c r="O52" s="1892" t="s">
        <v>1045</v>
      </c>
      <c r="P52" s="1883" t="s">
        <v>1545</v>
      </c>
      <c r="Q52" s="1884">
        <f ca="1">J53</f>
        <v>41.21</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41.21</v>
      </c>
      <c r="K53" s="3322" t="s">
        <v>1548</v>
      </c>
      <c r="L53" s="3323"/>
      <c r="O53" s="1882" t="s">
        <v>1046</v>
      </c>
      <c r="P53" s="1883" t="s">
        <v>1549</v>
      </c>
      <c r="Q53" s="1884">
        <f ca="1">Q47+Q48</f>
        <v>199713</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20163</v>
      </c>
      <c r="D56" s="1912"/>
      <c r="E56" s="1913"/>
      <c r="F56" s="1905"/>
      <c r="I56" s="1914" t="s">
        <v>1554</v>
      </c>
      <c r="J56" s="3080" t="s">
        <v>3179</v>
      </c>
      <c r="K56" s="1885" t="s">
        <v>1555</v>
      </c>
      <c r="L56" s="1888" t="str">
        <f ca="1">IF(L48&lt;J51,"——",L48-J53)</f>
        <v>——</v>
      </c>
      <c r="O56" s="1882" t="s">
        <v>1040</v>
      </c>
      <c r="P56" s="1883" t="s">
        <v>1528</v>
      </c>
      <c r="Q56" s="1884">
        <f ca="1">C40+J29</f>
        <v>199713</v>
      </c>
      <c r="R56" s="1884" t="s">
        <v>1529</v>
      </c>
    </row>
    <row r="57" spans="1:18" s="1840" customFormat="1" ht="24.75" thickBot="1">
      <c r="A57" s="1916"/>
      <c r="B57" s="1167" t="s">
        <v>1478</v>
      </c>
      <c r="C57" s="280">
        <f ca="1">C29</f>
        <v>20367</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2052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1715.8</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1710.83</v>
      </c>
      <c r="D61" s="1826" t="s">
        <v>1438</v>
      </c>
      <c r="E61" s="1167" t="s">
        <v>1494</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4.93</v>
      </c>
      <c r="D62" s="1182" t="s">
        <v>1497</v>
      </c>
      <c r="E62" s="1167" t="s">
        <v>1498</v>
      </c>
      <c r="F62" s="369">
        <f t="shared" si="0"/>
        <v>9</v>
      </c>
      <c r="I62" s="1927" t="s">
        <v>1570</v>
      </c>
      <c r="J62" s="1928" t="s">
        <v>1571</v>
      </c>
      <c r="K62" s="1928" t="s">
        <v>1572</v>
      </c>
      <c r="L62" s="1928" t="s">
        <v>1573</v>
      </c>
      <c r="M62" s="1929" t="s">
        <v>1574</v>
      </c>
      <c r="O62" s="1882" t="s">
        <v>1046</v>
      </c>
      <c r="P62" s="1883" t="s">
        <v>1575</v>
      </c>
      <c r="Q62" s="1884">
        <f ca="1">Q56+Q57</f>
        <v>199713</v>
      </c>
      <c r="R62" s="1884" t="s">
        <v>1047</v>
      </c>
    </row>
    <row r="63" spans="1:18" s="1840" customFormat="1" ht="13.5" thickBot="1">
      <c r="A63" s="370"/>
      <c r="B63" s="1173"/>
      <c r="C63" s="29"/>
      <c r="D63" s="1183"/>
      <c r="E63" s="1167" t="s">
        <v>1499</v>
      </c>
      <c r="F63" s="346">
        <f t="shared" ca="1" si="0"/>
        <v>5476.4800000000005</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305.5</v>
      </c>
      <c r="D64" s="1181" t="s">
        <v>1502</v>
      </c>
      <c r="E64" s="1167"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30.2</v>
      </c>
      <c r="D65" s="1181" t="s">
        <v>1454</v>
      </c>
      <c r="E65" s="1167" t="s">
        <v>1455</v>
      </c>
      <c r="F65" s="374">
        <f t="shared" ca="1" si="0"/>
        <v>1.5E-3</v>
      </c>
      <c r="I65" s="1927" t="s">
        <v>1579</v>
      </c>
      <c r="J65" s="1928">
        <v>40</v>
      </c>
      <c r="K65" s="1928">
        <v>30</v>
      </c>
      <c r="L65" s="1928">
        <v>50</v>
      </c>
      <c r="M65" s="1930">
        <v>0.02</v>
      </c>
      <c r="O65" s="1882" t="s">
        <v>1040</v>
      </c>
      <c r="P65" s="1883" t="s">
        <v>1580</v>
      </c>
      <c r="Q65" s="1884">
        <f ca="1">C40+J29</f>
        <v>199713</v>
      </c>
      <c r="R65" s="1884" t="s">
        <v>1529</v>
      </c>
    </row>
    <row r="66" spans="1:18" s="1840" customFormat="1" ht="16.5" thickBot="1">
      <c r="A66" s="1199" t="s">
        <v>1504</v>
      </c>
      <c r="B66" s="1167" t="s">
        <v>1439</v>
      </c>
      <c r="C66" s="24">
        <f ca="1">ROUND(C48*F66,1)</f>
        <v>0</v>
      </c>
      <c r="D66" s="1181" t="s">
        <v>1505</v>
      </c>
      <c r="E66" s="1167" t="s">
        <v>1422</v>
      </c>
      <c r="F66" s="355">
        <f t="shared" ca="1" si="0"/>
        <v>0.01</v>
      </c>
      <c r="O66" s="1882" t="s">
        <v>1041</v>
      </c>
      <c r="P66" s="1883" t="s">
        <v>1558</v>
      </c>
      <c r="Q66" s="1884">
        <f ca="1">L60</f>
        <v>0</v>
      </c>
      <c r="R66" s="1884" t="s">
        <v>1581</v>
      </c>
    </row>
    <row r="67" spans="1:18" s="1840" customFormat="1" ht="16.5" thickBot="1">
      <c r="A67" s="1174" t="s">
        <v>1031</v>
      </c>
      <c r="B67" s="1184" t="s">
        <v>1463</v>
      </c>
      <c r="C67" s="359">
        <f ca="1">C48-C58</f>
        <v>-2052</v>
      </c>
      <c r="D67" s="1180" t="s">
        <v>1464</v>
      </c>
      <c r="E67" s="1185"/>
      <c r="F67" s="1186"/>
      <c r="O67" s="1892" t="s">
        <v>1042</v>
      </c>
      <c r="P67" s="1883" t="s">
        <v>1562</v>
      </c>
      <c r="Q67" s="1931">
        <f ca="1">L51</f>
        <v>108074</v>
      </c>
      <c r="R67" s="1884" t="s">
        <v>1582</v>
      </c>
    </row>
    <row r="68" spans="1:18" s="1840" customFormat="1" ht="16.5" thickBot="1">
      <c r="A68" s="1164" t="s">
        <v>1032</v>
      </c>
      <c r="B68" s="1165" t="s">
        <v>1485</v>
      </c>
      <c r="C68" s="344">
        <f ca="1">ROUND(C67*(1-((1+F70)/(1+F68))^F69)/(F68-F70),0)</f>
        <v>-33202</v>
      </c>
      <c r="D68" s="1182" t="s">
        <v>1469</v>
      </c>
      <c r="E68" s="1167" t="s">
        <v>1470</v>
      </c>
      <c r="F68" s="355">
        <f ca="1">F40</f>
        <v>5.5E-2</v>
      </c>
      <c r="O68" s="1892" t="s">
        <v>1043</v>
      </c>
      <c r="P68" s="1932" t="s">
        <v>1583</v>
      </c>
      <c r="Q68" s="1884">
        <f ca="1">ROUND(Q69-Q70*Q71,0)</f>
        <v>6239</v>
      </c>
      <c r="R68" s="1884" t="s">
        <v>1051</v>
      </c>
    </row>
    <row r="69" spans="1:18" s="1840" customFormat="1" ht="13.5" thickBot="1">
      <c r="A69" s="1168"/>
      <c r="B69" s="1169"/>
      <c r="C69" s="349"/>
      <c r="D69" s="1187" t="s">
        <v>1473</v>
      </c>
      <c r="E69" s="1167" t="s">
        <v>1474</v>
      </c>
      <c r="F69" s="377">
        <f ca="1">F41</f>
        <v>41.21</v>
      </c>
      <c r="O69" s="1892" t="s">
        <v>1048</v>
      </c>
      <c r="P69" s="1932" t="s">
        <v>1584</v>
      </c>
      <c r="Q69" s="1884">
        <f ca="1">C39</f>
        <v>7953</v>
      </c>
      <c r="R69" s="1884" t="s">
        <v>1529</v>
      </c>
    </row>
    <row r="70" spans="1:18" s="1840" customFormat="1" ht="13.5" thickBot="1">
      <c r="A70" s="1171"/>
      <c r="B70" s="1172"/>
      <c r="C70" s="353"/>
      <c r="D70" s="1183"/>
      <c r="E70" s="1167" t="s">
        <v>1477</v>
      </c>
      <c r="F70" s="1273"/>
      <c r="O70" s="1892" t="s">
        <v>1049</v>
      </c>
      <c r="P70" s="1932" t="s">
        <v>1585</v>
      </c>
      <c r="Q70" s="1884">
        <f ca="1">C13</f>
        <v>20163</v>
      </c>
      <c r="R70" s="1884" t="s">
        <v>1529</v>
      </c>
    </row>
    <row r="71" spans="1:18" s="1840" customFormat="1" ht="13.5" thickBot="1">
      <c r="A71" s="1188" t="s">
        <v>1033</v>
      </c>
      <c r="B71" s="1189" t="s">
        <v>1487</v>
      </c>
      <c r="C71" s="380">
        <f ca="1">ROUND(C68*10000/F71,0)</f>
        <v>-8604</v>
      </c>
      <c r="D71" s="1190" t="s">
        <v>1488</v>
      </c>
      <c r="E71" s="1191" t="s">
        <v>1489</v>
      </c>
      <c r="F71" s="383">
        <f ca="1">F43</f>
        <v>38591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1714</v>
      </c>
      <c r="D75" s="1840"/>
      <c r="E75" s="1840"/>
      <c r="F75" s="1840"/>
      <c r="K75" s="1866"/>
      <c r="L75" s="1840"/>
      <c r="O75" s="1882" t="s">
        <v>1046</v>
      </c>
      <c r="P75" s="1883" t="s">
        <v>1549</v>
      </c>
      <c r="Q75" s="1884">
        <f ca="1">Q65+Q66</f>
        <v>199713</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0.78400000000000003</v>
      </c>
    </row>
    <row r="80" spans="1:18">
      <c r="B80" s="384" t="s">
        <v>1511</v>
      </c>
      <c r="C80" s="316">
        <f ca="1">ROUND(C75/C39,3)</f>
        <v>0.216</v>
      </c>
    </row>
    <row r="81" spans="2:3">
      <c r="B81" s="312" t="s">
        <v>1512</v>
      </c>
      <c r="C81" s="280"/>
    </row>
    <row r="82" spans="2:3">
      <c r="B82" s="315" t="s">
        <v>1513</v>
      </c>
      <c r="C82" s="317">
        <f ca="1">1-C83</f>
        <v>0.89900000000000002</v>
      </c>
    </row>
    <row r="83" spans="2:3">
      <c r="B83" s="315" t="s">
        <v>1514</v>
      </c>
      <c r="C83" s="316">
        <f ca="1">ROUND(C13/C40,3)</f>
        <v>0.10100000000000001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activeCellId="2" sqref="J56 J52 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3165</v>
      </c>
      <c r="D1" s="1818" t="s">
        <v>70</v>
      </c>
      <c r="E1" s="1819" t="s">
        <v>1387</v>
      </c>
      <c r="F1" s="1281">
        <f ca="1">J53</f>
        <v>31.2</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22105</v>
      </c>
      <c r="C2" s="1843" t="s">
        <v>1516</v>
      </c>
      <c r="D2" s="1843"/>
      <c r="E2" s="1844"/>
      <c r="F2" s="1845"/>
      <c r="G2" s="1846"/>
      <c r="H2" s="1838"/>
      <c r="I2" s="1838"/>
      <c r="J2" s="1838"/>
      <c r="K2" s="1839"/>
      <c r="L2" s="1838"/>
      <c r="M2" s="1838"/>
    </row>
    <row r="3" spans="1:37" ht="18" customHeight="1" thickBot="1">
      <c r="A3" s="1847" t="s">
        <v>1517</v>
      </c>
      <c r="B3" s="1848">
        <f ca="1">IF(ISERROR(B2*10000/F43),0,ROUND(B2*10000/F43,0))</f>
        <v>63157</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1324</v>
      </c>
      <c r="D5" s="1820" t="s">
        <v>1402</v>
      </c>
      <c r="E5" s="1291"/>
      <c r="F5" s="1292"/>
      <c r="G5" s="1849"/>
      <c r="H5" s="342">
        <v>1</v>
      </c>
      <c r="I5" s="343" t="s">
        <v>1401</v>
      </c>
      <c r="J5" s="1290">
        <f ca="1">J6+J10+J12</f>
        <v>0</v>
      </c>
      <c r="K5" s="1820" t="s">
        <v>1402</v>
      </c>
      <c r="L5" s="1291"/>
      <c r="M5" s="1292"/>
    </row>
    <row r="6" spans="1:37" ht="18" customHeight="1">
      <c r="A6" s="1289" t="s">
        <v>1035</v>
      </c>
      <c r="B6" s="3319" t="s">
        <v>1403</v>
      </c>
      <c r="C6" s="1294">
        <f ca="1">ROUND(F6*F8*F7*(1-F9)/10000,0)</f>
        <v>1322</v>
      </c>
      <c r="D6" s="162" t="s">
        <v>3027</v>
      </c>
      <c r="E6" s="345" t="s">
        <v>1405</v>
      </c>
      <c r="F6" s="346">
        <f ca="1">INDIRECT("'数据-取费表'!u"&amp;$G$1)</f>
        <v>11.5</v>
      </c>
      <c r="G6" s="1849"/>
      <c r="H6" s="1289" t="s">
        <v>1035</v>
      </c>
      <c r="I6" s="3319" t="s">
        <v>1403</v>
      </c>
      <c r="J6" s="344">
        <f ca="1">ROUND(M6*M8*M7*(1-M9)/10000,0)</f>
        <v>0</v>
      </c>
      <c r="K6" s="162" t="s">
        <v>3026</v>
      </c>
      <c r="L6" s="345" t="s">
        <v>1405</v>
      </c>
      <c r="M6" s="346">
        <f ca="1">INDIRECT("'数据-取费表'!z"&amp;$G$1)</f>
        <v>0</v>
      </c>
    </row>
    <row r="7" spans="1:37" ht="18" customHeight="1">
      <c r="A7" s="1293"/>
      <c r="B7" s="3320"/>
      <c r="C7" s="1295"/>
      <c r="D7" s="350"/>
      <c r="E7" s="2943" t="s">
        <v>1406</v>
      </c>
      <c r="F7" s="346">
        <f ca="1">IF(INDIRECT("'数据-取费表'!ah"&amp;$G$1)="",INDIRECT("'数据-取费表'!k"&amp;$G$1),INDIRECT("'数据-取费表'!ah"&amp;$G$1))</f>
        <v>3500</v>
      </c>
      <c r="G7" s="1849"/>
      <c r="H7" s="347"/>
      <c r="I7" s="3320"/>
      <c r="J7" s="349"/>
      <c r="K7" s="350"/>
      <c r="L7" s="345" t="s">
        <v>1406</v>
      </c>
      <c r="M7" s="346">
        <f ca="1">F7</f>
        <v>3500</v>
      </c>
    </row>
    <row r="8" spans="1:37" ht="18" customHeight="1">
      <c r="A8" s="347"/>
      <c r="B8" s="3320"/>
      <c r="C8" s="349"/>
      <c r="D8" s="350"/>
      <c r="E8" s="345" t="s">
        <v>1407</v>
      </c>
      <c r="F8" s="346">
        <f ca="1">INDIRECT("'数据-取费表'!ai"&amp;$G$1)</f>
        <v>365</v>
      </c>
      <c r="G8" s="1849"/>
      <c r="H8" s="347"/>
      <c r="I8" s="3320"/>
      <c r="J8" s="349"/>
      <c r="K8" s="350"/>
      <c r="L8" s="345" t="s">
        <v>1407</v>
      </c>
      <c r="M8" s="346">
        <f ca="1">INDIRECT("'数据-取费表'!ai"&amp;$G$1)</f>
        <v>365</v>
      </c>
    </row>
    <row r="9" spans="1:37" ht="18" customHeight="1">
      <c r="A9" s="347"/>
      <c r="B9" s="3321"/>
      <c r="C9" s="349"/>
      <c r="D9" s="350"/>
      <c r="E9" s="345" t="s">
        <v>1408</v>
      </c>
      <c r="F9" s="355">
        <f ca="1">INDIRECT("'数据-取费表'!w"&amp;$G$1)</f>
        <v>0.1</v>
      </c>
      <c r="G9" s="1849"/>
      <c r="H9" s="347"/>
      <c r="I9" s="3321"/>
      <c r="J9" s="349"/>
      <c r="K9" s="350"/>
      <c r="L9" s="356" t="s">
        <v>1408</v>
      </c>
      <c r="M9" s="357">
        <f ca="1">INDIRECT("'数据-取费表'!ab"&amp;$G$1)</f>
        <v>0</v>
      </c>
    </row>
    <row r="10" spans="1:37" ht="18" customHeight="1">
      <c r="A10" s="1289" t="s">
        <v>1039</v>
      </c>
      <c r="B10" s="1821" t="s">
        <v>1409</v>
      </c>
      <c r="C10" s="359">
        <f ca="1">ROUND(IF(F10="押一",C6/12*F11,IF(F10="押二",C6/12*2*F11,IF(F10="押三",C6/12*3*F11,C11*F11))),0)</f>
        <v>2</v>
      </c>
      <c r="D10" s="1822" t="s">
        <v>3035</v>
      </c>
      <c r="E10" s="356" t="s">
        <v>1410</v>
      </c>
      <c r="F10" s="1364" t="s">
        <v>3193</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1905</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1238</v>
      </c>
      <c r="D14" s="2937" t="s">
        <v>1418</v>
      </c>
      <c r="E14" s="2935"/>
      <c r="F14" s="362"/>
      <c r="G14" s="1849"/>
      <c r="H14" s="1199" t="s">
        <v>1035</v>
      </c>
      <c r="I14" s="345" t="s">
        <v>1419</v>
      </c>
      <c r="J14" s="24">
        <f ca="1">C29</f>
        <v>1924</v>
      </c>
      <c r="K14" s="2942"/>
      <c r="L14" s="977"/>
      <c r="M14" s="978"/>
    </row>
    <row r="15" spans="1:37" s="1856" customFormat="1" ht="18" customHeight="1" thickBot="1">
      <c r="A15" s="1199" t="s">
        <v>1036</v>
      </c>
      <c r="B15" s="345" t="s">
        <v>1420</v>
      </c>
      <c r="C15" s="24">
        <f ca="1">ROUND(C14*F15,0)</f>
        <v>37</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46</v>
      </c>
      <c r="K16" s="1335" t="s">
        <v>1425</v>
      </c>
      <c r="L16" s="2938"/>
      <c r="M16" s="1292"/>
    </row>
    <row r="17" spans="1:37" s="1856" customFormat="1" ht="18" customHeight="1">
      <c r="A17" s="1199" t="s">
        <v>1390</v>
      </c>
      <c r="B17" s="345" t="s">
        <v>1426</v>
      </c>
      <c r="C17" s="24">
        <f ca="1">ROUND(F17*(F43+INDIRECT("'数据-取费表'!S"&amp;$G$1))/10000,0)</f>
        <v>0</v>
      </c>
      <c r="D17" s="345" t="s">
        <v>1427</v>
      </c>
      <c r="E17" s="345" t="s">
        <v>1428</v>
      </c>
      <c r="F17" s="26">
        <f>'数据-取费表'!B35</f>
        <v>0</v>
      </c>
      <c r="G17" s="1852"/>
      <c r="H17" s="1199" t="s">
        <v>1035</v>
      </c>
      <c r="I17" s="345" t="s">
        <v>1429</v>
      </c>
      <c r="J17" s="24">
        <f ca="1">ROUND(IF(项目基本情况!B11="自然人",J5*M17,J18+J19+J20),1)</f>
        <v>16.600000000000001</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19</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1294</v>
      </c>
      <c r="D19" s="138" t="s">
        <v>1436</v>
      </c>
      <c r="E19" s="2941"/>
      <c r="F19" s="26"/>
      <c r="G19" s="1849"/>
      <c r="H19" s="1199" t="s">
        <v>1036</v>
      </c>
      <c r="I19" s="345" t="s">
        <v>1437</v>
      </c>
      <c r="J19" s="24">
        <f ca="1">IF(K19="按租金收入计税",ROUND(J5*M19,2),ROUND(C29*M19*0.7,2))</f>
        <v>16.16</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26</v>
      </c>
      <c r="D20" s="367" t="s">
        <v>1440</v>
      </c>
      <c r="E20" s="345" t="s">
        <v>1422</v>
      </c>
      <c r="F20" s="365">
        <f>'数据-取费表'!B37</f>
        <v>0.02</v>
      </c>
      <c r="G20" s="1852"/>
      <c r="H20" s="1199" t="s">
        <v>1389</v>
      </c>
      <c r="I20" s="162" t="s">
        <v>1441</v>
      </c>
      <c r="J20" s="25">
        <f ca="1">ROUND(M20*M21/10000,2)</f>
        <v>0.45</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496.68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28.9</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95</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-46</v>
      </c>
      <c r="K25" s="1343" t="s">
        <v>1464</v>
      </c>
      <c r="L25" s="1344"/>
      <c r="M25" s="1345"/>
    </row>
    <row r="26" spans="1:37">
      <c r="A26" s="1199" t="s">
        <v>1034</v>
      </c>
      <c r="B26" s="345" t="s">
        <v>1465</v>
      </c>
      <c r="C26" s="24">
        <f ca="1">ROUND((C19+C20)*F26,0)</f>
        <v>330</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7.4999999999999997E-3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1924</v>
      </c>
      <c r="D29" s="1340"/>
      <c r="E29" s="1338"/>
      <c r="F29" s="1341"/>
      <c r="G29" s="1852"/>
      <c r="H29" s="378" t="s">
        <v>1033</v>
      </c>
      <c r="I29" s="379" t="s">
        <v>1479</v>
      </c>
      <c r="J29" s="380">
        <f ca="1">ROUND(J26/(1+F40)^F41,0)</f>
        <v>0</v>
      </c>
      <c r="K29" s="381" t="s">
        <v>1480</v>
      </c>
      <c r="L29" s="382"/>
      <c r="M29" s="383">
        <f ca="1">INDIRECT("'数据-取费表'!k"&amp;$G$1)</f>
        <v>3500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275</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229.9</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70.61</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158.88</v>
      </c>
      <c r="D33" s="1826" t="s">
        <v>3231</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0.45</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496.68</v>
      </c>
      <c r="G35" s="1849"/>
      <c r="H35" s="743"/>
      <c r="I35" s="1858"/>
      <c r="J35" s="1859"/>
      <c r="K35" s="1860"/>
      <c r="L35" s="1857"/>
      <c r="M35" s="1857"/>
    </row>
    <row r="36" spans="1:18" ht="18" customHeight="1">
      <c r="A36" s="1350" t="s">
        <v>1039</v>
      </c>
      <c r="B36" s="345" t="s">
        <v>1449</v>
      </c>
      <c r="C36" s="24">
        <f ca="1">ROUND(C29*F36,1)</f>
        <v>28.9</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2.9</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13.2</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3">
        <f ca="1">C5-C30</f>
        <v>1049</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22105</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31.2</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63157</v>
      </c>
      <c r="D43" s="381" t="s">
        <v>1488</v>
      </c>
      <c r="E43" s="382" t="s">
        <v>1489</v>
      </c>
      <c r="F43" s="383">
        <f ca="1">INDIRECT("'数据-取费表'!k"&amp;$G$1)</f>
        <v>3500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-24969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3194</v>
      </c>
      <c r="K47" s="1880" t="s">
        <v>1527</v>
      </c>
      <c r="L47" s="1881">
        <f ca="1">INDIRECT("'数据-取费表'!d"&amp;$G$1)</f>
        <v>40</v>
      </c>
      <c r="M47" s="1836" t="str">
        <f>IF(ISNUMBER(FIND("住宅",C1)),"住宅","非住宅")</f>
        <v>非住宅</v>
      </c>
      <c r="O47" s="1882" t="s">
        <v>1040</v>
      </c>
      <c r="P47" s="1883" t="s">
        <v>1528</v>
      </c>
      <c r="Q47" s="1884">
        <f ca="1">C40+J29</f>
        <v>22105</v>
      </c>
      <c r="R47" s="1884" t="s">
        <v>1529</v>
      </c>
    </row>
    <row r="48" spans="1:18" s="1840" customFormat="1" ht="28.5" thickBot="1">
      <c r="A48" s="1358" t="s">
        <v>1135</v>
      </c>
      <c r="B48" s="343" t="s">
        <v>1401</v>
      </c>
      <c r="C48" s="2940">
        <f ca="1">C49+C53+C55</f>
        <v>0</v>
      </c>
      <c r="D48" s="1360"/>
      <c r="E48" s="1361"/>
      <c r="F48" s="1179"/>
      <c r="G48" s="790"/>
      <c r="H48" s="791"/>
      <c r="I48" s="1885" t="s">
        <v>1530</v>
      </c>
      <c r="J48" s="1886" t="s">
        <v>3195</v>
      </c>
      <c r="K48" s="1887" t="s">
        <v>1531</v>
      </c>
      <c r="L48" s="1888">
        <f ca="1">INDIRECT("'数据-取费表'!f"&amp;$G$1)</f>
        <v>31.2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公寓!J49</f>
        <v>2018</v>
      </c>
      <c r="K49" s="1887" t="s">
        <v>1535</v>
      </c>
      <c r="L49" s="1891"/>
      <c r="O49" s="1892" t="s">
        <v>1042</v>
      </c>
      <c r="P49" s="1883" t="s">
        <v>1536</v>
      </c>
      <c r="Q49" s="1884">
        <f ca="1">C29</f>
        <v>1924</v>
      </c>
      <c r="R49" s="1884" t="s">
        <v>1529</v>
      </c>
    </row>
    <row r="50" spans="1:18" s="1840" customFormat="1" ht="13.5" thickBot="1">
      <c r="A50" s="1193"/>
      <c r="B50" s="1196"/>
      <c r="C50" s="1366"/>
      <c r="D50" s="1170"/>
      <c r="E50" s="1275" t="s">
        <v>1406</v>
      </c>
      <c r="F50" s="1276">
        <f ca="1">F7</f>
        <v>3500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13870</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公寓!J52</f>
        <v>0.09</v>
      </c>
      <c r="K52" s="1901" t="s">
        <v>1544</v>
      </c>
      <c r="L52" s="1902"/>
      <c r="O52" s="1892" t="s">
        <v>1045</v>
      </c>
      <c r="P52" s="1883" t="s">
        <v>1545</v>
      </c>
      <c r="Q52" s="1884">
        <f ca="1">J53</f>
        <v>31.2</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31.2</v>
      </c>
      <c r="K53" s="3322" t="s">
        <v>1548</v>
      </c>
      <c r="L53" s="3323"/>
      <c r="O53" s="1882" t="s">
        <v>1046</v>
      </c>
      <c r="P53" s="1883" t="s">
        <v>1549</v>
      </c>
      <c r="Q53" s="1884">
        <f ca="1">Q47+Q48</f>
        <v>22105</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1905</v>
      </c>
      <c r="D56" s="1912"/>
      <c r="E56" s="1913"/>
      <c r="F56" s="1905"/>
      <c r="I56" s="1914" t="s">
        <v>1554</v>
      </c>
      <c r="J56" s="3080" t="s">
        <v>3179</v>
      </c>
      <c r="K56" s="1885" t="s">
        <v>1555</v>
      </c>
      <c r="L56" s="1888" t="str">
        <f ca="1">IF(L48&lt;J51,"——",L48-J53)</f>
        <v>——</v>
      </c>
      <c r="O56" s="1882" t="s">
        <v>1040</v>
      </c>
      <c r="P56" s="1883" t="s">
        <v>1528</v>
      </c>
      <c r="Q56" s="1884">
        <f ca="1">C40+J29</f>
        <v>22105</v>
      </c>
      <c r="R56" s="1884" t="s">
        <v>1529</v>
      </c>
    </row>
    <row r="57" spans="1:18" s="1840" customFormat="1" ht="24.75" thickBot="1">
      <c r="A57" s="1916"/>
      <c r="B57" s="1167" t="s">
        <v>1478</v>
      </c>
      <c r="C57" s="280">
        <f ca="1">C29</f>
        <v>1924</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194</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162.1</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161.62</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0.45</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22105</v>
      </c>
      <c r="R62" s="1884" t="s">
        <v>1047</v>
      </c>
    </row>
    <row r="63" spans="1:18" s="1840" customFormat="1" ht="13.5" thickBot="1">
      <c r="A63" s="370"/>
      <c r="B63" s="1173"/>
      <c r="C63" s="29"/>
      <c r="D63" s="1183"/>
      <c r="E63" s="1167" t="s">
        <v>1447</v>
      </c>
      <c r="F63" s="346">
        <f t="shared" ca="1" si="0"/>
        <v>496.68</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28.9</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2.9</v>
      </c>
      <c r="D65" s="1181" t="s">
        <v>1454</v>
      </c>
      <c r="E65" s="1167" t="s">
        <v>1422</v>
      </c>
      <c r="F65" s="374">
        <f t="shared" ca="1" si="0"/>
        <v>1.5E-3</v>
      </c>
      <c r="I65" s="1927" t="s">
        <v>1579</v>
      </c>
      <c r="J65" s="1928">
        <v>40</v>
      </c>
      <c r="K65" s="1928">
        <v>30</v>
      </c>
      <c r="L65" s="1928">
        <v>50</v>
      </c>
      <c r="M65" s="1930">
        <v>0.02</v>
      </c>
      <c r="O65" s="1882" t="s">
        <v>1040</v>
      </c>
      <c r="P65" s="1883" t="s">
        <v>1528</v>
      </c>
      <c r="Q65" s="1884">
        <f ca="1">C40+J29</f>
        <v>22105</v>
      </c>
      <c r="R65" s="1884" t="s">
        <v>1529</v>
      </c>
    </row>
    <row r="66" spans="1:18" s="1840" customFormat="1" ht="16.5" thickBot="1">
      <c r="A66" s="1199" t="s">
        <v>1504</v>
      </c>
      <c r="B66" s="1167" t="s">
        <v>1439</v>
      </c>
      <c r="C66" s="24">
        <f ca="1">ROUND(C48*F66,1)</f>
        <v>0</v>
      </c>
      <c r="D66" s="1181" t="s">
        <v>1459</v>
      </c>
      <c r="E66" s="1167" t="s">
        <v>1422</v>
      </c>
      <c r="F66" s="355">
        <f t="shared" ca="1" si="0"/>
        <v>0.01</v>
      </c>
      <c r="O66" s="1882" t="s">
        <v>1041</v>
      </c>
      <c r="P66" s="1883" t="s">
        <v>1558</v>
      </c>
      <c r="Q66" s="1884">
        <f ca="1">L60</f>
        <v>0</v>
      </c>
      <c r="R66" s="1884" t="s">
        <v>1581</v>
      </c>
    </row>
    <row r="67" spans="1:18" s="1840" customFormat="1" ht="16.5" thickBot="1">
      <c r="A67" s="1174" t="s">
        <v>1031</v>
      </c>
      <c r="B67" s="1184" t="s">
        <v>1463</v>
      </c>
      <c r="C67" s="359">
        <f ca="1">C48-C58</f>
        <v>-194</v>
      </c>
      <c r="D67" s="1180" t="s">
        <v>1464</v>
      </c>
      <c r="E67" s="1185"/>
      <c r="F67" s="1186"/>
      <c r="O67" s="1892" t="s">
        <v>1042</v>
      </c>
      <c r="P67" s="1883" t="s">
        <v>1562</v>
      </c>
      <c r="Q67" s="1931">
        <f ca="1">L51</f>
        <v>13870</v>
      </c>
      <c r="R67" s="1884" t="s">
        <v>1582</v>
      </c>
    </row>
    <row r="68" spans="1:18" s="1840" customFormat="1" ht="16.5" thickBot="1">
      <c r="A68" s="1164" t="s">
        <v>1032</v>
      </c>
      <c r="B68" s="1165" t="s">
        <v>1485</v>
      </c>
      <c r="C68" s="344">
        <f ca="1">ROUND(C67*(1-((1+F70)/(1+F68))^F69)/(F68-F70),0)</f>
        <v>-2864</v>
      </c>
      <c r="D68" s="1182" t="s">
        <v>1469</v>
      </c>
      <c r="E68" s="1167" t="s">
        <v>1470</v>
      </c>
      <c r="F68" s="355">
        <f ca="1">F40</f>
        <v>5.5E-2</v>
      </c>
      <c r="O68" s="1892" t="s">
        <v>1043</v>
      </c>
      <c r="P68" s="1932" t="s">
        <v>1583</v>
      </c>
      <c r="Q68" s="1884">
        <f ca="1">ROUND(Q69-Q70*Q71,0)</f>
        <v>887</v>
      </c>
      <c r="R68" s="1884" t="s">
        <v>1051</v>
      </c>
    </row>
    <row r="69" spans="1:18" s="1840" customFormat="1" ht="13.5" thickBot="1">
      <c r="A69" s="1168"/>
      <c r="B69" s="1169"/>
      <c r="C69" s="349"/>
      <c r="D69" s="1187" t="s">
        <v>1473</v>
      </c>
      <c r="E69" s="1167" t="s">
        <v>1474</v>
      </c>
      <c r="F69" s="377">
        <f ca="1">F41</f>
        <v>31.2</v>
      </c>
      <c r="O69" s="1892" t="s">
        <v>1048</v>
      </c>
      <c r="P69" s="1932" t="s">
        <v>1584</v>
      </c>
      <c r="Q69" s="1884">
        <f ca="1">C39</f>
        <v>1049</v>
      </c>
      <c r="R69" s="1884" t="s">
        <v>1529</v>
      </c>
    </row>
    <row r="70" spans="1:18" s="1840" customFormat="1" ht="13.5" thickBot="1">
      <c r="A70" s="1171"/>
      <c r="B70" s="1172"/>
      <c r="C70" s="353"/>
      <c r="D70" s="1183"/>
      <c r="E70" s="1167" t="s">
        <v>1477</v>
      </c>
      <c r="F70" s="1273"/>
      <c r="O70" s="1892" t="s">
        <v>1049</v>
      </c>
      <c r="P70" s="1932" t="s">
        <v>1585</v>
      </c>
      <c r="Q70" s="1884">
        <f ca="1">C13</f>
        <v>1905</v>
      </c>
      <c r="R70" s="1884" t="s">
        <v>1529</v>
      </c>
    </row>
    <row r="71" spans="1:18" s="1840" customFormat="1" ht="13.5" thickBot="1">
      <c r="A71" s="1188" t="s">
        <v>1033</v>
      </c>
      <c r="B71" s="1189" t="s">
        <v>1487</v>
      </c>
      <c r="C71" s="380">
        <f ca="1">ROUND(C68*10000/F71,0)</f>
        <v>-8183</v>
      </c>
      <c r="D71" s="1190" t="s">
        <v>1488</v>
      </c>
      <c r="E71" s="1191" t="s">
        <v>1489</v>
      </c>
      <c r="F71" s="383">
        <f ca="1">F43</f>
        <v>3500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162</v>
      </c>
      <c r="D75" s="1840"/>
      <c r="E75" s="1840"/>
      <c r="F75" s="1840"/>
      <c r="K75" s="1866"/>
      <c r="L75" s="1840"/>
      <c r="O75" s="1882" t="s">
        <v>1046</v>
      </c>
      <c r="P75" s="1883" t="s">
        <v>1549</v>
      </c>
      <c r="Q75" s="1884">
        <f ca="1">Q65+Q66</f>
        <v>22105</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0.84599999999999997</v>
      </c>
    </row>
    <row r="80" spans="1:18">
      <c r="B80" s="384" t="s">
        <v>1511</v>
      </c>
      <c r="C80" s="316">
        <f ca="1">ROUND(C75/C39,3)</f>
        <v>0.154</v>
      </c>
    </row>
    <row r="81" spans="2:3">
      <c r="B81" s="312" t="s">
        <v>1512</v>
      </c>
      <c r="C81" s="280"/>
    </row>
    <row r="82" spans="2:3">
      <c r="B82" s="315" t="s">
        <v>1513</v>
      </c>
      <c r="C82" s="317">
        <f ca="1">1-C83</f>
        <v>0.91400000000000003</v>
      </c>
    </row>
    <row r="83" spans="2:3">
      <c r="B83" s="315" t="s">
        <v>1514</v>
      </c>
      <c r="C83" s="316">
        <f ca="1">ROUND(C13/C40,3)</f>
        <v>8.5999999999999993E-2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activeCellId="2" sqref="J56 J52 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3167</v>
      </c>
      <c r="D1" s="1818" t="s">
        <v>70</v>
      </c>
      <c r="E1" s="1819" t="s">
        <v>1387</v>
      </c>
      <c r="F1" s="1281">
        <f ca="1">J53</f>
        <v>41.21</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41334</v>
      </c>
      <c r="C2" s="1843" t="s">
        <v>1516</v>
      </c>
      <c r="D2" s="1843"/>
      <c r="E2" s="1844"/>
      <c r="F2" s="1845"/>
      <c r="G2" s="1846"/>
      <c r="H2" s="1838"/>
      <c r="I2" s="1838"/>
      <c r="J2" s="1838"/>
      <c r="K2" s="1839"/>
      <c r="L2" s="1838"/>
      <c r="M2" s="1838"/>
    </row>
    <row r="3" spans="1:37" ht="18" customHeight="1" thickBot="1">
      <c r="A3" s="1847" t="s">
        <v>1517</v>
      </c>
      <c r="B3" s="1848">
        <f ca="1">IF(ISERROR(B2*10000/F43),0,ROUND(B2*10000/F43,0))</f>
        <v>51668</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2102</v>
      </c>
      <c r="D5" s="1820" t="s">
        <v>1402</v>
      </c>
      <c r="E5" s="1291"/>
      <c r="F5" s="1292"/>
      <c r="G5" s="1849"/>
      <c r="H5" s="342">
        <v>1</v>
      </c>
      <c r="I5" s="343" t="s">
        <v>1401</v>
      </c>
      <c r="J5" s="1290">
        <f ca="1">J6+J10+J12</f>
        <v>0</v>
      </c>
      <c r="K5" s="1820" t="s">
        <v>1402</v>
      </c>
      <c r="L5" s="1291"/>
      <c r="M5" s="1292"/>
    </row>
    <row r="6" spans="1:37" ht="18" customHeight="1">
      <c r="A6" s="1289" t="s">
        <v>1035</v>
      </c>
      <c r="B6" s="3319" t="s">
        <v>1403</v>
      </c>
      <c r="C6" s="1294">
        <f ca="1">ROUND(F6*F8*F7*(1-F9)/10000,0)</f>
        <v>2102</v>
      </c>
      <c r="D6" s="162" t="s">
        <v>3027</v>
      </c>
      <c r="E6" s="345" t="s">
        <v>1405</v>
      </c>
      <c r="F6" s="346">
        <f ca="1">INDIRECT("'数据-取费表'!u"&amp;$G$1)</f>
        <v>8</v>
      </c>
      <c r="G6" s="1849"/>
      <c r="H6" s="1289" t="s">
        <v>1035</v>
      </c>
      <c r="I6" s="3319" t="s">
        <v>1403</v>
      </c>
      <c r="J6" s="344">
        <f ca="1">ROUND(M6*M8*M7*(1-M9)/10000,0)</f>
        <v>0</v>
      </c>
      <c r="K6" s="162" t="s">
        <v>3026</v>
      </c>
      <c r="L6" s="345" t="s">
        <v>1405</v>
      </c>
      <c r="M6" s="346">
        <f ca="1">INDIRECT("'数据-取费表'!z"&amp;$G$1)</f>
        <v>0</v>
      </c>
    </row>
    <row r="7" spans="1:37" ht="18" customHeight="1">
      <c r="A7" s="1293"/>
      <c r="B7" s="3320"/>
      <c r="C7" s="1295"/>
      <c r="D7" s="350"/>
      <c r="E7" s="2943" t="s">
        <v>1406</v>
      </c>
      <c r="F7" s="346">
        <f ca="1">IF(INDIRECT("'数据-取费表'!ah"&amp;$G$1)="",INDIRECT("'数据-取费表'!k"&amp;$G$1),INDIRECT("'数据-取费表'!ah"&amp;$G$1))</f>
        <v>8000</v>
      </c>
      <c r="G7" s="1849"/>
      <c r="H7" s="347"/>
      <c r="I7" s="3320"/>
      <c r="J7" s="349"/>
      <c r="K7" s="350"/>
      <c r="L7" s="345" t="s">
        <v>1406</v>
      </c>
      <c r="M7" s="346">
        <f ca="1">F7</f>
        <v>8000</v>
      </c>
    </row>
    <row r="8" spans="1:37" ht="18" customHeight="1">
      <c r="A8" s="347"/>
      <c r="B8" s="3320"/>
      <c r="C8" s="349"/>
      <c r="D8" s="350"/>
      <c r="E8" s="345" t="s">
        <v>1407</v>
      </c>
      <c r="F8" s="346">
        <f ca="1">INDIRECT("'数据-取费表'!ai"&amp;$G$1)</f>
        <v>365</v>
      </c>
      <c r="G8" s="1849"/>
      <c r="H8" s="347"/>
      <c r="I8" s="3320"/>
      <c r="J8" s="349"/>
      <c r="K8" s="350"/>
      <c r="L8" s="345" t="s">
        <v>1407</v>
      </c>
      <c r="M8" s="346">
        <f ca="1">INDIRECT("'数据-取费表'!ai"&amp;$G$1)</f>
        <v>365</v>
      </c>
    </row>
    <row r="9" spans="1:37" ht="18" customHeight="1">
      <c r="A9" s="347"/>
      <c r="B9" s="3321"/>
      <c r="C9" s="349"/>
      <c r="D9" s="350"/>
      <c r="E9" s="345" t="s">
        <v>1408</v>
      </c>
      <c r="F9" s="355">
        <f ca="1">INDIRECT("'数据-取费表'!w"&amp;$G$1)</f>
        <v>0.1</v>
      </c>
      <c r="G9" s="1849"/>
      <c r="H9" s="347"/>
      <c r="I9" s="3321"/>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4179</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2829</v>
      </c>
      <c r="D14" s="2937" t="s">
        <v>1418</v>
      </c>
      <c r="E14" s="2935"/>
      <c r="F14" s="362"/>
      <c r="G14" s="1849"/>
      <c r="H14" s="1199" t="s">
        <v>1035</v>
      </c>
      <c r="I14" s="345" t="s">
        <v>1419</v>
      </c>
      <c r="J14" s="24">
        <f ca="1">C29</f>
        <v>4221</v>
      </c>
      <c r="K14" s="2942"/>
      <c r="L14" s="977"/>
      <c r="M14" s="978"/>
    </row>
    <row r="15" spans="1:37" s="1856" customFormat="1" ht="18" customHeight="1" thickBot="1">
      <c r="A15" s="1199" t="s">
        <v>1036</v>
      </c>
      <c r="B15" s="345" t="s">
        <v>1420</v>
      </c>
      <c r="C15" s="24">
        <f ca="1">ROUND(C14*F15,0)</f>
        <v>85</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100</v>
      </c>
      <c r="K16" s="1335" t="s">
        <v>1425</v>
      </c>
      <c r="L16" s="2938"/>
      <c r="M16" s="1292"/>
    </row>
    <row r="17" spans="1:37" s="1856" customFormat="1" ht="18" customHeight="1">
      <c r="A17" s="1199" t="s">
        <v>1390</v>
      </c>
      <c r="B17" s="345" t="s">
        <v>1426</v>
      </c>
      <c r="C17" s="24">
        <f ca="1">ROUND(F17*(F43+INDIRECT("'数据-取费表'!S"&amp;$G$1))/10000,0)</f>
        <v>0</v>
      </c>
      <c r="D17" s="345" t="s">
        <v>1427</v>
      </c>
      <c r="E17" s="345" t="s">
        <v>1428</v>
      </c>
      <c r="F17" s="26">
        <f>'数据-取费表'!B35</f>
        <v>0</v>
      </c>
      <c r="G17" s="1852"/>
      <c r="H17" s="1199" t="s">
        <v>1035</v>
      </c>
      <c r="I17" s="345" t="s">
        <v>1429</v>
      </c>
      <c r="J17" s="24">
        <f ca="1">ROUND(IF(项目基本情况!B11="自然人",J5*M17,J18+J19+J20),1)</f>
        <v>36.5</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42</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2956</v>
      </c>
      <c r="D19" s="138" t="s">
        <v>1436</v>
      </c>
      <c r="E19" s="2941"/>
      <c r="F19" s="26"/>
      <c r="G19" s="1849"/>
      <c r="H19" s="1199" t="s">
        <v>1036</v>
      </c>
      <c r="I19" s="345" t="s">
        <v>1437</v>
      </c>
      <c r="J19" s="24">
        <f ca="1">IF(K19="按租金收入计税",ROUND(J5*M19,2),ROUND(C29*M19*0.7,2))</f>
        <v>35.46</v>
      </c>
      <c r="K19" s="1826" t="s">
        <v>1438</v>
      </c>
      <c r="L19" s="345" t="s">
        <v>1422</v>
      </c>
      <c r="M19" s="365">
        <f>IF(K19="按租金收入计税",'数据-取费表'!B51,'数据-取费表'!B50)</f>
        <v>1.2E-2</v>
      </c>
    </row>
    <row r="20" spans="1:37" s="1856" customFormat="1" ht="18" customHeight="1">
      <c r="A20" s="1199" t="s">
        <v>1039</v>
      </c>
      <c r="B20" s="345" t="s">
        <v>1439</v>
      </c>
      <c r="C20" s="24">
        <f ca="1">ROUND(C19*F20,0)</f>
        <v>59</v>
      </c>
      <c r="D20" s="367" t="s">
        <v>1440</v>
      </c>
      <c r="E20" s="345" t="s">
        <v>1422</v>
      </c>
      <c r="F20" s="365">
        <f>'数据-取费表'!B37</f>
        <v>0.02</v>
      </c>
      <c r="G20" s="1852"/>
      <c r="H20" s="1199" t="s">
        <v>1389</v>
      </c>
      <c r="I20" s="162" t="s">
        <v>1441</v>
      </c>
      <c r="J20" s="25">
        <f ca="1">ROUND(M20*M21/10000,2)</f>
        <v>1.02</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1135.29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63.3</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217</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-100</v>
      </c>
      <c r="K25" s="1343" t="s">
        <v>1464</v>
      </c>
      <c r="L25" s="1344"/>
      <c r="M25" s="1345"/>
    </row>
    <row r="26" spans="1:37">
      <c r="A26" s="1199" t="s">
        <v>1034</v>
      </c>
      <c r="B26" s="345" t="s">
        <v>1465</v>
      </c>
      <c r="C26" s="24">
        <f ca="1">ROUND((C19+C20)*F26,0)</f>
        <v>603</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4221</v>
      </c>
      <c r="D29" s="1340"/>
      <c r="E29" s="1338"/>
      <c r="F29" s="1341"/>
      <c r="G29" s="1852"/>
      <c r="H29" s="378" t="s">
        <v>1033</v>
      </c>
      <c r="I29" s="379" t="s">
        <v>1479</v>
      </c>
      <c r="J29" s="380">
        <f ca="1">ROUND(J26/(1+F40)^F41,0)</f>
        <v>0</v>
      </c>
      <c r="K29" s="381" t="s">
        <v>1480</v>
      </c>
      <c r="L29" s="382"/>
      <c r="M29" s="383">
        <f ca="1">INDIRECT("'数据-取费表'!k"&amp;$G$1)</f>
        <v>8000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456</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365.4</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112.11</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252.24</v>
      </c>
      <c r="D33" s="1826" t="s">
        <v>3231</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1.02</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1135.29</v>
      </c>
      <c r="G35" s="1849"/>
      <c r="H35" s="743"/>
      <c r="I35" s="1858"/>
      <c r="J35" s="1859"/>
      <c r="K35" s="1860"/>
      <c r="L35" s="1857"/>
      <c r="M35" s="1857"/>
    </row>
    <row r="36" spans="1:18" ht="18" customHeight="1">
      <c r="A36" s="1350" t="s">
        <v>1039</v>
      </c>
      <c r="B36" s="345" t="s">
        <v>1449</v>
      </c>
      <c r="C36" s="24">
        <f ca="1">ROUND(C29*F36,1)</f>
        <v>63.3</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6.3</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21</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3">
        <f ca="1">C5-C30</f>
        <v>1646</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41334</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41.21</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51668</v>
      </c>
      <c r="D43" s="381" t="s">
        <v>1488</v>
      </c>
      <c r="E43" s="382" t="s">
        <v>1489</v>
      </c>
      <c r="F43" s="383">
        <f ca="1">INDIRECT("'数据-取费表'!k"&amp;$G$1)</f>
        <v>8000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-48211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3194</v>
      </c>
      <c r="K47" s="1880" t="s">
        <v>1527</v>
      </c>
      <c r="L47" s="1881">
        <f ca="1">INDIRECT("'数据-取费表'!d"&amp;$G$1)</f>
        <v>50</v>
      </c>
      <c r="M47" s="1836" t="str">
        <f>IF(ISNUMBER(FIND("住宅",C1)),"住宅","非住宅")</f>
        <v>非住宅</v>
      </c>
      <c r="O47" s="1882" t="s">
        <v>1040</v>
      </c>
      <c r="P47" s="1883" t="s">
        <v>1528</v>
      </c>
      <c r="Q47" s="1884">
        <f ca="1">C40+J29</f>
        <v>41334</v>
      </c>
      <c r="R47" s="1884" t="s">
        <v>1529</v>
      </c>
    </row>
    <row r="48" spans="1:18" s="1840" customFormat="1" ht="28.5" thickBot="1">
      <c r="A48" s="1358" t="s">
        <v>1135</v>
      </c>
      <c r="B48" s="343" t="s">
        <v>1401</v>
      </c>
      <c r="C48" s="2940">
        <f ca="1">C49+C53+C55</f>
        <v>0</v>
      </c>
      <c r="D48" s="1360"/>
      <c r="E48" s="1361"/>
      <c r="F48" s="1179"/>
      <c r="G48" s="790"/>
      <c r="H48" s="791"/>
      <c r="I48" s="1885" t="s">
        <v>1530</v>
      </c>
      <c r="J48" s="1886" t="s">
        <v>3195</v>
      </c>
      <c r="K48" s="1887" t="s">
        <v>1531</v>
      </c>
      <c r="L48" s="1888">
        <f ca="1">INDIRECT("'数据-取费表'!f"&amp;$G$1)</f>
        <v>41.21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配套商业!J49</f>
        <v>2018</v>
      </c>
      <c r="K49" s="1887" t="s">
        <v>1535</v>
      </c>
      <c r="L49" s="1891"/>
      <c r="O49" s="1892" t="s">
        <v>1042</v>
      </c>
      <c r="P49" s="1883" t="s">
        <v>1536</v>
      </c>
      <c r="Q49" s="1884">
        <f ca="1">C29</f>
        <v>4221</v>
      </c>
      <c r="R49" s="1884" t="s">
        <v>1529</v>
      </c>
    </row>
    <row r="50" spans="1:18" s="1840" customFormat="1" ht="13.5" thickBot="1">
      <c r="A50" s="1193"/>
      <c r="B50" s="1196"/>
      <c r="C50" s="1366"/>
      <c r="D50" s="1170"/>
      <c r="E50" s="1275" t="s">
        <v>1406</v>
      </c>
      <c r="F50" s="1276">
        <f ca="1">F7</f>
        <v>8000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22359</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配套商业!J52</f>
        <v>0.09</v>
      </c>
      <c r="K52" s="1901" t="s">
        <v>1544</v>
      </c>
      <c r="L52" s="1902"/>
      <c r="O52" s="1892" t="s">
        <v>1045</v>
      </c>
      <c r="P52" s="1883" t="s">
        <v>1545</v>
      </c>
      <c r="Q52" s="1884">
        <f ca="1">J53</f>
        <v>41.21</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41.21</v>
      </c>
      <c r="K53" s="3322" t="s">
        <v>1548</v>
      </c>
      <c r="L53" s="3323"/>
      <c r="O53" s="1882" t="s">
        <v>1046</v>
      </c>
      <c r="P53" s="1883" t="s">
        <v>1549</v>
      </c>
      <c r="Q53" s="1884">
        <f ca="1">Q47+Q48</f>
        <v>41334</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4179</v>
      </c>
      <c r="D56" s="1912"/>
      <c r="E56" s="1913"/>
      <c r="F56" s="1905"/>
      <c r="I56" s="1914" t="s">
        <v>1554</v>
      </c>
      <c r="J56" s="3080" t="s">
        <v>3179</v>
      </c>
      <c r="K56" s="1885" t="s">
        <v>1555</v>
      </c>
      <c r="L56" s="1888" t="str">
        <f ca="1">IF(L48&lt;J51,"——",L48-J53)</f>
        <v>——</v>
      </c>
      <c r="O56" s="1882" t="s">
        <v>1040</v>
      </c>
      <c r="P56" s="1883" t="s">
        <v>1528</v>
      </c>
      <c r="Q56" s="1884">
        <f ca="1">C40+J29</f>
        <v>41334</v>
      </c>
      <c r="R56" s="1884" t="s">
        <v>1529</v>
      </c>
    </row>
    <row r="57" spans="1:18" s="1840" customFormat="1" ht="24.75" thickBot="1">
      <c r="A57" s="1916"/>
      <c r="B57" s="1167" t="s">
        <v>1478</v>
      </c>
      <c r="C57" s="280">
        <f ca="1">C29</f>
        <v>4221</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425</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355.6</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354.56</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1.02</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41334</v>
      </c>
      <c r="R62" s="1884" t="s">
        <v>1047</v>
      </c>
    </row>
    <row r="63" spans="1:18" s="1840" customFormat="1" ht="13.5" thickBot="1">
      <c r="A63" s="370"/>
      <c r="B63" s="1173"/>
      <c r="C63" s="29"/>
      <c r="D63" s="1183"/>
      <c r="E63" s="1167" t="s">
        <v>1447</v>
      </c>
      <c r="F63" s="346">
        <f t="shared" ca="1" si="0"/>
        <v>1135.29</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63.3</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6.3</v>
      </c>
      <c r="D65" s="1181" t="s">
        <v>1454</v>
      </c>
      <c r="E65" s="1167" t="s">
        <v>1422</v>
      </c>
      <c r="F65" s="374">
        <f t="shared" ca="1" si="0"/>
        <v>1.5E-3</v>
      </c>
      <c r="I65" s="1927" t="s">
        <v>1579</v>
      </c>
      <c r="J65" s="1928">
        <v>40</v>
      </c>
      <c r="K65" s="1928">
        <v>30</v>
      </c>
      <c r="L65" s="1928">
        <v>50</v>
      </c>
      <c r="M65" s="1930">
        <v>0.02</v>
      </c>
      <c r="O65" s="1882" t="s">
        <v>1040</v>
      </c>
      <c r="P65" s="1883" t="s">
        <v>1528</v>
      </c>
      <c r="Q65" s="1884">
        <f ca="1">C40+J29</f>
        <v>41334</v>
      </c>
      <c r="R65" s="1884" t="s">
        <v>1529</v>
      </c>
    </row>
    <row r="66" spans="1:18" s="1840" customFormat="1" ht="16.5" thickBot="1">
      <c r="A66" s="1199" t="s">
        <v>1504</v>
      </c>
      <c r="B66" s="1167" t="s">
        <v>1439</v>
      </c>
      <c r="C66" s="24">
        <f ca="1">ROUND(C48*F66,1)</f>
        <v>0</v>
      </c>
      <c r="D66" s="1181" t="s">
        <v>1459</v>
      </c>
      <c r="E66" s="1167" t="s">
        <v>1422</v>
      </c>
      <c r="F66" s="355">
        <f t="shared" ca="1" si="0"/>
        <v>0.01</v>
      </c>
      <c r="O66" s="1882" t="s">
        <v>1041</v>
      </c>
      <c r="P66" s="1883" t="s">
        <v>1558</v>
      </c>
      <c r="Q66" s="1884">
        <f ca="1">L60</f>
        <v>0</v>
      </c>
      <c r="R66" s="1884" t="s">
        <v>1581</v>
      </c>
    </row>
    <row r="67" spans="1:18" s="1840" customFormat="1" ht="16.5" thickBot="1">
      <c r="A67" s="1174" t="s">
        <v>1031</v>
      </c>
      <c r="B67" s="1184" t="s">
        <v>1463</v>
      </c>
      <c r="C67" s="359">
        <f ca="1">C48-C58</f>
        <v>-425</v>
      </c>
      <c r="D67" s="1180" t="s">
        <v>1464</v>
      </c>
      <c r="E67" s="1185"/>
      <c r="F67" s="1186"/>
      <c r="O67" s="1892" t="s">
        <v>1042</v>
      </c>
      <c r="P67" s="1883" t="s">
        <v>1562</v>
      </c>
      <c r="Q67" s="1931">
        <f ca="1">L51</f>
        <v>22359</v>
      </c>
      <c r="R67" s="1884" t="s">
        <v>1582</v>
      </c>
    </row>
    <row r="68" spans="1:18" s="1840" customFormat="1" ht="16.5" thickBot="1">
      <c r="A68" s="1164" t="s">
        <v>1032</v>
      </c>
      <c r="B68" s="1165" t="s">
        <v>1485</v>
      </c>
      <c r="C68" s="344">
        <f ca="1">ROUND(C67*(1-((1+F70)/(1+F68))^F69)/(F68-F70),0)</f>
        <v>-6877</v>
      </c>
      <c r="D68" s="1182" t="s">
        <v>1469</v>
      </c>
      <c r="E68" s="1167" t="s">
        <v>1470</v>
      </c>
      <c r="F68" s="355">
        <f ca="1">F40</f>
        <v>5.5E-2</v>
      </c>
      <c r="O68" s="1892" t="s">
        <v>1043</v>
      </c>
      <c r="P68" s="1932" t="s">
        <v>1583</v>
      </c>
      <c r="Q68" s="1884">
        <f ca="1">ROUND(Q69-Q70*Q71,0)</f>
        <v>1291</v>
      </c>
      <c r="R68" s="1884" t="s">
        <v>1051</v>
      </c>
    </row>
    <row r="69" spans="1:18" s="1840" customFormat="1" ht="13.5" thickBot="1">
      <c r="A69" s="1168"/>
      <c r="B69" s="1169"/>
      <c r="C69" s="349"/>
      <c r="D69" s="1187" t="s">
        <v>1473</v>
      </c>
      <c r="E69" s="1167" t="s">
        <v>1474</v>
      </c>
      <c r="F69" s="377">
        <f ca="1">F41</f>
        <v>41.21</v>
      </c>
      <c r="O69" s="1892" t="s">
        <v>1048</v>
      </c>
      <c r="P69" s="1932" t="s">
        <v>1584</v>
      </c>
      <c r="Q69" s="1884">
        <f ca="1">C39</f>
        <v>1646</v>
      </c>
      <c r="R69" s="1884" t="s">
        <v>1529</v>
      </c>
    </row>
    <row r="70" spans="1:18" s="1840" customFormat="1" ht="13.5" thickBot="1">
      <c r="A70" s="1171"/>
      <c r="B70" s="1172"/>
      <c r="C70" s="353"/>
      <c r="D70" s="1183"/>
      <c r="E70" s="1167" t="s">
        <v>1477</v>
      </c>
      <c r="F70" s="1273"/>
      <c r="O70" s="1892" t="s">
        <v>1049</v>
      </c>
      <c r="P70" s="1932" t="s">
        <v>1585</v>
      </c>
      <c r="Q70" s="1884">
        <f ca="1">C13</f>
        <v>4179</v>
      </c>
      <c r="R70" s="1884" t="s">
        <v>1529</v>
      </c>
    </row>
    <row r="71" spans="1:18" s="1840" customFormat="1" ht="13.5" thickBot="1">
      <c r="A71" s="1188" t="s">
        <v>1033</v>
      </c>
      <c r="B71" s="1189" t="s">
        <v>1487</v>
      </c>
      <c r="C71" s="380">
        <f ca="1">ROUND(C68*10000/F71,0)</f>
        <v>-8596</v>
      </c>
      <c r="D71" s="1190" t="s">
        <v>1488</v>
      </c>
      <c r="E71" s="1191" t="s">
        <v>1489</v>
      </c>
      <c r="F71" s="383">
        <f ca="1">F43</f>
        <v>8000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355</v>
      </c>
      <c r="D75" s="1840"/>
      <c r="E75" s="1840"/>
      <c r="F75" s="1840"/>
      <c r="K75" s="1866"/>
      <c r="L75" s="1840"/>
      <c r="O75" s="1882" t="s">
        <v>1046</v>
      </c>
      <c r="P75" s="1883" t="s">
        <v>1549</v>
      </c>
      <c r="Q75" s="1884">
        <f ca="1">Q65+Q66</f>
        <v>41334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0.78400000000000003</v>
      </c>
    </row>
    <row r="80" spans="1:18">
      <c r="B80" s="384" t="s">
        <v>1511</v>
      </c>
      <c r="C80" s="316">
        <f ca="1">ROUND(C75/C39,3)</f>
        <v>0.216</v>
      </c>
    </row>
    <row r="81" spans="2:3">
      <c r="B81" s="312" t="s">
        <v>1512</v>
      </c>
      <c r="C81" s="280"/>
    </row>
    <row r="82" spans="2:3">
      <c r="B82" s="315" t="s">
        <v>1513</v>
      </c>
      <c r="C82" s="317">
        <f ca="1">1-C83</f>
        <v>0.89900000000000002</v>
      </c>
    </row>
    <row r="83" spans="2:3">
      <c r="B83" s="315" t="s">
        <v>1514</v>
      </c>
      <c r="C83" s="316">
        <f ca="1">ROUND(C13/C40,3)</f>
        <v>0.10100000000000001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受贵公司委托，我公司对深圳市南山区月亮湾大道与绵山路交汇处房地产抵押价值进行了预评估。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深圳市南山区月亮湾大道与绵山路交汇处房地产，为深圳冠洋房地产有限公司所有。根据《国有土地使用证》[]，估价对象（分摊）出让国有建设用地使用权面积为7108.46平方米，建筑面积为50691.57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1" spans="1:1" ht="76.5">
      <c r="A11" s="1949" t="s">
        <v>1616</v>
      </c>
    </row>
    <row r="12" spans="1:1" ht="18.75">
      <c r="A12" s="1947" t="s">
        <v>1617</v>
      </c>
    </row>
    <row r="13" spans="1:1" ht="38.25" customHeight="1">
      <c r="A13" s="1950" t="str">
        <f>IF(项目基本情况!B8="抵押",IF(项目基本情况!B5=项目基本情况!B6,定义!C51,定义!B51),定义!D51)</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2018年4月12日（评估专业人员实地查勘之日）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0" sqref="L40"/>
    </sheetView>
  </sheetViews>
  <sheetFormatPr defaultRowHeight="13.5"/>
  <cols>
    <col min="1" max="1" width="10.5" customWidth="1"/>
    <col min="2" max="2" width="12.875" customWidth="1"/>
    <col min="3" max="3" width="8.75" customWidth="1"/>
  </cols>
  <sheetData>
    <row r="1" spans="1:9" ht="14.25">
      <c r="A1" s="3327" t="s">
        <v>1076</v>
      </c>
      <c r="B1" s="3328"/>
      <c r="C1" s="3329"/>
      <c r="D1" s="3330">
        <f>SUM(I10,I15,I20,I21,I23)</f>
        <v>0</v>
      </c>
      <c r="E1" s="3330"/>
      <c r="F1" s="3330"/>
      <c r="G1" s="3330"/>
      <c r="H1" s="3330"/>
      <c r="I1" s="3331"/>
    </row>
    <row r="2" spans="1:9">
      <c r="A2" s="3332" t="s">
        <v>1077</v>
      </c>
      <c r="B2" s="3333" t="s">
        <v>1078</v>
      </c>
      <c r="C2" s="3333"/>
      <c r="D2" s="1299" t="s">
        <v>1079</v>
      </c>
      <c r="E2" s="1299" t="s">
        <v>1080</v>
      </c>
      <c r="F2" s="1299" t="s">
        <v>1081</v>
      </c>
      <c r="G2" s="1299" t="s">
        <v>1082</v>
      </c>
      <c r="H2" s="1299" t="s">
        <v>1083</v>
      </c>
      <c r="I2" s="1300" t="s">
        <v>1084</v>
      </c>
    </row>
    <row r="3" spans="1:9">
      <c r="A3" s="3332"/>
      <c r="B3" s="3333" t="s">
        <v>1085</v>
      </c>
      <c r="C3" s="3333"/>
      <c r="D3" s="1301"/>
      <c r="E3" s="1299"/>
      <c r="F3" s="1302"/>
      <c r="G3" s="1302"/>
      <c r="H3" s="1303"/>
      <c r="I3" s="1304">
        <f>ROUND(D3*E3*F3*G3*H3/10000,0)</f>
        <v>0</v>
      </c>
    </row>
    <row r="4" spans="1:9">
      <c r="A4" s="3332"/>
      <c r="B4" s="3333" t="s">
        <v>1086</v>
      </c>
      <c r="C4" s="3333"/>
      <c r="D4" s="1301"/>
      <c r="E4" s="1299"/>
      <c r="F4" s="1302"/>
      <c r="G4" s="1302"/>
      <c r="H4" s="1303"/>
      <c r="I4" s="1304">
        <f t="shared" ref="I4:I9" si="0">ROUND(D4*E4*F4*G4*H4/10000,0)</f>
        <v>0</v>
      </c>
    </row>
    <row r="5" spans="1:9">
      <c r="A5" s="3332"/>
      <c r="B5" s="3333" t="s">
        <v>1087</v>
      </c>
      <c r="C5" s="3333"/>
      <c r="D5" s="1301"/>
      <c r="E5" s="1299"/>
      <c r="F5" s="1302"/>
      <c r="G5" s="1302"/>
      <c r="H5" s="1303"/>
      <c r="I5" s="1304">
        <f t="shared" si="0"/>
        <v>0</v>
      </c>
    </row>
    <row r="6" spans="1:9">
      <c r="A6" s="3332"/>
      <c r="B6" s="3333" t="s">
        <v>1088</v>
      </c>
      <c r="C6" s="3333"/>
      <c r="D6" s="1301"/>
      <c r="E6" s="1299"/>
      <c r="F6" s="1302"/>
      <c r="G6" s="1302"/>
      <c r="H6" s="1303"/>
      <c r="I6" s="1304">
        <f t="shared" si="0"/>
        <v>0</v>
      </c>
    </row>
    <row r="7" spans="1:9">
      <c r="A7" s="3332"/>
      <c r="B7" s="3333" t="s">
        <v>1089</v>
      </c>
      <c r="C7" s="3333"/>
      <c r="D7" s="1301"/>
      <c r="E7" s="1299"/>
      <c r="F7" s="1302"/>
      <c r="G7" s="1302"/>
      <c r="H7" s="1303"/>
      <c r="I7" s="1304">
        <f t="shared" si="0"/>
        <v>0</v>
      </c>
    </row>
    <row r="8" spans="1:9">
      <c r="A8" s="3332"/>
      <c r="B8" s="3333" t="s">
        <v>1090</v>
      </c>
      <c r="C8" s="3333"/>
      <c r="D8" s="1301"/>
      <c r="E8" s="1299"/>
      <c r="F8" s="1302"/>
      <c r="G8" s="1302"/>
      <c r="H8" s="1303"/>
      <c r="I8" s="1304">
        <f t="shared" si="0"/>
        <v>0</v>
      </c>
    </row>
    <row r="9" spans="1:9">
      <c r="A9" s="3332"/>
      <c r="B9" s="3333" t="s">
        <v>1091</v>
      </c>
      <c r="C9" s="3333"/>
      <c r="D9" s="1301"/>
      <c r="E9" s="1299"/>
      <c r="F9" s="1302"/>
      <c r="G9" s="1302"/>
      <c r="H9" s="1303"/>
      <c r="I9" s="1304">
        <f t="shared" si="0"/>
        <v>0</v>
      </c>
    </row>
    <row r="10" spans="1:9">
      <c r="A10" s="3332"/>
      <c r="B10" s="3334" t="s">
        <v>1092</v>
      </c>
      <c r="C10" s="3334"/>
      <c r="D10" s="1305"/>
      <c r="E10" s="1305" t="e">
        <f>ROUND(D1*10000/D10/H9,0)</f>
        <v>#DIV/0!</v>
      </c>
      <c r="F10" s="1306"/>
      <c r="G10" s="1306"/>
      <c r="H10" s="1307"/>
      <c r="I10" s="1308">
        <f>SUM(I3:I9)</f>
        <v>0</v>
      </c>
    </row>
    <row r="11" spans="1:9" ht="14.25">
      <c r="A11" s="3332" t="s">
        <v>1093</v>
      </c>
      <c r="B11" s="3333" t="s">
        <v>1094</v>
      </c>
      <c r="C11" s="3333"/>
      <c r="D11" s="1301" t="s">
        <v>1095</v>
      </c>
      <c r="E11" s="1301" t="s">
        <v>1096</v>
      </c>
      <c r="F11" s="1302" t="s">
        <v>1097</v>
      </c>
      <c r="G11" s="1302" t="s">
        <v>1083</v>
      </c>
      <c r="H11" s="1309" t="s">
        <v>1098</v>
      </c>
      <c r="I11" s="1300" t="s">
        <v>1084</v>
      </c>
    </row>
    <row r="12" spans="1:9">
      <c r="A12" s="3332"/>
      <c r="B12" s="3333" t="s">
        <v>1099</v>
      </c>
      <c r="C12" s="3333"/>
      <c r="D12" s="1301"/>
      <c r="E12" s="1301"/>
      <c r="F12" s="1302"/>
      <c r="G12" s="1303"/>
      <c r="H12" s="1310"/>
      <c r="I12" s="1300">
        <f>ROUND(D12*E12*F12*G12/10000,0)</f>
        <v>0</v>
      </c>
    </row>
    <row r="13" spans="1:9">
      <c r="A13" s="3332"/>
      <c r="B13" s="3333" t="s">
        <v>1100</v>
      </c>
      <c r="C13" s="3333"/>
      <c r="D13" s="1301"/>
      <c r="E13" s="1301"/>
      <c r="F13" s="1302"/>
      <c r="G13" s="1303"/>
      <c r="H13" s="1310"/>
      <c r="I13" s="1300">
        <f>ROUND(D13*E13*F13*G13/10000,0)</f>
        <v>0</v>
      </c>
    </row>
    <row r="14" spans="1:9">
      <c r="A14" s="3332"/>
      <c r="B14" s="3333" t="s">
        <v>1101</v>
      </c>
      <c r="C14" s="3333"/>
      <c r="D14" s="1301"/>
      <c r="E14" s="1301"/>
      <c r="F14" s="1302"/>
      <c r="G14" s="1303"/>
      <c r="H14" s="1310"/>
      <c r="I14" s="1300">
        <f>ROUND(D14*E14*F14*G14/10000,0)</f>
        <v>0</v>
      </c>
    </row>
    <row r="15" spans="1:9">
      <c r="A15" s="3332"/>
      <c r="B15" s="3334" t="s">
        <v>1092</v>
      </c>
      <c r="C15" s="3334"/>
      <c r="D15" s="1305"/>
      <c r="E15" s="1305">
        <f>SUM(E12:E14)</f>
        <v>0</v>
      </c>
      <c r="F15" s="1306"/>
      <c r="G15" s="1303"/>
      <c r="H15" s="1310"/>
      <c r="I15" s="1311">
        <f>SUM(I12:I14)</f>
        <v>0</v>
      </c>
    </row>
    <row r="16" spans="1:9" ht="24">
      <c r="A16" s="3332" t="s">
        <v>1102</v>
      </c>
      <c r="B16" s="3333" t="s">
        <v>1103</v>
      </c>
      <c r="C16" s="3333"/>
      <c r="D16" s="1301" t="s">
        <v>1079</v>
      </c>
      <c r="E16" s="1312" t="s">
        <v>1104</v>
      </c>
      <c r="F16" s="1302" t="s">
        <v>1105</v>
      </c>
      <c r="G16" s="1303" t="s">
        <v>1083</v>
      </c>
      <c r="H16" s="1309" t="s">
        <v>1098</v>
      </c>
      <c r="I16" s="1300" t="s">
        <v>1084</v>
      </c>
    </row>
    <row r="17" spans="1:9" ht="14.25">
      <c r="A17" s="3332"/>
      <c r="B17" s="3333" t="s">
        <v>1106</v>
      </c>
      <c r="C17" s="3333"/>
      <c r="D17" s="1301"/>
      <c r="E17" s="1301"/>
      <c r="F17" s="1302"/>
      <c r="G17" s="1303"/>
      <c r="H17" s="1313"/>
      <c r="I17" s="1314">
        <f>ROUND(D17*E17*F17*G17/10000,0)</f>
        <v>0</v>
      </c>
    </row>
    <row r="18" spans="1:9" ht="14.25">
      <c r="A18" s="3332"/>
      <c r="B18" s="3333" t="s">
        <v>1107</v>
      </c>
      <c r="C18" s="3333"/>
      <c r="D18" s="1301"/>
      <c r="E18" s="1301"/>
      <c r="F18" s="1302"/>
      <c r="G18" s="1303"/>
      <c r="H18" s="1313"/>
      <c r="I18" s="1314">
        <f>ROUND(D18*E18*F18*G18/10000,0)</f>
        <v>0</v>
      </c>
    </row>
    <row r="19" spans="1:9" ht="14.25">
      <c r="A19" s="3332"/>
      <c r="B19" s="3333" t="s">
        <v>1108</v>
      </c>
      <c r="C19" s="3333"/>
      <c r="D19" s="1301"/>
      <c r="E19" s="1301"/>
      <c r="F19" s="1302"/>
      <c r="G19" s="1303"/>
      <c r="H19" s="1313"/>
      <c r="I19" s="1314">
        <f>ROUND(D19*E19*F19*G19/10000,0)</f>
        <v>0</v>
      </c>
    </row>
    <row r="20" spans="1:9">
      <c r="A20" s="3332"/>
      <c r="B20" s="3334" t="s">
        <v>1092</v>
      </c>
      <c r="C20" s="3334"/>
      <c r="D20" s="1305">
        <f>SUM(D17:D19)</f>
        <v>0</v>
      </c>
      <c r="E20" s="1305"/>
      <c r="F20" s="1306"/>
      <c r="G20" s="1303"/>
      <c r="H20" s="1310"/>
      <c r="I20" s="1311">
        <f>SUM(I17:I19)</f>
        <v>0</v>
      </c>
    </row>
    <row r="21" spans="1:9">
      <c r="A21" s="3332" t="s">
        <v>1109</v>
      </c>
      <c r="B21" s="3336"/>
      <c r="C21" s="3336"/>
      <c r="D21" s="3336"/>
      <c r="E21" s="3336"/>
      <c r="F21" s="3336"/>
      <c r="G21" s="3336"/>
      <c r="H21" s="1763">
        <v>0.1</v>
      </c>
      <c r="I21" s="1308">
        <f>ROUND(I10*H21,0)</f>
        <v>0</v>
      </c>
    </row>
    <row r="22" spans="1:9" ht="14.25">
      <c r="A22" s="3337" t="s">
        <v>1110</v>
      </c>
      <c r="B22" s="3338"/>
      <c r="C22" s="3339"/>
      <c r="D22" s="1315" t="s">
        <v>1111</v>
      </c>
      <c r="E22" s="1315" t="s">
        <v>1112</v>
      </c>
      <c r="F22" s="1316" t="s">
        <v>1113</v>
      </c>
      <c r="G22" s="1316" t="s">
        <v>1114</v>
      </c>
      <c r="H22" s="1309" t="s">
        <v>1115</v>
      </c>
      <c r="I22" s="1300" t="s">
        <v>1116</v>
      </c>
    </row>
    <row r="23" spans="1:9" ht="14.25" thickBot="1">
      <c r="A23" s="3340"/>
      <c r="B23" s="3341"/>
      <c r="C23" s="3342"/>
      <c r="D23" s="1317"/>
      <c r="E23" s="1317"/>
      <c r="F23" s="1317"/>
      <c r="G23" s="1318"/>
      <c r="H23" s="1319"/>
      <c r="I23" s="1320">
        <f>ROUND(E23*D23*F23*(1-G23)/10000,0)</f>
        <v>0</v>
      </c>
    </row>
    <row r="26" spans="1:9">
      <c r="A26" s="1321" t="s">
        <v>1117</v>
      </c>
      <c r="B26" s="1321"/>
      <c r="C26" s="1321"/>
      <c r="D26" s="1321"/>
      <c r="E26" s="3343">
        <f>C27-C30-C31-C32</f>
        <v>0</v>
      </c>
      <c r="F26" s="3343"/>
      <c r="G26" s="3343"/>
      <c r="H26" s="1735" t="s">
        <v>1340</v>
      </c>
    </row>
    <row r="27" spans="1:9">
      <c r="A27" s="1322">
        <v>1</v>
      </c>
      <c r="B27" s="1323" t="s">
        <v>1118</v>
      </c>
      <c r="C27" s="1323">
        <f>C28+C29</f>
        <v>0</v>
      </c>
      <c r="D27" s="1323"/>
      <c r="E27" s="3344"/>
      <c r="F27" s="3344"/>
      <c r="G27" s="3344"/>
    </row>
    <row r="28" spans="1:9">
      <c r="A28" s="1324" t="s">
        <v>1119</v>
      </c>
      <c r="B28" s="1323" t="s">
        <v>1120</v>
      </c>
      <c r="C28" s="1323"/>
      <c r="D28" s="1323"/>
      <c r="E28" s="3344"/>
      <c r="F28" s="3344"/>
      <c r="G28" s="334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35"/>
      <c r="F32" s="3335"/>
      <c r="G32" s="3335"/>
    </row>
    <row r="33" spans="1:7" hidden="1">
      <c r="A33" s="3345" t="s">
        <v>1129</v>
      </c>
      <c r="B33" s="3346"/>
      <c r="C33" s="3346"/>
      <c r="D33" s="3347"/>
      <c r="E33" s="3343"/>
      <c r="F33" s="3343"/>
      <c r="G33" s="3343"/>
    </row>
    <row r="34" spans="1:7" hidden="1">
      <c r="A34" s="1326">
        <v>1</v>
      </c>
      <c r="B34" s="1323" t="s">
        <v>1130</v>
      </c>
      <c r="C34" s="1323"/>
      <c r="D34" s="1323"/>
      <c r="E34" s="3344"/>
      <c r="F34" s="3344"/>
      <c r="G34" s="3344"/>
    </row>
    <row r="35" spans="1:7" hidden="1">
      <c r="A35" s="1326">
        <v>2</v>
      </c>
      <c r="B35" s="1323" t="s">
        <v>1131</v>
      </c>
      <c r="C35" s="1323"/>
      <c r="D35" s="1323"/>
      <c r="E35" s="3344"/>
      <c r="F35" s="3344"/>
      <c r="G35" s="3344"/>
    </row>
    <row r="36" spans="1:7" hidden="1">
      <c r="A36" s="1326">
        <v>3</v>
      </c>
      <c r="B36" s="1323" t="s">
        <v>1132</v>
      </c>
      <c r="C36" s="1323"/>
      <c r="D36" s="1323"/>
      <c r="E36" s="3344"/>
      <c r="F36" s="3344"/>
      <c r="G36" s="3344"/>
    </row>
    <row r="37" spans="1:7" hidden="1">
      <c r="A37" s="1326">
        <v>4</v>
      </c>
      <c r="B37" s="1323" t="s">
        <v>1133</v>
      </c>
      <c r="C37" s="1323"/>
      <c r="D37" s="1323"/>
      <c r="E37" s="3344"/>
      <c r="F37" s="3344"/>
      <c r="G37" s="3344"/>
    </row>
    <row r="38" spans="1:7" hidden="1">
      <c r="A38" s="3345" t="s">
        <v>1134</v>
      </c>
      <c r="B38" s="3346"/>
      <c r="C38" s="3346"/>
      <c r="D38" s="3347"/>
      <c r="E38" s="3343"/>
      <c r="F38" s="3343"/>
      <c r="G38" s="33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75"/>
  <sheetViews>
    <sheetView view="pageBreakPreview" zoomScale="90" zoomScaleSheetLayoutView="90" workbookViewId="0">
      <selection activeCell="D10" sqref="D10"/>
    </sheetView>
  </sheetViews>
  <sheetFormatPr defaultRowHeight="13.5"/>
  <cols>
    <col min="1" max="1" width="10.5" style="2966" customWidth="1"/>
    <col min="2" max="2" width="12.875" style="2966" customWidth="1"/>
    <col min="3" max="3" width="8.75" style="2966" customWidth="1"/>
    <col min="4" max="9" width="9" style="2966"/>
    <col min="10" max="10" width="5.125" style="2966" customWidth="1"/>
    <col min="11" max="11" width="10.75" style="2966" customWidth="1"/>
    <col min="12" max="16" width="8.625" style="2994" customWidth="1"/>
    <col min="17" max="16384" width="9" style="2966"/>
  </cols>
  <sheetData>
    <row r="1" spans="1:18" ht="54">
      <c r="A1" s="3348" t="s">
        <v>1076</v>
      </c>
      <c r="B1" s="3349"/>
      <c r="C1" s="3350"/>
      <c r="D1" s="3351">
        <f>SUM(I10,I15,I20,I21,I23)</f>
        <v>3611</v>
      </c>
      <c r="E1" s="3351"/>
      <c r="F1" s="3351"/>
      <c r="G1" s="3351"/>
      <c r="H1" s="3351"/>
      <c r="I1" s="3352"/>
      <c r="K1" s="2967"/>
      <c r="L1" s="2968" t="s">
        <v>3146</v>
      </c>
      <c r="M1" s="2968" t="s">
        <v>3151</v>
      </c>
      <c r="N1" s="2968" t="s">
        <v>3157</v>
      </c>
      <c r="O1" s="2968" t="s">
        <v>3160</v>
      </c>
      <c r="P1" s="2968" t="s">
        <v>3163</v>
      </c>
      <c r="Q1" s="2969" t="s">
        <v>3092</v>
      </c>
      <c r="R1" s="2970"/>
    </row>
    <row r="2" spans="1:18">
      <c r="A2" s="3353" t="s">
        <v>1077</v>
      </c>
      <c r="B2" s="3354" t="s">
        <v>1078</v>
      </c>
      <c r="C2" s="3354"/>
      <c r="D2" s="2971" t="s">
        <v>1079</v>
      </c>
      <c r="E2" s="2971" t="s">
        <v>1080</v>
      </c>
      <c r="F2" s="2971" t="s">
        <v>1081</v>
      </c>
      <c r="G2" s="2971" t="s">
        <v>1082</v>
      </c>
      <c r="H2" s="2971" t="s">
        <v>1083</v>
      </c>
      <c r="I2" s="2972" t="s">
        <v>1084</v>
      </c>
      <c r="J2" s="2971" t="s">
        <v>3093</v>
      </c>
      <c r="K2" s="2971" t="s">
        <v>3094</v>
      </c>
      <c r="L2" s="2973">
        <v>240</v>
      </c>
      <c r="M2" s="2973">
        <v>104</v>
      </c>
      <c r="N2" s="2973">
        <v>110</v>
      </c>
      <c r="O2" s="2973">
        <v>266</v>
      </c>
      <c r="P2" s="2973">
        <v>126</v>
      </c>
      <c r="Q2" s="2974">
        <f>ROUND(Q3/J3,0)</f>
        <v>50</v>
      </c>
    </row>
    <row r="3" spans="1:18">
      <c r="A3" s="3353"/>
      <c r="B3" s="3354" t="str">
        <f>K10</f>
        <v>豪华套房</v>
      </c>
      <c r="C3" s="3354"/>
      <c r="D3" s="2975">
        <f>Q11</f>
        <v>0</v>
      </c>
      <c r="E3" s="2976">
        <v>1000</v>
      </c>
      <c r="F3" s="2977">
        <v>1</v>
      </c>
      <c r="G3" s="2977">
        <v>0.62</v>
      </c>
      <c r="H3" s="2978">
        <v>365</v>
      </c>
      <c r="I3" s="2979">
        <f>ROUND(D3*E3*F3*G3*H3/10000,0)</f>
        <v>0</v>
      </c>
      <c r="J3" s="2967">
        <v>160</v>
      </c>
      <c r="K3" s="2980" t="s">
        <v>3095</v>
      </c>
      <c r="L3" s="2973"/>
      <c r="M3" s="2973"/>
      <c r="N3" s="2973"/>
      <c r="O3" s="2973"/>
      <c r="P3" s="2973"/>
      <c r="Q3" s="2981">
        <f>'数据-汇总表'!F21</f>
        <v>8000</v>
      </c>
    </row>
    <row r="4" spans="1:18">
      <c r="A4" s="3353"/>
      <c r="B4" s="3354" t="str">
        <f>K8</f>
        <v>豪华双床房</v>
      </c>
      <c r="C4" s="3354"/>
      <c r="D4" s="2975">
        <f>Q9</f>
        <v>5</v>
      </c>
      <c r="E4" s="2976">
        <v>700</v>
      </c>
      <c r="F4" s="2977">
        <v>1</v>
      </c>
      <c r="G4" s="2977">
        <v>0.62</v>
      </c>
      <c r="H4" s="2978">
        <v>365</v>
      </c>
      <c r="I4" s="2982">
        <f>ROUND(D4*E4*F4*G4*H4/10000,0)</f>
        <v>79</v>
      </c>
      <c r="K4" s="2971" t="s">
        <v>3153</v>
      </c>
      <c r="L4" s="2973">
        <v>655</v>
      </c>
      <c r="M4" s="2973">
        <v>780</v>
      </c>
      <c r="N4" s="2973">
        <v>600</v>
      </c>
      <c r="O4" s="2973">
        <v>500</v>
      </c>
      <c r="P4" s="2973">
        <v>550</v>
      </c>
      <c r="Q4" s="2974"/>
    </row>
    <row r="5" spans="1:18">
      <c r="A5" s="3353"/>
      <c r="B5" s="3354" t="s">
        <v>3096</v>
      </c>
      <c r="C5" s="3354"/>
      <c r="D5" s="2975"/>
      <c r="E5" s="2976"/>
      <c r="F5" s="2977"/>
      <c r="G5" s="2977"/>
      <c r="H5" s="2978"/>
      <c r="I5" s="2982">
        <f t="shared" ref="I5:I9" si="0">ROUND(D5*E5*F5*G5*H5/10000,0)</f>
        <v>0</v>
      </c>
      <c r="K5" s="2983">
        <v>0.8</v>
      </c>
      <c r="L5" s="2973"/>
      <c r="M5" s="2973"/>
      <c r="N5" s="2973"/>
      <c r="O5" s="2973"/>
      <c r="P5" s="2973"/>
      <c r="Q5" s="2974">
        <f>ROUND($Q$2*K5,0)</f>
        <v>40</v>
      </c>
    </row>
    <row r="6" spans="1:18">
      <c r="A6" s="3353"/>
      <c r="B6" s="3354" t="str">
        <f>K6</f>
        <v>豪华大床房</v>
      </c>
      <c r="C6" s="3354"/>
      <c r="D6" s="2975">
        <f>Q7</f>
        <v>5</v>
      </c>
      <c r="E6" s="2976">
        <v>700</v>
      </c>
      <c r="F6" s="2977">
        <v>1</v>
      </c>
      <c r="G6" s="2977">
        <v>0.62</v>
      </c>
      <c r="H6" s="2978">
        <v>365</v>
      </c>
      <c r="I6" s="2982">
        <f>ROUND(D6*E6*F6*G6*H6/10000,0)</f>
        <v>79</v>
      </c>
      <c r="K6" s="2980" t="s">
        <v>3147</v>
      </c>
      <c r="L6" s="2973">
        <v>700</v>
      </c>
      <c r="M6" s="2973">
        <v>870</v>
      </c>
      <c r="N6" s="2973">
        <v>700</v>
      </c>
      <c r="O6" s="2973">
        <v>600</v>
      </c>
      <c r="P6" s="2973">
        <v>650</v>
      </c>
      <c r="Q6" s="2974"/>
    </row>
    <row r="7" spans="1:18">
      <c r="A7" s="3353"/>
      <c r="B7" s="3354" t="str">
        <f>K4</f>
        <v>高级大床房</v>
      </c>
      <c r="C7" s="3354"/>
      <c r="D7" s="2975">
        <f>Q5</f>
        <v>40</v>
      </c>
      <c r="E7" s="2976">
        <v>600</v>
      </c>
      <c r="F7" s="2977">
        <v>1</v>
      </c>
      <c r="G7" s="2977">
        <v>0.62</v>
      </c>
      <c r="H7" s="2978">
        <v>365</v>
      </c>
      <c r="I7" s="2982">
        <f>ROUND(D7*E7*F7*G7*H7/10000,0)</f>
        <v>543</v>
      </c>
      <c r="K7" s="2983">
        <v>0.09</v>
      </c>
      <c r="L7" s="2973"/>
      <c r="M7" s="2973"/>
      <c r="N7" s="2973"/>
      <c r="O7" s="2973"/>
      <c r="P7" s="2973"/>
      <c r="Q7" s="2974">
        <f>ROUND($Q$2*K7,0)</f>
        <v>5</v>
      </c>
    </row>
    <row r="8" spans="1:18">
      <c r="A8" s="3353"/>
      <c r="B8" s="3354" t="s">
        <v>3097</v>
      </c>
      <c r="C8" s="3354"/>
      <c r="D8" s="2984"/>
      <c r="E8" s="2971"/>
      <c r="F8" s="2977"/>
      <c r="G8" s="2977"/>
      <c r="H8" s="2978"/>
      <c r="I8" s="2982">
        <f t="shared" si="0"/>
        <v>0</v>
      </c>
      <c r="K8" s="2980" t="s">
        <v>3148</v>
      </c>
      <c r="L8" s="2973">
        <v>700</v>
      </c>
      <c r="M8" s="2973">
        <v>870</v>
      </c>
      <c r="N8" s="2973">
        <v>700</v>
      </c>
      <c r="O8" s="2973">
        <v>600</v>
      </c>
      <c r="P8" s="2973">
        <v>650</v>
      </c>
      <c r="Q8" s="2974"/>
    </row>
    <row r="9" spans="1:18">
      <c r="A9" s="3353"/>
      <c r="B9" s="3354" t="s">
        <v>3098</v>
      </c>
      <c r="C9" s="3354"/>
      <c r="D9" s="2984"/>
      <c r="E9" s="2971"/>
      <c r="F9" s="2977"/>
      <c r="G9" s="2977"/>
      <c r="H9" s="2978"/>
      <c r="I9" s="2982">
        <f t="shared" si="0"/>
        <v>0</v>
      </c>
      <c r="K9" s="2983">
        <v>0.09</v>
      </c>
      <c r="L9" s="2973"/>
      <c r="M9" s="2973"/>
      <c r="N9" s="2973"/>
      <c r="O9" s="2973"/>
      <c r="P9" s="2973"/>
      <c r="Q9" s="2974">
        <f>ROUND($Q$2*K9,0)</f>
        <v>5</v>
      </c>
    </row>
    <row r="10" spans="1:18">
      <c r="A10" s="3353"/>
      <c r="B10" s="3355" t="s">
        <v>3099</v>
      </c>
      <c r="C10" s="3355"/>
      <c r="D10" s="2975">
        <v>527</v>
      </c>
      <c r="E10" s="2975" t="e">
        <f>ROUND(D1*10000/D10/H9,0)</f>
        <v>#DIV/0!</v>
      </c>
      <c r="F10" s="2985"/>
      <c r="G10" s="2985"/>
      <c r="H10" s="2986"/>
      <c r="I10" s="2987">
        <f>SUM(I3:I9)</f>
        <v>701</v>
      </c>
      <c r="J10" s="2988">
        <f>I10/D1</f>
        <v>0.19412905012461923</v>
      </c>
      <c r="K10" s="2980" t="s">
        <v>3154</v>
      </c>
      <c r="L10" s="2973">
        <v>800</v>
      </c>
      <c r="M10" s="2973">
        <v>1100</v>
      </c>
      <c r="N10" s="2973">
        <v>1300</v>
      </c>
      <c r="O10" s="2973">
        <v>2500</v>
      </c>
      <c r="P10" s="2973">
        <v>1000</v>
      </c>
      <c r="Q10" s="2974"/>
    </row>
    <row r="11" spans="1:18" ht="14.25">
      <c r="A11" s="3353" t="s">
        <v>3100</v>
      </c>
      <c r="B11" s="3354" t="s">
        <v>3101</v>
      </c>
      <c r="C11" s="3354"/>
      <c r="D11" s="2984" t="s">
        <v>3102</v>
      </c>
      <c r="E11" s="2984" t="s">
        <v>3103</v>
      </c>
      <c r="F11" s="2977" t="s">
        <v>3104</v>
      </c>
      <c r="G11" s="2977" t="s">
        <v>3105</v>
      </c>
      <c r="H11" s="2989" t="s">
        <v>3106</v>
      </c>
      <c r="I11" s="2990" t="s">
        <v>3107</v>
      </c>
      <c r="K11" s="2983">
        <v>0.02</v>
      </c>
      <c r="L11" s="2991"/>
      <c r="M11" s="2991"/>
      <c r="N11" s="2991"/>
      <c r="O11" s="2991"/>
      <c r="P11" s="2991"/>
      <c r="Q11" s="2974">
        <f>Q2-Q5-Q7-Q9</f>
        <v>0</v>
      </c>
    </row>
    <row r="12" spans="1:18">
      <c r="A12" s="3353"/>
      <c r="B12" s="3354" t="s">
        <v>3108</v>
      </c>
      <c r="C12" s="3354"/>
      <c r="D12" s="2984"/>
      <c r="E12" s="2984"/>
      <c r="F12" s="2977"/>
      <c r="G12" s="2978"/>
      <c r="H12" s="2992"/>
      <c r="I12" s="2990"/>
      <c r="J12" s="2993"/>
    </row>
    <row r="13" spans="1:18">
      <c r="A13" s="3353"/>
      <c r="B13" s="3354" t="s">
        <v>3109</v>
      </c>
      <c r="C13" s="3354"/>
      <c r="D13" s="2984"/>
      <c r="E13" s="2984"/>
      <c r="F13" s="2977"/>
      <c r="G13" s="2978"/>
      <c r="H13" s="2992"/>
      <c r="I13" s="2990">
        <f>I10*J13</f>
        <v>0</v>
      </c>
      <c r="J13" s="2993"/>
      <c r="K13" s="2966" t="s">
        <v>3150</v>
      </c>
      <c r="L13" s="2995" t="s">
        <v>3149</v>
      </c>
    </row>
    <row r="14" spans="1:18">
      <c r="A14" s="3353"/>
      <c r="B14" s="3354" t="s">
        <v>3110</v>
      </c>
      <c r="C14" s="3354"/>
      <c r="D14" s="2984"/>
      <c r="E14" s="2984"/>
      <c r="F14" s="2977"/>
      <c r="G14" s="2978"/>
      <c r="H14" s="2992"/>
      <c r="I14" s="2990">
        <f>ROUND(D14*E14*F14*G14/10000,0)</f>
        <v>0</v>
      </c>
      <c r="K14" s="2966" t="s">
        <v>3151</v>
      </c>
      <c r="L14" s="2995" t="s">
        <v>3152</v>
      </c>
    </row>
    <row r="15" spans="1:18">
      <c r="A15" s="3353"/>
      <c r="B15" s="3355" t="s">
        <v>3099</v>
      </c>
      <c r="C15" s="3355"/>
      <c r="D15" s="2975"/>
      <c r="E15" s="2975">
        <f>SUM(E12:E14)</f>
        <v>0</v>
      </c>
      <c r="F15" s="2985"/>
      <c r="G15" s="2978"/>
      <c r="H15" s="2992"/>
      <c r="I15" s="2996">
        <v>2700</v>
      </c>
      <c r="J15" s="2988">
        <f>I15/D1</f>
        <v>0.7477153143173636</v>
      </c>
      <c r="K15" s="2966" t="s">
        <v>3156</v>
      </c>
      <c r="L15" s="2995" t="s">
        <v>3155</v>
      </c>
    </row>
    <row r="16" spans="1:18" ht="24">
      <c r="A16" s="3353" t="s">
        <v>3111</v>
      </c>
      <c r="B16" s="3354" t="s">
        <v>3112</v>
      </c>
      <c r="C16" s="3354"/>
      <c r="D16" s="2984" t="s">
        <v>3113</v>
      </c>
      <c r="E16" s="2997" t="s">
        <v>3114</v>
      </c>
      <c r="F16" s="2977" t="s">
        <v>3115</v>
      </c>
      <c r="G16" s="2978" t="s">
        <v>3116</v>
      </c>
      <c r="H16" s="2989" t="s">
        <v>3117</v>
      </c>
      <c r="I16" s="2990" t="s">
        <v>3118</v>
      </c>
      <c r="J16" s="2998"/>
      <c r="K16" s="2966" t="s">
        <v>3159</v>
      </c>
      <c r="L16" s="2995" t="s">
        <v>3158</v>
      </c>
    </row>
    <row r="17" spans="1:17" ht="40.5">
      <c r="A17" s="3353"/>
      <c r="B17" s="3354" t="s">
        <v>3119</v>
      </c>
      <c r="C17" s="3354"/>
      <c r="D17" s="2984"/>
      <c r="E17" s="2984"/>
      <c r="F17" s="2977"/>
      <c r="G17" s="2978"/>
      <c r="H17" s="2999"/>
      <c r="I17" s="3000">
        <f>ROUND(D17*E17*F17*G17/10000,0)</f>
        <v>0</v>
      </c>
      <c r="K17" s="2994" t="s">
        <v>3162</v>
      </c>
      <c r="L17" s="2995" t="s">
        <v>3161</v>
      </c>
    </row>
    <row r="18" spans="1:17" ht="14.25">
      <c r="A18" s="3353"/>
      <c r="B18" s="3354" t="s">
        <v>3120</v>
      </c>
      <c r="C18" s="3354"/>
      <c r="D18" s="2984"/>
      <c r="E18" s="2984"/>
      <c r="F18" s="2977"/>
      <c r="G18" s="2978"/>
      <c r="H18" s="2999"/>
      <c r="I18" s="3000">
        <f>ROUND(D18*E18*F18*G18/10000,0)</f>
        <v>0</v>
      </c>
    </row>
    <row r="19" spans="1:17" ht="14.25">
      <c r="A19" s="3353"/>
      <c r="B19" s="3354" t="s">
        <v>3121</v>
      </c>
      <c r="C19" s="3354"/>
      <c r="D19" s="2984"/>
      <c r="E19" s="2984"/>
      <c r="F19" s="2977"/>
      <c r="G19" s="2978"/>
      <c r="H19" s="2999"/>
      <c r="I19" s="3000">
        <f>ROUND(D19*E19*F19*G19/10000,0)</f>
        <v>0</v>
      </c>
      <c r="K19" s="2966" t="s">
        <v>3122</v>
      </c>
      <c r="L19" s="2995" t="s">
        <v>3201</v>
      </c>
    </row>
    <row r="20" spans="1:17">
      <c r="A20" s="3353"/>
      <c r="B20" s="3355" t="s">
        <v>3123</v>
      </c>
      <c r="C20" s="3355"/>
      <c r="D20" s="2975">
        <f>SUM(D17:D19)</f>
        <v>0</v>
      </c>
      <c r="E20" s="2975"/>
      <c r="F20" s="2985"/>
      <c r="G20" s="2978"/>
      <c r="H20" s="2992"/>
      <c r="I20" s="2996">
        <f>SUM(I17:I19)</f>
        <v>0</v>
      </c>
    </row>
    <row r="21" spans="1:17">
      <c r="A21" s="3353" t="s">
        <v>3124</v>
      </c>
      <c r="B21" s="3357"/>
      <c r="C21" s="3357"/>
      <c r="D21" s="3357"/>
      <c r="E21" s="3357"/>
      <c r="F21" s="3357"/>
      <c r="G21" s="3357"/>
      <c r="H21" s="3001">
        <v>0.3</v>
      </c>
      <c r="I21" s="2987">
        <f>ROUND(I10*H21,0)</f>
        <v>210</v>
      </c>
      <c r="J21" s="2988">
        <f>I21/D1</f>
        <v>5.8155635558017171E-2</v>
      </c>
    </row>
    <row r="22" spans="1:17" ht="14.25">
      <c r="A22" s="3358" t="s">
        <v>3125</v>
      </c>
      <c r="B22" s="3359"/>
      <c r="C22" s="3360"/>
      <c r="D22" s="3002" t="s">
        <v>3126</v>
      </c>
      <c r="E22" s="3002" t="s">
        <v>1112</v>
      </c>
      <c r="F22" s="3003" t="s">
        <v>1083</v>
      </c>
      <c r="G22" s="3003" t="s">
        <v>1114</v>
      </c>
      <c r="H22" s="2989" t="s">
        <v>555</v>
      </c>
      <c r="I22" s="2990" t="s">
        <v>1084</v>
      </c>
    </row>
    <row r="23" spans="1:17" ht="14.25" thickBot="1">
      <c r="A23" s="3361"/>
      <c r="B23" s="3362"/>
      <c r="C23" s="3363"/>
      <c r="D23" s="3004"/>
      <c r="E23" s="3004"/>
      <c r="F23" s="3004"/>
      <c r="G23" s="3005"/>
      <c r="H23" s="3006"/>
      <c r="I23" s="3007">
        <f>ROUND(E23*D23*F23*(1-G23)/10000,0)</f>
        <v>0</v>
      </c>
      <c r="K23" s="3008" t="s">
        <v>3127</v>
      </c>
    </row>
    <row r="24" spans="1:17">
      <c r="K24" s="2995" t="s">
        <v>3128</v>
      </c>
    </row>
    <row r="26" spans="1:17">
      <c r="A26" s="3009" t="s">
        <v>1117</v>
      </c>
      <c r="B26" s="3009"/>
      <c r="C26" s="3009"/>
      <c r="D26" s="3009"/>
      <c r="E26" s="3364">
        <f>C27-C30-C31-C32</f>
        <v>2455.48</v>
      </c>
      <c r="F26" s="3364"/>
      <c r="G26" s="3364"/>
      <c r="H26" s="3010" t="s">
        <v>3129</v>
      </c>
      <c r="N26" s="2966"/>
      <c r="P26" s="2966"/>
      <c r="Q26" s="2994"/>
    </row>
    <row r="27" spans="1:17">
      <c r="A27" s="3011">
        <v>1</v>
      </c>
      <c r="B27" s="3012" t="s">
        <v>1118</v>
      </c>
      <c r="C27" s="3012">
        <f>D1</f>
        <v>3611</v>
      </c>
      <c r="D27" s="3012"/>
      <c r="E27" s="3365"/>
      <c r="F27" s="3365"/>
      <c r="G27" s="3365"/>
      <c r="N27" s="2966"/>
      <c r="P27" s="2966"/>
      <c r="Q27" s="2994"/>
    </row>
    <row r="28" spans="1:17">
      <c r="A28" s="3013" t="s">
        <v>3130</v>
      </c>
      <c r="B28" s="3012" t="s">
        <v>3131</v>
      </c>
      <c r="C28" s="3012"/>
      <c r="D28" s="3012"/>
      <c r="E28" s="3365"/>
      <c r="F28" s="3365"/>
      <c r="G28" s="3365"/>
      <c r="N28" s="2966"/>
      <c r="P28" s="2966"/>
      <c r="Q28" s="2994"/>
    </row>
    <row r="29" spans="1:17">
      <c r="A29" s="3013" t="s">
        <v>3132</v>
      </c>
      <c r="B29" s="3012" t="s">
        <v>3133</v>
      </c>
      <c r="C29" s="3012"/>
      <c r="D29" s="3012"/>
      <c r="E29" s="3012" t="s">
        <v>3134</v>
      </c>
      <c r="F29" s="3012"/>
      <c r="G29" s="3012"/>
      <c r="N29" s="2966"/>
      <c r="P29" s="2966"/>
      <c r="Q29" s="2994"/>
    </row>
    <row r="30" spans="1:17">
      <c r="A30" s="3011">
        <v>2</v>
      </c>
      <c r="B30" s="3012" t="s">
        <v>3135</v>
      </c>
      <c r="C30" s="3012">
        <f>C27*D30</f>
        <v>541.65</v>
      </c>
      <c r="D30" s="3014">
        <v>0.15</v>
      </c>
      <c r="E30" s="3012" t="s">
        <v>3136</v>
      </c>
      <c r="F30" s="3012"/>
      <c r="G30" s="3012"/>
    </row>
    <row r="31" spans="1:17">
      <c r="A31" s="3011">
        <v>3</v>
      </c>
      <c r="B31" s="3012" t="s">
        <v>3137</v>
      </c>
      <c r="C31" s="3012">
        <f>C27*D31</f>
        <v>252.77</v>
      </c>
      <c r="D31" s="3014">
        <v>7.0000000000000007E-2</v>
      </c>
      <c r="E31" s="3012" t="s">
        <v>3138</v>
      </c>
      <c r="F31" s="3012"/>
      <c r="G31" s="3012"/>
    </row>
    <row r="32" spans="1:17">
      <c r="A32" s="3011">
        <v>4</v>
      </c>
      <c r="B32" s="3012" t="s">
        <v>3139</v>
      </c>
      <c r="C32" s="3012">
        <f>C27*D32</f>
        <v>361.1</v>
      </c>
      <c r="D32" s="3014">
        <v>0.1</v>
      </c>
      <c r="E32" s="3356"/>
      <c r="F32" s="3356"/>
      <c r="G32" s="3356"/>
    </row>
    <row r="33" spans="1:7" hidden="1">
      <c r="A33" s="3366" t="s">
        <v>3140</v>
      </c>
      <c r="B33" s="3367"/>
      <c r="C33" s="3367"/>
      <c r="D33" s="3368"/>
      <c r="E33" s="3364"/>
      <c r="F33" s="3364"/>
      <c r="G33" s="3364"/>
    </row>
    <row r="34" spans="1:7" hidden="1">
      <c r="A34" s="3015">
        <v>1</v>
      </c>
      <c r="B34" s="3012" t="s">
        <v>3141</v>
      </c>
      <c r="C34" s="3012"/>
      <c r="D34" s="3012"/>
      <c r="E34" s="3365"/>
      <c r="F34" s="3365"/>
      <c r="G34" s="3365"/>
    </row>
    <row r="35" spans="1:7" hidden="1">
      <c r="A35" s="3015">
        <v>2</v>
      </c>
      <c r="B35" s="3012" t="s">
        <v>3142</v>
      </c>
      <c r="C35" s="3012"/>
      <c r="D35" s="3012"/>
      <c r="E35" s="3365"/>
      <c r="F35" s="3365"/>
      <c r="G35" s="3365"/>
    </row>
    <row r="36" spans="1:7" hidden="1">
      <c r="A36" s="3015">
        <v>3</v>
      </c>
      <c r="B36" s="3012" t="s">
        <v>3143</v>
      </c>
      <c r="C36" s="3012"/>
      <c r="D36" s="3012"/>
      <c r="E36" s="3365"/>
      <c r="F36" s="3365"/>
      <c r="G36" s="3365"/>
    </row>
    <row r="37" spans="1:7" hidden="1">
      <c r="A37" s="3015">
        <v>4</v>
      </c>
      <c r="B37" s="3012" t="s">
        <v>3144</v>
      </c>
      <c r="C37" s="3012"/>
      <c r="D37" s="3012"/>
      <c r="E37" s="3365"/>
      <c r="F37" s="3365"/>
      <c r="G37" s="3365"/>
    </row>
    <row r="38" spans="1:7" hidden="1">
      <c r="A38" s="3366" t="s">
        <v>3145</v>
      </c>
      <c r="B38" s="3367"/>
      <c r="C38" s="3367"/>
      <c r="D38" s="3368"/>
      <c r="E38" s="3364"/>
      <c r="F38" s="3364"/>
      <c r="G38" s="3364"/>
    </row>
    <row r="73" spans="1:7">
      <c r="A73" s="3016"/>
      <c r="B73" s="3016"/>
      <c r="C73" s="3016"/>
      <c r="D73" s="3016"/>
      <c r="E73" s="3016"/>
      <c r="F73" s="3016"/>
      <c r="G73" s="3016"/>
    </row>
    <row r="74" spans="1:7">
      <c r="A74" s="3016"/>
      <c r="B74" s="3016"/>
      <c r="C74" s="3016"/>
      <c r="D74" s="3016"/>
      <c r="E74" s="3016"/>
      <c r="F74" s="3016"/>
      <c r="G74" s="3016"/>
    </row>
    <row r="75" spans="1:7">
      <c r="A75" s="3017"/>
      <c r="B75" s="3016"/>
      <c r="C75" s="3016"/>
      <c r="D75" s="3016"/>
      <c r="E75" s="3016"/>
      <c r="F75" s="3016"/>
      <c r="G75" s="30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hyperlinks>
    <hyperlink ref="K24" r:id="rId1"/>
    <hyperlink ref="L19" r:id="rId2"/>
    <hyperlink ref="L13" r:id="rId3" location="ctm_ref=hod_sr_lst_dl_n_1_1"/>
    <hyperlink ref="L14" r:id="rId4" location="ctm_ref=hod_sr_lst_dl_n_1_3"/>
    <hyperlink ref="L15" r:id="rId5" location="ctm_ref=hod_sr_lst_dl_n_1_3"/>
    <hyperlink ref="L16" r:id="rId6" location="ctm_ref=hod_sr_lst_dl_n_1_4"/>
    <hyperlink ref="L17" r:id="rId7" location="ctm_ref=hod_sr_lst_dl_n_1_5"/>
  </hyperlinks>
  <pageMargins left="0.7" right="0.7" top="0.75" bottom="0.75" header="0.3" footer="0.3"/>
  <pageSetup paperSize="9" scale="58" orientation="landscape" r:id="rId8"/>
  <drawing r:id="rId9"/>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2523</v>
      </c>
      <c r="C1" s="1632" t="s">
        <v>2524</v>
      </c>
      <c r="D1" s="1619"/>
      <c r="E1" s="2577"/>
      <c r="F1" s="2578" t="s">
        <v>2525</v>
      </c>
      <c r="G1" s="1629" t="s">
        <v>2526</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1394</v>
      </c>
      <c r="B2" s="1416" t="e">
        <f ca="1">IF(C2="——",ROUND(C49*D3/10000,0),ROUND(C49*D3/10000,0)-D2)</f>
        <v>#DIV/0!</v>
      </c>
      <c r="C2" s="2580"/>
      <c r="D2" s="1363" t="e">
        <f ca="1">SUMIF(INDIRECT("'"&amp;F2&amp;"'"&amp;"!A:A"),"承租人权益价值",INDIRECT("'"&amp;F2&amp;"'"&amp;"!c:c"))</f>
        <v>#REF!</v>
      </c>
      <c r="E2" s="2581" t="s">
        <v>2527</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2528</v>
      </c>
      <c r="D3" s="397">
        <f>IF(D1="",'数据-汇总表'!E3,SUMIF('数据-汇总表'!$C19:$C33,D1,'数据-汇总表'!$E19:$E33))</f>
        <v>50691.57</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2529</v>
      </c>
      <c r="B4" s="400"/>
      <c r="C4" s="3294" t="s">
        <v>2530</v>
      </c>
      <c r="D4" s="3295"/>
      <c r="E4" s="3296" t="s">
        <v>2531</v>
      </c>
      <c r="F4" s="3297"/>
      <c r="G4" s="3294" t="s">
        <v>2532</v>
      </c>
      <c r="H4" s="3295"/>
      <c r="I4" s="3294" t="s">
        <v>2533</v>
      </c>
      <c r="J4" s="3295"/>
      <c r="K4" s="2590" t="s">
        <v>2534</v>
      </c>
      <c r="L4" s="1128"/>
      <c r="M4" s="1129"/>
      <c r="N4" s="1129"/>
      <c r="O4" s="1129"/>
      <c r="P4" s="3298" t="s">
        <v>2535</v>
      </c>
      <c r="Q4" s="3299"/>
      <c r="R4" s="3279" t="s">
        <v>2531</v>
      </c>
      <c r="S4" s="3280"/>
      <c r="T4" s="3279" t="s">
        <v>2532</v>
      </c>
      <c r="U4" s="3280"/>
      <c r="V4" s="3306" t="s">
        <v>2533</v>
      </c>
      <c r="W4" s="3306"/>
      <c r="X4" s="1811"/>
      <c r="Y4" s="3279" t="s">
        <v>2535</v>
      </c>
      <c r="Z4" s="3280"/>
      <c r="AA4" s="3274" t="s">
        <v>2531</v>
      </c>
      <c r="AB4" s="3274" t="s">
        <v>2532</v>
      </c>
      <c r="AC4" s="3274" t="s">
        <v>2533</v>
      </c>
    </row>
    <row r="5" spans="1:29" ht="15">
      <c r="A5" s="402"/>
      <c r="B5" s="403"/>
      <c r="C5" s="3285" t="s">
        <v>2536</v>
      </c>
      <c r="D5" s="3286"/>
      <c r="E5" s="3369" t="s">
        <v>2537</v>
      </c>
      <c r="F5" s="3284"/>
      <c r="G5" s="3285" t="s">
        <v>2538</v>
      </c>
      <c r="H5" s="3286"/>
      <c r="I5" s="3285" t="s">
        <v>2539</v>
      </c>
      <c r="J5" s="3286"/>
      <c r="K5" s="2591"/>
      <c r="L5" s="1128"/>
      <c r="M5" s="1129"/>
      <c r="N5" s="1129"/>
      <c r="O5" s="1129"/>
      <c r="P5" s="3300"/>
      <c r="Q5" s="3301"/>
      <c r="R5" s="3281"/>
      <c r="S5" s="3282"/>
      <c r="T5" s="3281"/>
      <c r="U5" s="3282"/>
      <c r="V5" s="3306"/>
      <c r="W5" s="3306"/>
      <c r="X5" s="1811"/>
      <c r="Y5" s="3281"/>
      <c r="Z5" s="3282"/>
      <c r="AA5" s="3275"/>
      <c r="AB5" s="3275"/>
      <c r="AC5" s="3275"/>
    </row>
    <row r="6" spans="1:29" ht="15.75" thickBot="1">
      <c r="A6" s="404"/>
      <c r="B6" s="405"/>
      <c r="C6" s="3287" t="s">
        <v>2540</v>
      </c>
      <c r="D6" s="3288"/>
      <c r="E6" s="3370" t="s">
        <v>2540</v>
      </c>
      <c r="F6" s="3291"/>
      <c r="G6" s="3287" t="s">
        <v>2540</v>
      </c>
      <c r="H6" s="3288"/>
      <c r="I6" s="3287" t="s">
        <v>2540</v>
      </c>
      <c r="J6" s="3288"/>
      <c r="K6" s="2591" t="s">
        <v>2541</v>
      </c>
      <c r="L6" s="1128"/>
      <c r="M6" s="1129"/>
      <c r="N6" s="1129"/>
      <c r="O6" s="1129"/>
      <c r="P6" s="3302"/>
      <c r="Q6" s="3303"/>
      <c r="R6" s="3281"/>
      <c r="S6" s="3282"/>
      <c r="T6" s="3304"/>
      <c r="U6" s="3305"/>
      <c r="V6" s="3306"/>
      <c r="W6" s="3306"/>
      <c r="X6" s="1811"/>
      <c r="Y6" s="3304"/>
      <c r="Z6" s="3305"/>
      <c r="AA6" s="3276"/>
      <c r="AB6" s="3276"/>
      <c r="AC6" s="3276"/>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2592"/>
      <c r="L7" s="1130"/>
      <c r="M7" s="1131"/>
      <c r="N7" s="1131"/>
      <c r="O7" s="1131"/>
      <c r="P7" s="3277" t="s">
        <v>2543</v>
      </c>
      <c r="Q7" s="3307"/>
      <c r="R7" s="768" t="s">
        <v>23</v>
      </c>
      <c r="S7" s="769">
        <f t="shared" ref="S7:S15" si="0">F7</f>
        <v>0</v>
      </c>
      <c r="T7" s="768" t="s">
        <v>23</v>
      </c>
      <c r="U7" s="769">
        <f t="shared" ref="U7:U15" si="1">H7</f>
        <v>0</v>
      </c>
      <c r="V7" s="768" t="s">
        <v>23</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30"/>
      <c r="M8" s="1131"/>
      <c r="N8" s="1131"/>
      <c r="O8" s="1131"/>
      <c r="P8" s="3277" t="s">
        <v>2546</v>
      </c>
      <c r="Q8" s="3278"/>
      <c r="R8" s="768" t="s">
        <v>23</v>
      </c>
      <c r="S8" s="769">
        <f t="shared" si="0"/>
        <v>0</v>
      </c>
      <c r="T8" s="768" t="s">
        <v>23</v>
      </c>
      <c r="U8" s="769">
        <f t="shared" si="1"/>
        <v>0</v>
      </c>
      <c r="V8" s="768" t="s">
        <v>23</v>
      </c>
      <c r="W8" s="769">
        <f t="shared" si="2"/>
        <v>0</v>
      </c>
      <c r="X8" s="770"/>
      <c r="Y8" s="3277" t="s">
        <v>2546</v>
      </c>
      <c r="Z8" s="3278"/>
      <c r="AA8" s="771" t="e">
        <f t="shared" ref="AA8:AA19" si="3">D8/F8</f>
        <v>#DIV/0!</v>
      </c>
      <c r="AB8" s="771" t="e">
        <f t="shared" ref="AB8:AB19" si="4">D8/H8</f>
        <v>#DIV/0!</v>
      </c>
      <c r="AC8" s="771" t="e">
        <f t="shared" ref="AC8:AC19" si="5">D8/J8</f>
        <v>#DIV/0!</v>
      </c>
    </row>
    <row r="9" spans="1:29" s="115"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30"/>
      <c r="M9" s="1131"/>
      <c r="N9" s="1131"/>
      <c r="O9" s="1131"/>
      <c r="P9" s="3317"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317"/>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317"/>
      <c r="Q11" s="1793" t="str">
        <f t="shared" si="6"/>
        <v>容积率</v>
      </c>
      <c r="R11" s="768" t="s">
        <v>21</v>
      </c>
      <c r="S11" s="769" t="e">
        <f t="shared" si="0"/>
        <v>#N/A</v>
      </c>
      <c r="T11" s="768" t="s">
        <v>21</v>
      </c>
      <c r="U11" s="769" t="e">
        <f t="shared" si="1"/>
        <v>#N/A</v>
      </c>
      <c r="V11" s="768" t="s">
        <v>21</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0"/>
      <c r="M12" s="1131"/>
      <c r="N12" s="1131"/>
      <c r="O12" s="1131"/>
      <c r="P12" s="3317"/>
      <c r="Q12" s="1793">
        <f t="shared" si="6"/>
        <v>111</v>
      </c>
      <c r="R12" s="768" t="s">
        <v>21</v>
      </c>
      <c r="S12" s="769">
        <f t="shared" si="0"/>
        <v>100</v>
      </c>
      <c r="T12" s="768" t="s">
        <v>21</v>
      </c>
      <c r="U12" s="769">
        <f t="shared" si="1"/>
        <v>100</v>
      </c>
      <c r="V12" s="768" t="s">
        <v>21</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317"/>
      <c r="Q13" s="1793">
        <f t="shared" si="6"/>
        <v>111</v>
      </c>
      <c r="R13" s="768" t="s">
        <v>21</v>
      </c>
      <c r="S13" s="769">
        <f t="shared" si="0"/>
        <v>100</v>
      </c>
      <c r="T13" s="768" t="s">
        <v>21</v>
      </c>
      <c r="U13" s="769">
        <f t="shared" si="1"/>
        <v>100</v>
      </c>
      <c r="V13" s="768" t="s">
        <v>21</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317"/>
      <c r="Q14" s="1793">
        <f t="shared" si="6"/>
        <v>111</v>
      </c>
      <c r="R14" s="768" t="s">
        <v>21</v>
      </c>
      <c r="S14" s="769">
        <f t="shared" si="0"/>
        <v>100</v>
      </c>
      <c r="T14" s="768" t="s">
        <v>21</v>
      </c>
      <c r="U14" s="769">
        <f t="shared" si="1"/>
        <v>100</v>
      </c>
      <c r="V14" s="768" t="s">
        <v>21</v>
      </c>
      <c r="W14" s="769">
        <f t="shared" si="2"/>
        <v>100</v>
      </c>
      <c r="X14" s="770"/>
      <c r="Y14" s="3151"/>
      <c r="Z14" s="55">
        <f t="shared" si="7"/>
        <v>111</v>
      </c>
      <c r="AA14" s="771">
        <f t="shared" si="3"/>
        <v>1</v>
      </c>
      <c r="AB14" s="771">
        <f t="shared" si="4"/>
        <v>1</v>
      </c>
      <c r="AC14" s="771">
        <f t="shared" si="5"/>
        <v>1</v>
      </c>
    </row>
    <row r="15" spans="1:29" ht="15">
      <c r="A15" s="438" t="s">
        <v>2553</v>
      </c>
      <c r="B15" s="69" t="s">
        <v>2087</v>
      </c>
      <c r="C15" s="2597">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377" t="s">
        <v>2554</v>
      </c>
      <c r="Q15" s="1808" t="str">
        <f t="shared" si="6"/>
        <v>居住社区成熟度</v>
      </c>
      <c r="R15" s="772" t="s">
        <v>21</v>
      </c>
      <c r="S15" s="773">
        <f t="shared" si="0"/>
        <v>100</v>
      </c>
      <c r="T15" s="772" t="s">
        <v>21</v>
      </c>
      <c r="U15" s="773">
        <f t="shared" si="1"/>
        <v>100</v>
      </c>
      <c r="V15" s="772" t="s">
        <v>21</v>
      </c>
      <c r="W15" s="773">
        <f t="shared" si="2"/>
        <v>100</v>
      </c>
      <c r="X15" s="1811"/>
      <c r="Y15" s="3308" t="s">
        <v>2554</v>
      </c>
      <c r="Z15" s="1812" t="str">
        <f t="shared" si="7"/>
        <v>居住社区成熟度</v>
      </c>
      <c r="AA15" s="1809">
        <f t="shared" si="3"/>
        <v>1</v>
      </c>
      <c r="AB15" s="1809">
        <f t="shared" si="4"/>
        <v>1</v>
      </c>
      <c r="AC15" s="1809">
        <f t="shared" si="5"/>
        <v>1</v>
      </c>
    </row>
    <row r="16" spans="1:29" ht="15">
      <c r="A16" s="426"/>
      <c r="B16" s="444"/>
      <c r="C16" s="445"/>
      <c r="D16" s="446"/>
      <c r="E16" s="2598"/>
      <c r="F16" s="446"/>
      <c r="G16" s="2599"/>
      <c r="H16" s="448"/>
      <c r="I16" s="2599"/>
      <c r="J16" s="446"/>
      <c r="K16" s="2600"/>
      <c r="L16" s="1138"/>
      <c r="M16" s="1129"/>
      <c r="N16" s="1129"/>
      <c r="O16" s="1129"/>
      <c r="P16" s="3378"/>
      <c r="Q16" s="1808"/>
      <c r="R16" s="772"/>
      <c r="S16" s="773"/>
      <c r="T16" s="772"/>
      <c r="U16" s="773"/>
      <c r="V16" s="772"/>
      <c r="W16" s="773"/>
      <c r="X16" s="1811"/>
      <c r="Y16" s="3309"/>
      <c r="Z16" s="1812"/>
      <c r="AA16" s="1809">
        <v>1</v>
      </c>
      <c r="AB16" s="1809">
        <v>1</v>
      </c>
      <c r="AC16" s="1809">
        <v>1</v>
      </c>
    </row>
    <row r="17" spans="1:29" ht="15">
      <c r="A17" s="426"/>
      <c r="B17" s="449" t="s">
        <v>2093</v>
      </c>
      <c r="C17" s="2601">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378"/>
      <c r="Q17" s="1808" t="str">
        <f>B17</f>
        <v>交通便捷度</v>
      </c>
      <c r="R17" s="772" t="s">
        <v>21</v>
      </c>
      <c r="S17" s="773">
        <f>F17</f>
        <v>100</v>
      </c>
      <c r="T17" s="772" t="s">
        <v>21</v>
      </c>
      <c r="U17" s="773">
        <f>H17</f>
        <v>100</v>
      </c>
      <c r="V17" s="772" t="s">
        <v>21</v>
      </c>
      <c r="W17" s="773">
        <f>J17</f>
        <v>100</v>
      </c>
      <c r="X17" s="1811"/>
      <c r="Y17" s="3309"/>
      <c r="Z17" s="1812" t="str">
        <f>Q17</f>
        <v>交通便捷度</v>
      </c>
      <c r="AA17" s="1809">
        <f t="shared" si="3"/>
        <v>1</v>
      </c>
      <c r="AB17" s="1809">
        <f t="shared" si="4"/>
        <v>1</v>
      </c>
      <c r="AC17" s="1809">
        <f t="shared" si="5"/>
        <v>1</v>
      </c>
    </row>
    <row r="18" spans="1:29" ht="15">
      <c r="A18" s="426"/>
      <c r="B18" s="454"/>
      <c r="C18" s="2602"/>
      <c r="D18" s="448"/>
      <c r="E18" s="2603"/>
      <c r="F18" s="448"/>
      <c r="G18" s="2604"/>
      <c r="H18" s="446"/>
      <c r="I18" s="2604"/>
      <c r="J18" s="446"/>
      <c r="K18" s="2600"/>
      <c r="L18" s="1138"/>
      <c r="M18" s="1129"/>
      <c r="N18" s="1129"/>
      <c r="O18" s="1129"/>
      <c r="P18" s="3378"/>
      <c r="Q18" s="1808"/>
      <c r="R18" s="772"/>
      <c r="S18" s="773"/>
      <c r="T18" s="772"/>
      <c r="U18" s="773"/>
      <c r="V18" s="772"/>
      <c r="W18" s="773"/>
      <c r="X18" s="1811"/>
      <c r="Y18" s="3309"/>
      <c r="Z18" s="1812"/>
      <c r="AA18" s="1809">
        <v>1</v>
      </c>
      <c r="AB18" s="1809">
        <v>1</v>
      </c>
      <c r="AC18" s="1809">
        <v>1</v>
      </c>
    </row>
    <row r="19" spans="1:29" ht="15">
      <c r="A19" s="426"/>
      <c r="B19" s="449" t="s">
        <v>2092</v>
      </c>
      <c r="C19" s="2601">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378"/>
      <c r="Q19" s="1808" t="str">
        <f>B19</f>
        <v>公共配套设施</v>
      </c>
      <c r="R19" s="772" t="s">
        <v>21</v>
      </c>
      <c r="S19" s="773">
        <f>F19</f>
        <v>100</v>
      </c>
      <c r="T19" s="772" t="s">
        <v>21</v>
      </c>
      <c r="U19" s="773">
        <f>H19</f>
        <v>100</v>
      </c>
      <c r="V19" s="772" t="s">
        <v>21</v>
      </c>
      <c r="W19" s="773">
        <f>J19</f>
        <v>100</v>
      </c>
      <c r="X19" s="1811"/>
      <c r="Y19" s="3309"/>
      <c r="Z19" s="1812" t="str">
        <f>Q19</f>
        <v>公共配套设施</v>
      </c>
      <c r="AA19" s="1809">
        <f t="shared" si="3"/>
        <v>1</v>
      </c>
      <c r="AB19" s="1809">
        <f t="shared" si="4"/>
        <v>1</v>
      </c>
      <c r="AC19" s="1809">
        <f t="shared" si="5"/>
        <v>1</v>
      </c>
    </row>
    <row r="20" spans="1:29" ht="15">
      <c r="A20" s="426"/>
      <c r="B20" s="454"/>
      <c r="C20" s="445"/>
      <c r="D20" s="446"/>
      <c r="E20" s="2598"/>
      <c r="F20" s="446"/>
      <c r="G20" s="2599"/>
      <c r="H20" s="446"/>
      <c r="I20" s="2599"/>
      <c r="J20" s="446"/>
      <c r="K20" s="2600"/>
      <c r="L20" s="1138"/>
      <c r="M20" s="1129"/>
      <c r="N20" s="1129"/>
      <c r="O20" s="1129"/>
      <c r="P20" s="3378"/>
      <c r="Q20" s="1808"/>
      <c r="R20" s="772"/>
      <c r="S20" s="773"/>
      <c r="T20" s="772"/>
      <c r="U20" s="773"/>
      <c r="V20" s="772"/>
      <c r="W20" s="773"/>
      <c r="X20" s="1811"/>
      <c r="Y20" s="3309"/>
      <c r="Z20" s="1812"/>
      <c r="AA20" s="1809">
        <v>1</v>
      </c>
      <c r="AB20" s="1809">
        <v>1</v>
      </c>
      <c r="AC20" s="1809">
        <v>1</v>
      </c>
    </row>
    <row r="21" spans="1:29" ht="15">
      <c r="A21" s="426"/>
      <c r="B21" s="1382" t="s">
        <v>2094</v>
      </c>
      <c r="C21" s="2601">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9"/>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6"/>
      <c r="G22" s="2605"/>
      <c r="H22" s="446"/>
      <c r="I22" s="445"/>
      <c r="J22" s="446"/>
      <c r="K22" s="2606"/>
      <c r="L22" s="1138"/>
      <c r="M22" s="1129"/>
      <c r="N22" s="1129"/>
      <c r="O22" s="1129"/>
      <c r="P22" s="3378"/>
      <c r="Q22" s="1808"/>
      <c r="R22" s="772"/>
      <c r="S22" s="773"/>
      <c r="T22" s="772"/>
      <c r="U22" s="773"/>
      <c r="V22" s="772"/>
      <c r="W22" s="773"/>
      <c r="X22" s="1811"/>
      <c r="Y22" s="3309"/>
      <c r="Z22" s="1812"/>
      <c r="AA22" s="1809">
        <v>1</v>
      </c>
      <c r="AB22" s="1809">
        <v>1</v>
      </c>
      <c r="AC22" s="1809">
        <v>1</v>
      </c>
    </row>
    <row r="23" spans="1:29" ht="15">
      <c r="A23" s="426"/>
      <c r="B23" s="449" t="s">
        <v>2096</v>
      </c>
      <c r="C23" s="2601">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378"/>
      <c r="Q23" s="1808" t="str">
        <f>B23</f>
        <v>自然及人文环境</v>
      </c>
      <c r="R23" s="772" t="s">
        <v>21</v>
      </c>
      <c r="S23" s="773">
        <f>F23</f>
        <v>100</v>
      </c>
      <c r="T23" s="772" t="s">
        <v>21</v>
      </c>
      <c r="U23" s="773">
        <f>H23</f>
        <v>100</v>
      </c>
      <c r="V23" s="772" t="s">
        <v>21</v>
      </c>
      <c r="W23" s="773">
        <f>J23</f>
        <v>100</v>
      </c>
      <c r="X23" s="1811"/>
      <c r="Y23" s="3309"/>
      <c r="Z23" s="1812" t="str">
        <f>Q23</f>
        <v>自然及人文环境</v>
      </c>
      <c r="AA23" s="1809">
        <f>D23/F23</f>
        <v>1</v>
      </c>
      <c r="AB23" s="1809">
        <f>D23/H23</f>
        <v>1</v>
      </c>
      <c r="AC23" s="1809">
        <f>D23/J23</f>
        <v>1</v>
      </c>
    </row>
    <row r="24" spans="1:29" ht="15">
      <c r="A24" s="426"/>
      <c r="B24" s="454"/>
      <c r="C24" s="445"/>
      <c r="D24" s="446"/>
      <c r="E24" s="2598"/>
      <c r="F24" s="446"/>
      <c r="G24" s="2599"/>
      <c r="H24" s="446"/>
      <c r="I24" s="2599"/>
      <c r="J24" s="446"/>
      <c r="K24" s="2600"/>
      <c r="L24" s="1138"/>
      <c r="M24" s="1129"/>
      <c r="N24" s="1129"/>
      <c r="O24" s="1129"/>
      <c r="P24" s="3378"/>
      <c r="Q24" s="1808"/>
      <c r="R24" s="772"/>
      <c r="S24" s="773"/>
      <c r="T24" s="772"/>
      <c r="U24" s="773"/>
      <c r="V24" s="772"/>
      <c r="W24" s="773"/>
      <c r="X24" s="1811"/>
      <c r="Y24" s="3309"/>
      <c r="Z24" s="1812"/>
      <c r="AA24" s="1809">
        <v>1</v>
      </c>
      <c r="AB24" s="1809">
        <v>1</v>
      </c>
      <c r="AC24" s="1809">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37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09"/>
      <c r="Z25" s="1812" t="str">
        <f>Q25</f>
        <v>楼层-1</v>
      </c>
      <c r="AA25" s="1809">
        <f t="shared" ref="AA25:AA46" si="15">D25/F25</f>
        <v>1</v>
      </c>
      <c r="AB25" s="1809">
        <f t="shared" ref="AB25:AB46" si="16">D25/H25</f>
        <v>1</v>
      </c>
      <c r="AC25" s="1809">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378"/>
      <c r="Q26" s="1808" t="str">
        <f t="shared" si="11"/>
        <v>朝向</v>
      </c>
      <c r="R26" s="772" t="s">
        <v>21</v>
      </c>
      <c r="S26" s="773">
        <f t="shared" si="12"/>
        <v>100</v>
      </c>
      <c r="T26" s="772" t="s">
        <v>21</v>
      </c>
      <c r="U26" s="773">
        <f t="shared" si="13"/>
        <v>100</v>
      </c>
      <c r="V26" s="772" t="s">
        <v>21</v>
      </c>
      <c r="W26" s="773">
        <f t="shared" si="14"/>
        <v>100</v>
      </c>
      <c r="X26" s="1811"/>
      <c r="Y26" s="3309"/>
      <c r="Z26" s="1812" t="str">
        <f>Q26</f>
        <v>朝向</v>
      </c>
      <c r="AA26" s="1809">
        <f t="shared" si="15"/>
        <v>1</v>
      </c>
      <c r="AB26" s="1809">
        <f t="shared" si="16"/>
        <v>1</v>
      </c>
      <c r="AC26" s="1809">
        <f t="shared" si="17"/>
        <v>1</v>
      </c>
    </row>
    <row r="27" spans="1:29" s="115"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378"/>
      <c r="Q27" s="1793">
        <f t="shared" si="11"/>
        <v>111</v>
      </c>
      <c r="R27" s="768" t="s">
        <v>21</v>
      </c>
      <c r="S27" s="769">
        <f t="shared" si="12"/>
        <v>100</v>
      </c>
      <c r="T27" s="768" t="s">
        <v>21</v>
      </c>
      <c r="U27" s="769">
        <f t="shared" si="13"/>
        <v>100</v>
      </c>
      <c r="V27" s="768" t="s">
        <v>21</v>
      </c>
      <c r="W27" s="769">
        <f t="shared" si="14"/>
        <v>100</v>
      </c>
      <c r="X27" s="770"/>
      <c r="Y27" s="3309"/>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378"/>
      <c r="Q28" s="1808">
        <f t="shared" si="11"/>
        <v>111</v>
      </c>
      <c r="R28" s="772" t="s">
        <v>21</v>
      </c>
      <c r="S28" s="773">
        <f t="shared" si="12"/>
        <v>100</v>
      </c>
      <c r="T28" s="772" t="s">
        <v>21</v>
      </c>
      <c r="U28" s="773">
        <f t="shared" si="13"/>
        <v>100</v>
      </c>
      <c r="V28" s="772" t="s">
        <v>21</v>
      </c>
      <c r="W28" s="773">
        <f t="shared" si="14"/>
        <v>100</v>
      </c>
      <c r="X28" s="1811"/>
      <c r="Y28" s="3309"/>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378"/>
      <c r="Q29" s="1808">
        <f t="shared" si="11"/>
        <v>111</v>
      </c>
      <c r="R29" s="772" t="s">
        <v>21</v>
      </c>
      <c r="S29" s="773">
        <f t="shared" si="12"/>
        <v>100</v>
      </c>
      <c r="T29" s="772" t="s">
        <v>21</v>
      </c>
      <c r="U29" s="773">
        <f t="shared" si="13"/>
        <v>100</v>
      </c>
      <c r="V29" s="772" t="s">
        <v>21</v>
      </c>
      <c r="W29" s="773">
        <f t="shared" si="14"/>
        <v>100</v>
      </c>
      <c r="X29" s="1811"/>
      <c r="Y29" s="3309"/>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378"/>
      <c r="Q30" s="1808">
        <f t="shared" si="11"/>
        <v>111</v>
      </c>
      <c r="R30" s="772" t="s">
        <v>21</v>
      </c>
      <c r="S30" s="773">
        <f t="shared" si="12"/>
        <v>100</v>
      </c>
      <c r="T30" s="772" t="s">
        <v>21</v>
      </c>
      <c r="U30" s="773">
        <f t="shared" si="13"/>
        <v>100</v>
      </c>
      <c r="V30" s="772" t="s">
        <v>21</v>
      </c>
      <c r="W30" s="773">
        <f t="shared" si="14"/>
        <v>100</v>
      </c>
      <c r="X30" s="1811"/>
      <c r="Y30" s="3309"/>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378"/>
      <c r="Q31" s="1808">
        <f t="shared" si="11"/>
        <v>111</v>
      </c>
      <c r="R31" s="772" t="s">
        <v>21</v>
      </c>
      <c r="S31" s="773">
        <f t="shared" si="12"/>
        <v>100</v>
      </c>
      <c r="T31" s="772" t="s">
        <v>21</v>
      </c>
      <c r="U31" s="773">
        <f t="shared" si="13"/>
        <v>100</v>
      </c>
      <c r="V31" s="772" t="s">
        <v>21</v>
      </c>
      <c r="W31" s="773">
        <f t="shared" si="14"/>
        <v>100</v>
      </c>
      <c r="X31" s="1811"/>
      <c r="Y31" s="3309"/>
      <c r="Z31" s="1812">
        <f t="shared" si="18"/>
        <v>111</v>
      </c>
      <c r="AA31" s="1809">
        <f t="shared" si="15"/>
        <v>1</v>
      </c>
      <c r="AB31" s="1809">
        <f t="shared" si="16"/>
        <v>1</v>
      </c>
      <c r="AC31" s="1809">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8"/>
      <c r="M32" s="1129"/>
      <c r="N32" s="1129"/>
      <c r="O32" s="1129"/>
      <c r="P32" s="3373" t="s">
        <v>2559</v>
      </c>
      <c r="Q32" s="1808" t="str">
        <f t="shared" si="11"/>
        <v>建筑类型</v>
      </c>
      <c r="R32" s="772" t="s">
        <v>21</v>
      </c>
      <c r="S32" s="773">
        <f t="shared" si="12"/>
        <v>100</v>
      </c>
      <c r="T32" s="772" t="s">
        <v>21</v>
      </c>
      <c r="U32" s="773">
        <f t="shared" si="13"/>
        <v>100</v>
      </c>
      <c r="V32" s="772" t="s">
        <v>21</v>
      </c>
      <c r="W32" s="773">
        <f t="shared" si="14"/>
        <v>100</v>
      </c>
      <c r="X32" s="1811"/>
      <c r="Y32" s="3311" t="s">
        <v>2559</v>
      </c>
      <c r="Z32" s="1812" t="str">
        <f t="shared" si="18"/>
        <v>建筑类型</v>
      </c>
      <c r="AA32" s="1809">
        <f t="shared" si="15"/>
        <v>1</v>
      </c>
      <c r="AB32" s="1809">
        <f t="shared" si="16"/>
        <v>1</v>
      </c>
      <c r="AC32" s="1809">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6"/>
      <c r="M33" s="1139"/>
      <c r="N33" s="1139"/>
      <c r="O33" s="1139"/>
      <c r="P33" s="3374"/>
      <c r="Q33" s="774" t="str">
        <f t="shared" si="11"/>
        <v>项目建筑规模</v>
      </c>
      <c r="R33" s="775" t="s">
        <v>21</v>
      </c>
      <c r="S33" s="776" t="e">
        <f t="shared" si="12"/>
        <v>#N/A</v>
      </c>
      <c r="T33" s="775" t="s">
        <v>21</v>
      </c>
      <c r="U33" s="776" t="e">
        <f t="shared" si="13"/>
        <v>#N/A</v>
      </c>
      <c r="V33" s="775" t="s">
        <v>21</v>
      </c>
      <c r="W33" s="776" t="e">
        <f t="shared" si="14"/>
        <v>#N/A</v>
      </c>
      <c r="X33" s="777"/>
      <c r="Y33" s="3311"/>
      <c r="Z33" s="778" t="str">
        <f t="shared" si="18"/>
        <v>项目建筑规模</v>
      </c>
      <c r="AA33" s="1809" t="e">
        <f t="shared" si="15"/>
        <v>#N/A</v>
      </c>
      <c r="AB33" s="1809" t="e">
        <f t="shared" si="16"/>
        <v>#N/A</v>
      </c>
      <c r="AC33" s="1809"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8"/>
      <c r="M34" s="1129"/>
      <c r="N34" s="1129"/>
      <c r="O34" s="1129"/>
      <c r="P34" s="3374"/>
      <c r="Q34" s="1808" t="str">
        <f t="shared" si="11"/>
        <v>建筑结构</v>
      </c>
      <c r="R34" s="772" t="s">
        <v>21</v>
      </c>
      <c r="S34" s="773">
        <f t="shared" si="12"/>
        <v>100</v>
      </c>
      <c r="T34" s="772" t="s">
        <v>21</v>
      </c>
      <c r="U34" s="773">
        <f t="shared" si="13"/>
        <v>100</v>
      </c>
      <c r="V34" s="772" t="s">
        <v>21</v>
      </c>
      <c r="W34" s="773">
        <f t="shared" si="14"/>
        <v>100</v>
      </c>
      <c r="X34" s="1811"/>
      <c r="Y34" s="3311"/>
      <c r="Z34" s="1812" t="str">
        <f t="shared" si="18"/>
        <v>建筑结构</v>
      </c>
      <c r="AA34" s="1809">
        <f t="shared" si="15"/>
        <v>1</v>
      </c>
      <c r="AB34" s="1809">
        <f t="shared" si="16"/>
        <v>1</v>
      </c>
      <c r="AC34" s="1809">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8"/>
      <c r="M35" s="1129"/>
      <c r="N35" s="1129"/>
      <c r="O35" s="1129"/>
      <c r="P35" s="3374"/>
      <c r="Q35" s="1808" t="str">
        <f t="shared" si="11"/>
        <v>建筑品质</v>
      </c>
      <c r="R35" s="772" t="s">
        <v>21</v>
      </c>
      <c r="S35" s="773">
        <f t="shared" si="12"/>
        <v>100</v>
      </c>
      <c r="T35" s="772" t="s">
        <v>21</v>
      </c>
      <c r="U35" s="773">
        <f t="shared" si="13"/>
        <v>100</v>
      </c>
      <c r="V35" s="772" t="s">
        <v>21</v>
      </c>
      <c r="W35" s="773">
        <f t="shared" si="14"/>
        <v>100</v>
      </c>
      <c r="X35" s="1811"/>
      <c r="Y35" s="3311"/>
      <c r="Z35" s="1812" t="str">
        <f t="shared" si="18"/>
        <v>建筑品质</v>
      </c>
      <c r="AA35" s="1809">
        <f t="shared" si="15"/>
        <v>1</v>
      </c>
      <c r="AB35" s="1809">
        <f t="shared" si="16"/>
        <v>1</v>
      </c>
      <c r="AC35" s="1809">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8"/>
      <c r="M36" s="1129"/>
      <c r="N36" s="1129"/>
      <c r="O36" s="1129"/>
      <c r="P36" s="3374"/>
      <c r="Q36" s="1808" t="str">
        <f t="shared" si="11"/>
        <v>公共部分装修</v>
      </c>
      <c r="R36" s="772" t="s">
        <v>21</v>
      </c>
      <c r="S36" s="773">
        <f t="shared" si="12"/>
        <v>100</v>
      </c>
      <c r="T36" s="772" t="s">
        <v>21</v>
      </c>
      <c r="U36" s="773">
        <f t="shared" si="13"/>
        <v>100</v>
      </c>
      <c r="V36" s="772" t="s">
        <v>21</v>
      </c>
      <c r="W36" s="773">
        <f t="shared" si="14"/>
        <v>100</v>
      </c>
      <c r="X36" s="1811"/>
      <c r="Y36" s="3311"/>
      <c r="Z36" s="1812" t="str">
        <f t="shared" si="18"/>
        <v>公共部分装修</v>
      </c>
      <c r="AA36" s="1809">
        <f t="shared" si="15"/>
        <v>1</v>
      </c>
      <c r="AB36" s="1809">
        <f t="shared" si="16"/>
        <v>1</v>
      </c>
      <c r="AC36" s="1809">
        <f t="shared" si="17"/>
        <v>1</v>
      </c>
    </row>
    <row r="37" spans="1:29" s="115"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374"/>
      <c r="Q37" s="1793" t="str">
        <f t="shared" si="11"/>
        <v>成新度</v>
      </c>
      <c r="R37" s="768" t="s">
        <v>21</v>
      </c>
      <c r="S37" s="769" t="e">
        <f t="shared" si="12"/>
        <v>#N/A</v>
      </c>
      <c r="T37" s="768" t="s">
        <v>21</v>
      </c>
      <c r="U37" s="769" t="e">
        <f t="shared" si="13"/>
        <v>#N/A</v>
      </c>
      <c r="V37" s="768" t="s">
        <v>21</v>
      </c>
      <c r="W37" s="769" t="e">
        <f t="shared" si="14"/>
        <v>#N/A</v>
      </c>
      <c r="X37" s="770"/>
      <c r="Y37" s="3311"/>
      <c r="Z37" s="55" t="str">
        <f t="shared" si="18"/>
        <v>成新度</v>
      </c>
      <c r="AA37" s="771" t="e">
        <f t="shared" si="15"/>
        <v>#N/A</v>
      </c>
      <c r="AB37" s="771" t="e">
        <f t="shared" si="16"/>
        <v>#N/A</v>
      </c>
      <c r="AC37" s="771"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8"/>
      <c r="M38" s="1129"/>
      <c r="N38" s="1129"/>
      <c r="O38" s="1129"/>
      <c r="P38" s="3374" t="s">
        <v>2559</v>
      </c>
      <c r="Q38" s="1808" t="str">
        <f t="shared" si="11"/>
        <v>物业管理</v>
      </c>
      <c r="R38" s="772" t="s">
        <v>21</v>
      </c>
      <c r="S38" s="773">
        <f t="shared" si="12"/>
        <v>100</v>
      </c>
      <c r="T38" s="772" t="s">
        <v>21</v>
      </c>
      <c r="U38" s="773">
        <f t="shared" si="13"/>
        <v>100</v>
      </c>
      <c r="V38" s="772" t="s">
        <v>21</v>
      </c>
      <c r="W38" s="773">
        <f t="shared" si="14"/>
        <v>100</v>
      </c>
      <c r="X38" s="1811"/>
      <c r="Y38" s="3311" t="s">
        <v>2559</v>
      </c>
      <c r="Z38" s="1812" t="str">
        <f t="shared" si="18"/>
        <v>物业管理</v>
      </c>
      <c r="AA38" s="1809">
        <f t="shared" si="15"/>
        <v>1</v>
      </c>
      <c r="AB38" s="1809">
        <f t="shared" si="16"/>
        <v>1</v>
      </c>
      <c r="AC38" s="1809">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8"/>
      <c r="M39" s="1129"/>
      <c r="N39" s="1129"/>
      <c r="O39" s="1129"/>
      <c r="P39" s="3374"/>
      <c r="Q39" s="1808" t="str">
        <f t="shared" si="11"/>
        <v>市政基础设施</v>
      </c>
      <c r="R39" s="772" t="s">
        <v>21</v>
      </c>
      <c r="S39" s="773">
        <f t="shared" si="12"/>
        <v>100</v>
      </c>
      <c r="T39" s="772" t="s">
        <v>21</v>
      </c>
      <c r="U39" s="773">
        <f t="shared" si="13"/>
        <v>100</v>
      </c>
      <c r="V39" s="772" t="s">
        <v>21</v>
      </c>
      <c r="W39" s="773">
        <f t="shared" si="14"/>
        <v>100</v>
      </c>
      <c r="X39" s="1811"/>
      <c r="Y39" s="3311"/>
      <c r="Z39" s="1812" t="str">
        <f t="shared" si="18"/>
        <v>市政基础设施</v>
      </c>
      <c r="AA39" s="1809">
        <f t="shared" si="15"/>
        <v>1</v>
      </c>
      <c r="AB39" s="1809">
        <f t="shared" si="16"/>
        <v>1</v>
      </c>
      <c r="AC39" s="1809">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8"/>
      <c r="M40" s="1129"/>
      <c r="N40" s="1129"/>
      <c r="O40" s="1129"/>
      <c r="P40" s="3374"/>
      <c r="Q40" s="1808" t="str">
        <f t="shared" si="11"/>
        <v>房型</v>
      </c>
      <c r="R40" s="772" t="s">
        <v>21</v>
      </c>
      <c r="S40" s="773">
        <f t="shared" si="12"/>
        <v>100</v>
      </c>
      <c r="T40" s="772" t="s">
        <v>21</v>
      </c>
      <c r="U40" s="773">
        <f t="shared" si="13"/>
        <v>100</v>
      </c>
      <c r="V40" s="772" t="s">
        <v>21</v>
      </c>
      <c r="W40" s="773">
        <f t="shared" si="14"/>
        <v>100</v>
      </c>
      <c r="X40" s="1811"/>
      <c r="Y40" s="3311"/>
      <c r="Z40" s="1812" t="str">
        <f t="shared" si="18"/>
        <v>房型</v>
      </c>
      <c r="AA40" s="1809">
        <f t="shared" si="15"/>
        <v>1</v>
      </c>
      <c r="AB40" s="1809">
        <f t="shared" si="16"/>
        <v>1</v>
      </c>
      <c r="AC40" s="1809">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6"/>
      <c r="M41" s="1139"/>
      <c r="N41" s="1139"/>
      <c r="O41" s="1139"/>
      <c r="P41" s="3374"/>
      <c r="Q41" s="774" t="str">
        <f t="shared" si="11"/>
        <v>单套/主力户型建筑面积</v>
      </c>
      <c r="R41" s="775" t="s">
        <v>21</v>
      </c>
      <c r="S41" s="776">
        <f t="shared" si="12"/>
        <v>100</v>
      </c>
      <c r="T41" s="775" t="s">
        <v>21</v>
      </c>
      <c r="U41" s="776">
        <f t="shared" si="13"/>
        <v>100</v>
      </c>
      <c r="V41" s="775" t="s">
        <v>21</v>
      </c>
      <c r="W41" s="776">
        <f t="shared" si="14"/>
        <v>100</v>
      </c>
      <c r="X41" s="777"/>
      <c r="Y41" s="3311"/>
      <c r="Z41" s="778" t="str">
        <f t="shared" si="18"/>
        <v>单套/主力户型建筑面积</v>
      </c>
      <c r="AA41" s="1809">
        <f t="shared" si="15"/>
        <v>1</v>
      </c>
      <c r="AB41" s="1809">
        <f t="shared" si="16"/>
        <v>1</v>
      </c>
      <c r="AC41" s="1809">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8"/>
      <c r="M42" s="1129"/>
      <c r="N42" s="1129"/>
      <c r="O42" s="1129"/>
      <c r="P42" s="3374"/>
      <c r="Q42" s="1808" t="str">
        <f t="shared" si="11"/>
        <v>内部装修</v>
      </c>
      <c r="R42" s="772" t="s">
        <v>21</v>
      </c>
      <c r="S42" s="773">
        <f t="shared" si="12"/>
        <v>100</v>
      </c>
      <c r="T42" s="772" t="s">
        <v>21</v>
      </c>
      <c r="U42" s="773">
        <f t="shared" si="13"/>
        <v>100</v>
      </c>
      <c r="V42" s="772" t="s">
        <v>21</v>
      </c>
      <c r="W42" s="773">
        <f t="shared" si="14"/>
        <v>100</v>
      </c>
      <c r="X42" s="1811"/>
      <c r="Y42" s="3311"/>
      <c r="Z42" s="1812" t="str">
        <f t="shared" si="18"/>
        <v>内部装修</v>
      </c>
      <c r="AA42" s="1809">
        <f t="shared" si="15"/>
        <v>1</v>
      </c>
      <c r="AB42" s="1809">
        <f t="shared" si="16"/>
        <v>1</v>
      </c>
      <c r="AC42" s="1809">
        <f t="shared" si="17"/>
        <v>1</v>
      </c>
    </row>
    <row r="43" spans="1:29" ht="15">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8"/>
      <c r="M43" s="1129"/>
      <c r="N43" s="1129"/>
      <c r="O43" s="1129"/>
      <c r="P43" s="3374"/>
      <c r="Q43" s="1808" t="str">
        <f t="shared" si="11"/>
        <v>内部装修维护情况</v>
      </c>
      <c r="R43" s="772" t="s">
        <v>21</v>
      </c>
      <c r="S43" s="773">
        <f t="shared" si="12"/>
        <v>100</v>
      </c>
      <c r="T43" s="772" t="s">
        <v>21</v>
      </c>
      <c r="U43" s="773">
        <f t="shared" si="13"/>
        <v>100</v>
      </c>
      <c r="V43" s="772" t="s">
        <v>21</v>
      </c>
      <c r="W43" s="773">
        <f t="shared" si="14"/>
        <v>100</v>
      </c>
      <c r="X43" s="1811"/>
      <c r="Y43" s="3311"/>
      <c r="Z43" s="1812" t="str">
        <f t="shared" si="18"/>
        <v>内部装修维护情况</v>
      </c>
      <c r="AA43" s="1809">
        <f t="shared" si="15"/>
        <v>1</v>
      </c>
      <c r="AB43" s="1809">
        <f t="shared" si="16"/>
        <v>1</v>
      </c>
      <c r="AC43" s="1809">
        <f t="shared" si="17"/>
        <v>1</v>
      </c>
    </row>
    <row r="44" spans="1:29" s="115"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0"/>
      <c r="M44" s="1131"/>
      <c r="N44" s="1131"/>
      <c r="O44" s="1131"/>
      <c r="P44" s="3374"/>
      <c r="Q44" s="1793">
        <f t="shared" si="11"/>
        <v>111</v>
      </c>
      <c r="R44" s="768" t="s">
        <v>21</v>
      </c>
      <c r="S44" s="769">
        <f t="shared" si="12"/>
        <v>100</v>
      </c>
      <c r="T44" s="768" t="s">
        <v>21</v>
      </c>
      <c r="U44" s="769">
        <f t="shared" si="13"/>
        <v>100</v>
      </c>
      <c r="V44" s="768" t="s">
        <v>21</v>
      </c>
      <c r="W44" s="769">
        <f t="shared" si="14"/>
        <v>100</v>
      </c>
      <c r="X44" s="770"/>
      <c r="Y44" s="3311"/>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374"/>
      <c r="Q45" s="1808">
        <f t="shared" si="11"/>
        <v>111</v>
      </c>
      <c r="R45" s="772" t="s">
        <v>21</v>
      </c>
      <c r="S45" s="773">
        <f t="shared" si="12"/>
        <v>100</v>
      </c>
      <c r="T45" s="772" t="s">
        <v>21</v>
      </c>
      <c r="U45" s="773">
        <f t="shared" si="13"/>
        <v>100</v>
      </c>
      <c r="V45" s="772" t="s">
        <v>21</v>
      </c>
      <c r="W45" s="773">
        <f t="shared" si="14"/>
        <v>100</v>
      </c>
      <c r="X45" s="1811"/>
      <c r="Y45" s="3311"/>
      <c r="Z45" s="1812">
        <f t="shared" si="18"/>
        <v>111</v>
      </c>
      <c r="AA45" s="1809">
        <f t="shared" si="15"/>
        <v>1</v>
      </c>
      <c r="AB45" s="1809">
        <f t="shared" si="16"/>
        <v>1</v>
      </c>
      <c r="AC45" s="1809">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375"/>
      <c r="Q46" s="1808">
        <f t="shared" si="11"/>
        <v>111</v>
      </c>
      <c r="R46" s="772" t="s">
        <v>20</v>
      </c>
      <c r="S46" s="773">
        <f t="shared" si="12"/>
        <v>100</v>
      </c>
      <c r="T46" s="772" t="s">
        <v>20</v>
      </c>
      <c r="U46" s="773">
        <f t="shared" si="13"/>
        <v>100</v>
      </c>
      <c r="V46" s="772" t="s">
        <v>20</v>
      </c>
      <c r="W46" s="773">
        <f t="shared" si="14"/>
        <v>100</v>
      </c>
      <c r="X46" s="1811"/>
      <c r="Y46" s="3376"/>
      <c r="Z46" s="1812">
        <f t="shared" si="18"/>
        <v>111</v>
      </c>
      <c r="AA46" s="1809">
        <f t="shared" si="15"/>
        <v>1</v>
      </c>
      <c r="AB46" s="1809">
        <f t="shared" si="16"/>
        <v>1</v>
      </c>
      <c r="AC46" s="1809">
        <f t="shared" si="17"/>
        <v>1</v>
      </c>
    </row>
    <row r="47" spans="1:29" ht="15">
      <c r="A47" s="477" t="s">
        <v>2571</v>
      </c>
      <c r="B47" s="478"/>
      <c r="C47" s="1405" t="s">
        <v>19</v>
      </c>
      <c r="D47" s="1406"/>
      <c r="E47" s="1407"/>
      <c r="F47" s="1408"/>
      <c r="G47" s="1409"/>
      <c r="H47" s="1410"/>
      <c r="I47" s="1407"/>
      <c r="J47" s="1410"/>
      <c r="K47" s="2615"/>
      <c r="L47" s="1141"/>
      <c r="M47" s="1142"/>
      <c r="N47" s="1129"/>
      <c r="O47" s="1142"/>
      <c r="P47" s="3293" t="str">
        <f>A47</f>
        <v>成交单价（元/平方米）</v>
      </c>
      <c r="Q47" s="3293"/>
      <c r="R47" s="3372">
        <f>E47</f>
        <v>0</v>
      </c>
      <c r="S47" s="3372"/>
      <c r="T47" s="3372">
        <f>G47</f>
        <v>0</v>
      </c>
      <c r="U47" s="3372"/>
      <c r="V47" s="3372">
        <f>I47</f>
        <v>0</v>
      </c>
      <c r="W47" s="3372"/>
      <c r="X47" s="757"/>
      <c r="Y47" s="779"/>
      <c r="Z47" s="757"/>
      <c r="AA47" s="757"/>
      <c r="AB47" s="757"/>
      <c r="AC47" s="757"/>
    </row>
    <row r="48" spans="1:29" ht="15.75" thickBot="1">
      <c r="A48" s="484" t="s">
        <v>2572</v>
      </c>
      <c r="B48" s="485"/>
      <c r="C48" s="1411" t="e">
        <f>R49</f>
        <v>#DIV/0!</v>
      </c>
      <c r="D48" s="1412"/>
      <c r="E48" s="1413" t="e">
        <f>R48</f>
        <v>#DIV/0!</v>
      </c>
      <c r="F48" s="1413"/>
      <c r="G48" s="1411" t="e">
        <f>T48</f>
        <v>#DIV/0!</v>
      </c>
      <c r="H48" s="1412"/>
      <c r="I48" s="1413" t="e">
        <f>V48</f>
        <v>#DIV/0!</v>
      </c>
      <c r="J48" s="1412"/>
      <c r="K48" s="2616"/>
      <c r="L48" s="1141"/>
      <c r="M48" s="1142"/>
      <c r="N48" s="1142"/>
      <c r="O48" s="1142"/>
      <c r="P48" s="3293" t="str">
        <f>A48</f>
        <v>比较价值（元/平方米）</v>
      </c>
      <c r="Q48" s="3293"/>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757"/>
      <c r="Y48" s="757"/>
      <c r="Z48" s="757"/>
      <c r="AA48" s="757"/>
      <c r="AB48" s="757"/>
      <c r="AC48" s="757"/>
    </row>
    <row r="49" spans="1:29" ht="15.75" thickBot="1">
      <c r="A49" s="490" t="s">
        <v>2573</v>
      </c>
      <c r="B49" s="491"/>
      <c r="C49" s="1414" t="e">
        <f>R49</f>
        <v>#DIV/0!</v>
      </c>
      <c r="D49" s="1415"/>
      <c r="E49" s="1415"/>
      <c r="F49" s="1415"/>
      <c r="G49" s="1415"/>
      <c r="H49" s="1415"/>
      <c r="I49" s="1415"/>
      <c r="J49" s="1415"/>
      <c r="K49" s="2617"/>
      <c r="L49" s="1141"/>
      <c r="M49" s="1142"/>
      <c r="N49" s="1142"/>
      <c r="O49" s="1142"/>
      <c r="P49" s="3313" t="str">
        <f>A49</f>
        <v>估价对象XX用房的比较价值（楼面单价，元/平方米）</v>
      </c>
      <c r="Q49" s="3314"/>
      <c r="R49" s="3371" t="e">
        <f>IF(F1="售价",ROUND(AVERAGE(R48:V48),0),ROUND(AVERAGE(R48:V48),1))</f>
        <v>#DIV/0!</v>
      </c>
      <c r="S49" s="3371"/>
      <c r="T49" s="3371"/>
      <c r="U49" s="3371"/>
      <c r="V49" s="3371"/>
      <c r="W49" s="337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19"/>
    </row>
    <row r="55" spans="1:29" s="500"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0"/>
      <c r="Q57" s="502"/>
    </row>
    <row r="58" spans="1:29" s="506" customFormat="1" ht="15">
      <c r="A58" s="503" t="s">
        <v>2578</v>
      </c>
      <c r="B58" s="504"/>
      <c r="C58" s="1574" t="str">
        <f>YEAR(C7)&amp;"-"&amp;MONTH(C7)</f>
        <v>2018-4</v>
      </c>
      <c r="D58" s="1573">
        <f>EDATE(C58,-1)</f>
        <v>43160</v>
      </c>
      <c r="E58" s="1573">
        <f>EDATE(D58,-1)</f>
        <v>43132</v>
      </c>
      <c r="F58" s="1573">
        <f t="shared" ref="F58:O58" si="19">EDATE(E58,-1)</f>
        <v>43101</v>
      </c>
      <c r="G58" s="1573">
        <f t="shared" si="19"/>
        <v>43070</v>
      </c>
      <c r="H58" s="1573">
        <f t="shared" si="19"/>
        <v>43040</v>
      </c>
      <c r="I58" s="1573">
        <f t="shared" si="19"/>
        <v>43009</v>
      </c>
      <c r="J58" s="1573">
        <f t="shared" si="19"/>
        <v>42979</v>
      </c>
      <c r="K58" s="1573">
        <f t="shared" si="19"/>
        <v>42948</v>
      </c>
      <c r="L58" s="1573">
        <f t="shared" si="19"/>
        <v>42917</v>
      </c>
      <c r="M58" s="1573">
        <f t="shared" si="19"/>
        <v>42887</v>
      </c>
      <c r="N58" s="1573">
        <f t="shared" si="19"/>
        <v>42856</v>
      </c>
      <c r="O58" s="1573">
        <f t="shared" si="19"/>
        <v>42826</v>
      </c>
      <c r="P58" s="1568"/>
    </row>
    <row r="59" spans="1:29" s="115" customFormat="1" ht="15">
      <c r="A59" s="507"/>
      <c r="B59" s="2621"/>
      <c r="C59" s="1571">
        <v>100</v>
      </c>
      <c r="D59" s="509"/>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2580</v>
      </c>
      <c r="B61" s="508"/>
      <c r="C61" s="520" t="s">
        <v>2581</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4"/>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58"/>
      <c r="E73" s="558"/>
      <c r="F73" s="558"/>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2094</v>
      </c>
      <c r="C82" s="537" t="s">
        <v>2598</v>
      </c>
      <c r="D82" s="537" t="s">
        <v>2599</v>
      </c>
      <c r="E82" s="537" t="s">
        <v>2600</v>
      </c>
      <c r="F82" s="537" t="s">
        <v>2601</v>
      </c>
      <c r="G82" s="537" t="s">
        <v>2602</v>
      </c>
      <c r="H82" s="537"/>
      <c r="I82" s="537"/>
      <c r="J82" s="537"/>
      <c r="K82" s="537"/>
      <c r="L82" s="537"/>
      <c r="M82" s="1380"/>
      <c r="N82" s="1151"/>
      <c r="O82" s="1151"/>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2604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4"/>
      <c r="Q87" s="502"/>
    </row>
    <row r="88" spans="1:17" s="115" customFormat="1" ht="15.75" thickTop="1">
      <c r="A88" s="577"/>
      <c r="B88" s="536" t="s">
        <v>2605</v>
      </c>
      <c r="C88" s="552"/>
      <c r="D88" s="552"/>
      <c r="E88" s="552"/>
      <c r="F88" s="2629"/>
      <c r="G88" s="552"/>
      <c r="H88" s="552"/>
      <c r="I88" s="552"/>
      <c r="J88" s="552"/>
      <c r="K88" s="552"/>
      <c r="L88" s="552"/>
      <c r="M88" s="579"/>
      <c r="N88" s="1149"/>
      <c r="O88" s="1149"/>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4"/>
      <c r="Q89" s="502"/>
    </row>
    <row r="90" spans="1:17" s="469" customFormat="1" ht="15.75" thickTop="1">
      <c r="A90" s="551"/>
      <c r="B90" s="536">
        <f>B27</f>
        <v>111</v>
      </c>
      <c r="C90" s="552"/>
      <c r="D90" s="552"/>
      <c r="E90" s="552"/>
      <c r="F90" s="552"/>
      <c r="G90" s="552"/>
      <c r="H90" s="553"/>
      <c r="I90" s="553"/>
      <c r="J90" s="553"/>
      <c r="K90" s="553"/>
      <c r="L90" s="554"/>
      <c r="M90" s="555"/>
      <c r="N90" s="1152"/>
      <c r="O90" s="1152"/>
      <c r="P90" s="2625"/>
      <c r="Q90" s="557"/>
    </row>
    <row r="91" spans="1:17" s="469" customFormat="1" ht="15.75" thickBot="1">
      <c r="A91" s="551"/>
      <c r="B91" s="541"/>
      <c r="C91" s="558"/>
      <c r="D91" s="558"/>
      <c r="E91" s="558"/>
      <c r="F91" s="558"/>
      <c r="G91" s="558"/>
      <c r="H91" s="560"/>
      <c r="I91" s="560"/>
      <c r="J91" s="560"/>
      <c r="K91" s="560"/>
      <c r="L91" s="560"/>
      <c r="M91" s="561"/>
      <c r="N91" s="1152"/>
      <c r="O91" s="1152"/>
      <c r="P91" s="2625"/>
      <c r="Q91" s="557"/>
    </row>
    <row r="92" spans="1:17" ht="15.75" thickTop="1">
      <c r="A92" s="532"/>
      <c r="B92" s="536">
        <f>B28</f>
        <v>111</v>
      </c>
      <c r="C92" s="552"/>
      <c r="D92" s="552"/>
      <c r="E92" s="552"/>
      <c r="F92" s="552"/>
      <c r="G92" s="581"/>
      <c r="H92" s="581"/>
      <c r="I92" s="581"/>
      <c r="J92" s="581"/>
      <c r="K92" s="582"/>
      <c r="L92" s="583"/>
      <c r="M92" s="584"/>
      <c r="N92" s="1150"/>
      <c r="O92" s="1150"/>
      <c r="P92" s="2624"/>
      <c r="Q92" s="502"/>
    </row>
    <row r="93" spans="1:17" ht="15.75" thickBot="1">
      <c r="A93" s="532"/>
      <c r="B93" s="541"/>
      <c r="C93" s="558"/>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58"/>
      <c r="E95" s="558"/>
      <c r="F95" s="558"/>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68"/>
      <c r="D97" s="568"/>
      <c r="E97" s="568"/>
      <c r="F97" s="568"/>
      <c r="G97" s="534"/>
      <c r="H97" s="534"/>
      <c r="I97" s="534"/>
      <c r="J97" s="534"/>
      <c r="K97" s="534"/>
      <c r="L97" s="534"/>
      <c r="M97" s="535"/>
      <c r="N97" s="1151"/>
      <c r="O97" s="1151"/>
      <c r="P97" s="2624"/>
      <c r="Q97" s="502"/>
    </row>
    <row r="98" spans="1:17" ht="15.75" thickTop="1">
      <c r="A98" s="532"/>
      <c r="B98" s="544">
        <f>B31</f>
        <v>111</v>
      </c>
      <c r="C98" s="585"/>
      <c r="D98" s="585"/>
      <c r="E98" s="585"/>
      <c r="F98" s="585"/>
      <c r="G98" s="585"/>
      <c r="H98" s="585"/>
      <c r="I98" s="585"/>
      <c r="J98" s="585"/>
      <c r="K98" s="586"/>
      <c r="L98" s="587"/>
      <c r="M98" s="588"/>
      <c r="N98" s="1150"/>
      <c r="O98" s="1150"/>
      <c r="P98" s="2624"/>
      <c r="Q98" s="502"/>
    </row>
    <row r="99" spans="1:17" ht="15.75" thickBot="1">
      <c r="A99" s="2630"/>
      <c r="B99" s="567"/>
      <c r="C99" s="589"/>
      <c r="D99" s="589"/>
      <c r="E99" s="589"/>
      <c r="F99" s="589"/>
      <c r="G99" s="589"/>
      <c r="H99" s="589"/>
      <c r="I99" s="589"/>
      <c r="J99" s="589"/>
      <c r="K99" s="589"/>
      <c r="L99" s="589"/>
      <c r="M99" s="590"/>
      <c r="N99" s="1151"/>
      <c r="O99" s="1151"/>
      <c r="P99" s="2624"/>
      <c r="Q99" s="502"/>
    </row>
    <row r="100" spans="1:17">
      <c r="A100" s="525" t="s">
        <v>2557</v>
      </c>
      <c r="B100" s="526" t="s">
        <v>2606</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4"/>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4"/>
      <c r="Q106" s="502"/>
    </row>
    <row r="107" spans="1:17" ht="15" thickTop="1">
      <c r="A107" s="597"/>
      <c r="B107" s="536" t="s">
        <v>2609</v>
      </c>
      <c r="C107" s="581"/>
      <c r="D107" s="581"/>
      <c r="E107" s="581"/>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4"/>
      <c r="Q108" s="502"/>
    </row>
    <row r="109" spans="1:17" ht="15" thickTop="1">
      <c r="A109" s="597"/>
      <c r="B109" s="536" t="s">
        <v>2610</v>
      </c>
      <c r="C109" s="552"/>
      <c r="D109" s="552"/>
      <c r="E109" s="552"/>
      <c r="F109" s="581"/>
      <c r="G109" s="581"/>
      <c r="H109" s="581"/>
      <c r="I109" s="581"/>
      <c r="J109" s="581"/>
      <c r="K109" s="582"/>
      <c r="L109" s="583"/>
      <c r="M109" s="584"/>
      <c r="N109" s="1150"/>
      <c r="O109" s="1150"/>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5"/>
      <c r="Q113" s="557"/>
    </row>
    <row r="114" spans="1:17" ht="15" thickTop="1">
      <c r="A114" s="597"/>
      <c r="B114" s="536" t="s">
        <v>2611</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4"/>
      <c r="Q115" s="502"/>
    </row>
    <row r="116" spans="1:17" ht="15" thickTop="1">
      <c r="A116" s="597"/>
      <c r="B116" s="536" t="s">
        <v>2612</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2613</v>
      </c>
      <c r="C118" s="581"/>
      <c r="D118" s="581"/>
      <c r="E118" s="581"/>
      <c r="F118" s="581"/>
      <c r="G118" s="581"/>
      <c r="H118" s="581"/>
      <c r="I118" s="581"/>
      <c r="J118" s="581"/>
      <c r="K118" s="582"/>
      <c r="L118" s="583"/>
      <c r="M118" s="584"/>
      <c r="N118" s="1150"/>
      <c r="O118" s="1150"/>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4"/>
      <c r="Q119" s="502"/>
    </row>
    <row r="120" spans="1:17" s="469" customFormat="1" ht="28.5" thickTop="1">
      <c r="A120" s="591"/>
      <c r="B120" s="536" t="s">
        <v>2568</v>
      </c>
      <c r="C120" s="552"/>
      <c r="D120" s="552"/>
      <c r="E120" s="552"/>
      <c r="F120" s="552"/>
      <c r="G120" s="552"/>
      <c r="H120" s="552"/>
      <c r="I120" s="552"/>
      <c r="J120" s="552"/>
      <c r="K120" s="552"/>
      <c r="L120" s="578"/>
      <c r="M120" s="579"/>
      <c r="N120" s="1152"/>
      <c r="O120" s="1152"/>
      <c r="P120" s="2625"/>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58"/>
      <c r="E129" s="558"/>
      <c r="F129" s="558"/>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2">
        <v>6</v>
      </c>
      <c r="C139" s="1083">
        <v>96</v>
      </c>
      <c r="D139" s="2642" t="s">
        <v>2625</v>
      </c>
      <c r="E139" s="1084">
        <v>100</v>
      </c>
      <c r="F139" s="1085">
        <v>102.5</v>
      </c>
      <c r="G139" s="2642" t="s">
        <v>2625</v>
      </c>
      <c r="H139" s="1086">
        <v>105</v>
      </c>
      <c r="I139" s="2643" t="s">
        <v>2626</v>
      </c>
      <c r="J139" s="1083">
        <v>20</v>
      </c>
      <c r="K139" s="1087">
        <f>C145/(J139-2)</f>
        <v>4.0555555555555553E-3</v>
      </c>
    </row>
    <row r="140" spans="1:17" ht="15">
      <c r="B140" s="1088">
        <v>5</v>
      </c>
      <c r="C140" s="1089">
        <v>100</v>
      </c>
      <c r="D140" s="1089"/>
      <c r="E140" s="1090"/>
      <c r="F140" s="1091">
        <v>102</v>
      </c>
      <c r="G140" s="1089"/>
      <c r="H140" s="1092"/>
      <c r="I140" s="2644" t="s">
        <v>2627</v>
      </c>
      <c r="J140" s="313">
        <f>ROUNDUP((J139-1)/2,0)</f>
        <v>10</v>
      </c>
      <c r="K140" s="1093">
        <v>100</v>
      </c>
    </row>
    <row r="141" spans="1:17" ht="15">
      <c r="B141" s="1088">
        <v>4</v>
      </c>
      <c r="C141" s="1089">
        <v>102</v>
      </c>
      <c r="D141" s="1089"/>
      <c r="E141" s="1090"/>
      <c r="F141" s="1091">
        <v>101.5</v>
      </c>
      <c r="G141" s="1089"/>
      <c r="H141" s="1092"/>
      <c r="I141" s="2644" t="s">
        <v>2628</v>
      </c>
      <c r="J141" s="313">
        <v>1</v>
      </c>
      <c r="K141" s="1094">
        <f>ROUND(100+(J141-J140)*K139*100,1)</f>
        <v>96.4</v>
      </c>
    </row>
    <row r="142" spans="1:17" ht="15">
      <c r="B142" s="1088">
        <v>3</v>
      </c>
      <c r="C142" s="1089">
        <v>103</v>
      </c>
      <c r="D142" s="1089"/>
      <c r="E142" s="1090"/>
      <c r="F142" s="1091">
        <v>101</v>
      </c>
      <c r="G142" s="1089"/>
      <c r="H142" s="1092"/>
      <c r="I142" s="2644" t="s">
        <v>2629</v>
      </c>
      <c r="J142" s="313">
        <f>J139</f>
        <v>20</v>
      </c>
      <c r="K142" s="1095">
        <v>95</v>
      </c>
    </row>
    <row r="143" spans="1:17" ht="15">
      <c r="B143" s="1088">
        <v>2</v>
      </c>
      <c r="C143" s="1089">
        <v>100</v>
      </c>
      <c r="D143" s="1089"/>
      <c r="E143" s="1090"/>
      <c r="F143" s="1091">
        <v>100.5</v>
      </c>
      <c r="G143" s="1089"/>
      <c r="H143" s="1092"/>
      <c r="I143" s="2644" t="s">
        <v>2630</v>
      </c>
      <c r="J143" s="1089">
        <v>15</v>
      </c>
      <c r="K143" s="1094">
        <f>ROUND(100+(J143-J140)*K139*100,1)</f>
        <v>102</v>
      </c>
    </row>
    <row r="144" spans="1:17" ht="15">
      <c r="B144" s="1088">
        <v>1</v>
      </c>
      <c r="C144" s="1089">
        <v>98</v>
      </c>
      <c r="D144" s="2645" t="s">
        <v>2631</v>
      </c>
      <c r="E144" s="1090">
        <v>102</v>
      </c>
      <c r="F144" s="1096">
        <v>100</v>
      </c>
      <c r="G144" s="2645" t="s">
        <v>2631</v>
      </c>
      <c r="H144" s="1092">
        <v>105</v>
      </c>
      <c r="I144" s="2644" t="s">
        <v>2630</v>
      </c>
      <c r="J144" s="1089">
        <v>18</v>
      </c>
      <c r="K144" s="1094">
        <f>ROUND(100+(J144-J140)*K139*100,1)</f>
        <v>103.2</v>
      </c>
    </row>
    <row r="145" spans="2:11" ht="15.75" thickBot="1">
      <c r="B145" s="2646" t="s">
        <v>2632</v>
      </c>
      <c r="C145" s="1097">
        <f>ROUND(MAX(C139:C144)/MIN(C139:C144)-1,3)</f>
        <v>7.2999999999999995E-2</v>
      </c>
      <c r="D145" s="1098"/>
      <c r="E145" s="1098"/>
      <c r="F145" s="2647" t="s">
        <v>2633</v>
      </c>
      <c r="G145" s="2648"/>
      <c r="H145" s="2649"/>
      <c r="I145" s="2650" t="s">
        <v>2630</v>
      </c>
      <c r="J145" s="1099">
        <v>8</v>
      </c>
      <c r="K145" s="1100">
        <f>ROUND(100+(J145-J140)*K139*100,1)</f>
        <v>99.2</v>
      </c>
    </row>
    <row r="147" spans="2:11">
      <c r="B147" s="2631" t="s">
        <v>2634</v>
      </c>
    </row>
    <row r="148" spans="2:11">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2636</v>
      </c>
      <c r="C1" s="1632" t="s">
        <v>2524</v>
      </c>
      <c r="D1" s="1619"/>
      <c r="E1" s="2651"/>
      <c r="F1" s="2578"/>
      <c r="G1" s="1629" t="s">
        <v>2637</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6" customFormat="1" ht="28.5" customHeight="1" thickTop="1">
      <c r="A2" s="1615" t="s">
        <v>2321</v>
      </c>
      <c r="B2" s="1416" t="e">
        <f ca="1">IF(C2="——",ROUND(C49*D3/10000,0),ROUND(C49*D3/10000,0)-D2)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6" customFormat="1" ht="28.5" customHeight="1" thickBot="1">
      <c r="A3" s="245" t="s">
        <v>2323</v>
      </c>
      <c r="B3" s="607" t="e">
        <f ca="1">IF(C2="——",C49,ROUND(B2*10000/D3,0))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306" t="s">
        <v>2642</v>
      </c>
      <c r="AC4" s="3274" t="s">
        <v>2643</v>
      </c>
    </row>
    <row r="5" spans="1:29" ht="15">
      <c r="A5" s="402"/>
      <c r="B5" s="403"/>
      <c r="C5" s="3285" t="s">
        <v>2536</v>
      </c>
      <c r="D5" s="3286"/>
      <c r="E5" s="3369" t="s">
        <v>2537</v>
      </c>
      <c r="F5" s="3284"/>
      <c r="G5" s="3285" t="s">
        <v>2538</v>
      </c>
      <c r="H5" s="3286"/>
      <c r="I5" s="3285" t="s">
        <v>2539</v>
      </c>
      <c r="J5" s="3286"/>
      <c r="K5" s="608"/>
      <c r="L5" s="1128"/>
      <c r="M5" s="1129"/>
      <c r="N5" s="1129"/>
      <c r="O5" s="1129"/>
      <c r="P5" s="3300"/>
      <c r="Q5" s="3301"/>
      <c r="R5" s="3281"/>
      <c r="S5" s="3282"/>
      <c r="T5" s="3281"/>
      <c r="U5" s="3282"/>
      <c r="V5" s="3306"/>
      <c r="W5" s="3306"/>
      <c r="X5" s="1811"/>
      <c r="Y5" s="3281"/>
      <c r="Z5" s="3282"/>
      <c r="AA5" s="3275"/>
      <c r="AB5" s="3306"/>
      <c r="AC5" s="3275"/>
    </row>
    <row r="6" spans="1:29" ht="15.75" thickBot="1">
      <c r="A6" s="404"/>
      <c r="B6" s="405"/>
      <c r="C6" s="3287" t="s">
        <v>2540</v>
      </c>
      <c r="D6" s="3288"/>
      <c r="E6" s="3370" t="s">
        <v>2540</v>
      </c>
      <c r="F6" s="3291"/>
      <c r="G6" s="3287" t="s">
        <v>2540</v>
      </c>
      <c r="H6" s="3288"/>
      <c r="I6" s="3287" t="s">
        <v>2540</v>
      </c>
      <c r="J6" s="3288"/>
      <c r="K6" s="608" t="s">
        <v>2541</v>
      </c>
      <c r="L6" s="1128"/>
      <c r="M6" s="1129"/>
      <c r="N6" s="1129"/>
      <c r="O6" s="1129"/>
      <c r="P6" s="3302"/>
      <c r="Q6" s="3303"/>
      <c r="R6" s="3281"/>
      <c r="S6" s="3282"/>
      <c r="T6" s="3304"/>
      <c r="U6" s="3305"/>
      <c r="V6" s="3306"/>
      <c r="W6" s="3306"/>
      <c r="X6" s="1811"/>
      <c r="Y6" s="3304"/>
      <c r="Z6" s="3305"/>
      <c r="AA6" s="3276"/>
      <c r="AB6" s="3306"/>
      <c r="AC6" s="3276"/>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77" t="s">
        <v>2543</v>
      </c>
      <c r="Q7" s="3307"/>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6" si="3">D8/F8</f>
        <v>#DIV/0!</v>
      </c>
      <c r="AB8" s="771" t="e">
        <f t="shared" ref="AB8:AB46" si="4">D8/H8</f>
        <v>#DIV/0!</v>
      </c>
      <c r="AC8" s="771" t="e">
        <f t="shared" ref="AC8:AC46" si="5">D8/J8</f>
        <v>#DIV/0!</v>
      </c>
    </row>
    <row r="9" spans="1:29" s="115" customFormat="1">
      <c r="A9" s="413" t="s">
        <v>2547</v>
      </c>
      <c r="B9" s="71" t="s">
        <v>2548</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317"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317"/>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317"/>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317"/>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317"/>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317"/>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9" t="s">
        <v>2647</v>
      </c>
      <c r="C15" s="2597">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377" t="s">
        <v>2554</v>
      </c>
      <c r="Q15" s="1808" t="str">
        <f t="shared" si="6"/>
        <v>商业繁华度</v>
      </c>
      <c r="R15" s="772" t="s">
        <v>17</v>
      </c>
      <c r="S15" s="773">
        <f t="shared" si="0"/>
        <v>100</v>
      </c>
      <c r="T15" s="772" t="s">
        <v>17</v>
      </c>
      <c r="U15" s="773">
        <f t="shared" si="1"/>
        <v>100</v>
      </c>
      <c r="V15" s="772" t="s">
        <v>17</v>
      </c>
      <c r="W15" s="773">
        <f t="shared" si="2"/>
        <v>100</v>
      </c>
      <c r="X15" s="1811"/>
      <c r="Y15" s="3308" t="s">
        <v>2554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378"/>
      <c r="Q16" s="1808"/>
      <c r="R16" s="772"/>
      <c r="S16" s="773"/>
      <c r="T16" s="772"/>
      <c r="U16" s="773"/>
      <c r="V16" s="772"/>
      <c r="W16" s="773"/>
      <c r="X16" s="1811"/>
      <c r="Y16" s="3309"/>
      <c r="Z16" s="1812"/>
      <c r="AA16" s="1809">
        <v>1</v>
      </c>
      <c r="AB16" s="1809">
        <v>1</v>
      </c>
      <c r="AC16" s="1809">
        <v>1</v>
      </c>
    </row>
    <row r="17" spans="1:29" ht="15">
      <c r="A17" s="426"/>
      <c r="B17" s="449" t="s">
        <v>2093</v>
      </c>
      <c r="C17" s="2601">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378"/>
      <c r="Q17" s="1808" t="str">
        <f>B17</f>
        <v>交通便捷度</v>
      </c>
      <c r="R17" s="772" t="s">
        <v>17</v>
      </c>
      <c r="S17" s="773">
        <f>F17</f>
        <v>100</v>
      </c>
      <c r="T17" s="772" t="s">
        <v>17</v>
      </c>
      <c r="U17" s="773">
        <f>H17</f>
        <v>100</v>
      </c>
      <c r="V17" s="772" t="s">
        <v>17</v>
      </c>
      <c r="W17" s="773">
        <f>J17</f>
        <v>100</v>
      </c>
      <c r="X17" s="1811"/>
      <c r="Y17" s="3309"/>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29"/>
      <c r="P18" s="3378"/>
      <c r="Q18" s="1808"/>
      <c r="R18" s="772"/>
      <c r="S18" s="773"/>
      <c r="T18" s="772"/>
      <c r="U18" s="773"/>
      <c r="V18" s="772"/>
      <c r="W18" s="773"/>
      <c r="X18" s="1811"/>
      <c r="Y18" s="3309"/>
      <c r="Z18" s="1812"/>
      <c r="AA18" s="1809">
        <v>1</v>
      </c>
      <c r="AB18" s="1809">
        <v>1</v>
      </c>
      <c r="AC18" s="1809">
        <v>1</v>
      </c>
    </row>
    <row r="19" spans="1:29" ht="15">
      <c r="A19" s="426"/>
      <c r="B19" s="449" t="s">
        <v>2648</v>
      </c>
      <c r="C19" s="2601">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378"/>
      <c r="Q19" s="1808" t="str">
        <f>B19</f>
        <v>公共配套设施</v>
      </c>
      <c r="R19" s="772" t="s">
        <v>17</v>
      </c>
      <c r="S19" s="773">
        <f>F19</f>
        <v>100</v>
      </c>
      <c r="T19" s="772" t="s">
        <v>17</v>
      </c>
      <c r="U19" s="773">
        <f>H19</f>
        <v>100</v>
      </c>
      <c r="V19" s="772" t="s">
        <v>17</v>
      </c>
      <c r="W19" s="773">
        <f>J19</f>
        <v>100</v>
      </c>
      <c r="X19" s="1811"/>
      <c r="Y19" s="3309"/>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29"/>
      <c r="P20" s="3378"/>
      <c r="Q20" s="1808"/>
      <c r="R20" s="772"/>
      <c r="S20" s="773"/>
      <c r="T20" s="772"/>
      <c r="U20" s="773"/>
      <c r="V20" s="772"/>
      <c r="W20" s="773"/>
      <c r="X20" s="1811"/>
      <c r="Y20" s="3309"/>
      <c r="Z20" s="1812"/>
      <c r="AA20" s="1809">
        <v>1</v>
      </c>
      <c r="AB20" s="1809">
        <v>1</v>
      </c>
      <c r="AC20" s="1809">
        <v>1</v>
      </c>
    </row>
    <row r="21" spans="1:29" ht="15">
      <c r="A21" s="426"/>
      <c r="B21" s="1382" t="s">
        <v>2649</v>
      </c>
      <c r="C21" s="2601">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9"/>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29"/>
      <c r="P22" s="3378"/>
      <c r="Q22" s="1808"/>
      <c r="R22" s="772"/>
      <c r="S22" s="773"/>
      <c r="T22" s="772"/>
      <c r="U22" s="773"/>
      <c r="V22" s="772"/>
      <c r="W22" s="773"/>
      <c r="X22" s="1811"/>
      <c r="Y22" s="3309"/>
      <c r="Z22" s="1812"/>
      <c r="AA22" s="1809">
        <v>1</v>
      </c>
      <c r="AB22" s="1809">
        <v>1</v>
      </c>
      <c r="AC22" s="1809">
        <v>1</v>
      </c>
    </row>
    <row r="23" spans="1:29" ht="15">
      <c r="A23" s="426"/>
      <c r="B23" s="449" t="s">
        <v>2096</v>
      </c>
      <c r="C23" s="2658">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378"/>
      <c r="Q23" s="1808" t="str">
        <f>B23</f>
        <v>自然及人文环境</v>
      </c>
      <c r="R23" s="772" t="s">
        <v>17</v>
      </c>
      <c r="S23" s="773">
        <f>F23</f>
        <v>100</v>
      </c>
      <c r="T23" s="772" t="s">
        <v>17</v>
      </c>
      <c r="U23" s="773">
        <f>H23</f>
        <v>100</v>
      </c>
      <c r="V23" s="772" t="s">
        <v>17</v>
      </c>
      <c r="W23" s="773">
        <f>J23</f>
        <v>100</v>
      </c>
      <c r="X23" s="1811"/>
      <c r="Y23" s="3309"/>
      <c r="Z23" s="1812" t="str">
        <f>Q23</f>
        <v>自然及人文环境</v>
      </c>
      <c r="AA23" s="1809">
        <f t="shared" si="3"/>
        <v>1</v>
      </c>
      <c r="AB23" s="1809">
        <f t="shared" si="4"/>
        <v>1</v>
      </c>
      <c r="AC23" s="1809">
        <f t="shared" si="5"/>
        <v>1</v>
      </c>
    </row>
    <row r="24" spans="1:29" ht="15">
      <c r="A24" s="426"/>
      <c r="B24" s="454"/>
      <c r="C24" s="445"/>
      <c r="D24" s="446"/>
      <c r="E24" s="2599"/>
      <c r="F24" s="447"/>
      <c r="G24" s="2598"/>
      <c r="H24" s="446"/>
      <c r="I24" s="2599"/>
      <c r="J24" s="446"/>
      <c r="K24" s="613"/>
      <c r="L24" s="1138"/>
      <c r="M24" s="1129"/>
      <c r="N24" s="1129"/>
      <c r="O24" s="1129"/>
      <c r="P24" s="3378"/>
      <c r="Q24" s="1808"/>
      <c r="R24" s="772"/>
      <c r="S24" s="773"/>
      <c r="T24" s="772"/>
      <c r="U24" s="773"/>
      <c r="V24" s="772"/>
      <c r="W24" s="773"/>
      <c r="X24" s="1811"/>
      <c r="Y24" s="3309"/>
      <c r="Z24" s="1812"/>
      <c r="AA24" s="1809">
        <v>1</v>
      </c>
      <c r="AB24" s="1809">
        <v>1</v>
      </c>
      <c r="AC24" s="1809">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378"/>
      <c r="Q25" s="1808" t="str">
        <f t="shared" ref="Q25:Q46" si="11">B25</f>
        <v>临街状况</v>
      </c>
      <c r="R25" s="772" t="s">
        <v>17</v>
      </c>
      <c r="S25" s="773">
        <f>F25</f>
        <v>100</v>
      </c>
      <c r="T25" s="772" t="s">
        <v>17</v>
      </c>
      <c r="U25" s="773">
        <f>H25</f>
        <v>100</v>
      </c>
      <c r="V25" s="772" t="s">
        <v>17</v>
      </c>
      <c r="W25" s="773">
        <f>J25</f>
        <v>100</v>
      </c>
      <c r="X25" s="1811"/>
      <c r="Y25" s="3309"/>
      <c r="Z25" s="1812" t="str">
        <f>Q25</f>
        <v>临街状况</v>
      </c>
      <c r="AA25" s="1809">
        <f t="shared" si="3"/>
        <v>1</v>
      </c>
      <c r="AB25" s="1809">
        <f t="shared" si="4"/>
        <v>1</v>
      </c>
      <c r="AC25" s="1809">
        <f t="shared" si="5"/>
        <v>1</v>
      </c>
    </row>
    <row r="26" spans="1:29" ht="15">
      <c r="A26" s="426"/>
      <c r="B26" s="1384" t="s">
        <v>2651</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378"/>
      <c r="Q26" s="1808" t="str">
        <f t="shared" si="11"/>
        <v>平面位置/可视性</v>
      </c>
      <c r="R26" s="772" t="s">
        <v>17</v>
      </c>
      <c r="S26" s="773">
        <f>F26</f>
        <v>100</v>
      </c>
      <c r="T26" s="772" t="s">
        <v>17</v>
      </c>
      <c r="U26" s="773">
        <f>H26</f>
        <v>100</v>
      </c>
      <c r="V26" s="772" t="s">
        <v>17</v>
      </c>
      <c r="W26" s="773">
        <f>J26</f>
        <v>100</v>
      </c>
      <c r="X26" s="1811"/>
      <c r="Y26" s="3309"/>
      <c r="Z26" s="1812" t="str">
        <f>Q26</f>
        <v>平面位置/可视性</v>
      </c>
      <c r="AA26" s="1809">
        <f t="shared" si="3"/>
        <v>1</v>
      </c>
      <c r="AB26" s="1809">
        <f t="shared" si="4"/>
        <v>1</v>
      </c>
      <c r="AC26" s="1809">
        <f t="shared" si="5"/>
        <v>1</v>
      </c>
    </row>
    <row r="27" spans="1:29" s="115" customFormat="1" ht="15">
      <c r="A27" s="429"/>
      <c r="B27" s="449" t="s">
        <v>2652</v>
      </c>
      <c r="C27" s="2659"/>
      <c r="D27" s="460">
        <v>100</v>
      </c>
      <c r="E27" s="2659"/>
      <c r="F27" s="462">
        <f>SUMIF(90:90,E27,91:91)-SUMIF(90:90,C27,91:91)+100</f>
        <v>100</v>
      </c>
      <c r="G27" s="2659"/>
      <c r="H27" s="460">
        <f>SUMIF(90:90,G27,91:91)-SUMIF(90:90,C27,91:91)+100</f>
        <v>100</v>
      </c>
      <c r="I27" s="2659"/>
      <c r="J27" s="460">
        <f>SUMIF(90:90,I27,91:91)-SUMIF(90:90,C27,91:91)+100</f>
        <v>100</v>
      </c>
      <c r="K27" s="610"/>
      <c r="L27" s="1130"/>
      <c r="M27" s="1131"/>
      <c r="N27" s="1131"/>
      <c r="O27" s="1131"/>
      <c r="P27" s="3378"/>
      <c r="Q27" s="1793" t="str">
        <f t="shared" si="11"/>
        <v>人流量</v>
      </c>
      <c r="R27" s="768" t="s">
        <v>17</v>
      </c>
      <c r="S27" s="769">
        <f>F27</f>
        <v>100</v>
      </c>
      <c r="T27" s="768" t="s">
        <v>17</v>
      </c>
      <c r="U27" s="769">
        <f>H27</f>
        <v>100</v>
      </c>
      <c r="V27" s="768" t="s">
        <v>17</v>
      </c>
      <c r="W27" s="769">
        <f>J27</f>
        <v>100</v>
      </c>
      <c r="X27" s="770"/>
      <c r="Y27" s="3309"/>
      <c r="Z27" s="55" t="str">
        <f>Q27</f>
        <v>人流量</v>
      </c>
      <c r="AA27" s="1809">
        <f>D27/F27</f>
        <v>1</v>
      </c>
      <c r="AB27" s="1809">
        <f>D27/H27</f>
        <v>1</v>
      </c>
      <c r="AC27" s="1809">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37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09"/>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378"/>
      <c r="Q29" s="1808">
        <f t="shared" si="11"/>
        <v>111</v>
      </c>
      <c r="R29" s="772" t="s">
        <v>17</v>
      </c>
      <c r="S29" s="773">
        <f t="shared" si="12"/>
        <v>100</v>
      </c>
      <c r="T29" s="772" t="s">
        <v>17</v>
      </c>
      <c r="U29" s="773">
        <f t="shared" si="13"/>
        <v>100</v>
      </c>
      <c r="V29" s="772" t="s">
        <v>17</v>
      </c>
      <c r="W29" s="773">
        <f t="shared" si="14"/>
        <v>100</v>
      </c>
      <c r="X29" s="1811"/>
      <c r="Y29" s="3309"/>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378"/>
      <c r="Q30" s="1808">
        <f t="shared" si="11"/>
        <v>111</v>
      </c>
      <c r="R30" s="772" t="s">
        <v>17</v>
      </c>
      <c r="S30" s="773">
        <f t="shared" si="12"/>
        <v>100</v>
      </c>
      <c r="T30" s="772" t="s">
        <v>17</v>
      </c>
      <c r="U30" s="773">
        <f t="shared" si="13"/>
        <v>100</v>
      </c>
      <c r="V30" s="772" t="s">
        <v>17</v>
      </c>
      <c r="W30" s="773">
        <f t="shared" si="14"/>
        <v>100</v>
      </c>
      <c r="X30" s="1811"/>
      <c r="Y30" s="3309"/>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378"/>
      <c r="Q31" s="1808">
        <f t="shared" si="11"/>
        <v>111</v>
      </c>
      <c r="R31" s="772" t="s">
        <v>17</v>
      </c>
      <c r="S31" s="773">
        <f t="shared" si="12"/>
        <v>100</v>
      </c>
      <c r="T31" s="772" t="s">
        <v>17</v>
      </c>
      <c r="U31" s="773">
        <f t="shared" si="13"/>
        <v>100</v>
      </c>
      <c r="V31" s="772" t="s">
        <v>17</v>
      </c>
      <c r="W31" s="773">
        <f t="shared" si="14"/>
        <v>100</v>
      </c>
      <c r="X31" s="1811"/>
      <c r="Y31" s="3309"/>
      <c r="Z31" s="1812">
        <f t="shared" si="15"/>
        <v>111</v>
      </c>
      <c r="AA31" s="1809">
        <f t="shared" si="3"/>
        <v>1</v>
      </c>
      <c r="AB31" s="1809">
        <f t="shared" si="4"/>
        <v>1</v>
      </c>
      <c r="AC31" s="1809">
        <f t="shared" si="5"/>
        <v>1</v>
      </c>
    </row>
    <row r="32" spans="1:29" ht="15">
      <c r="A32" s="438" t="s">
        <v>2557</v>
      </c>
      <c r="B32" s="71" t="s">
        <v>2654</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8"/>
      <c r="M32" s="1129"/>
      <c r="N32" s="1129"/>
      <c r="O32" s="1129"/>
      <c r="P32" s="3373" t="s">
        <v>2559</v>
      </c>
      <c r="Q32" s="1808" t="str">
        <f t="shared" si="11"/>
        <v>商业类型</v>
      </c>
      <c r="R32" s="772" t="s">
        <v>17</v>
      </c>
      <c r="S32" s="773">
        <f t="shared" si="12"/>
        <v>100</v>
      </c>
      <c r="T32" s="772" t="s">
        <v>17</v>
      </c>
      <c r="U32" s="773">
        <f t="shared" si="13"/>
        <v>100</v>
      </c>
      <c r="V32" s="772" t="s">
        <v>17</v>
      </c>
      <c r="W32" s="773">
        <f t="shared" si="14"/>
        <v>100</v>
      </c>
      <c r="X32" s="1811"/>
      <c r="Y32" s="3311" t="s">
        <v>2559</v>
      </c>
      <c r="Z32" s="1812" t="str">
        <f t="shared" si="15"/>
        <v>商业类型</v>
      </c>
      <c r="AA32" s="1809">
        <f t="shared" si="3"/>
        <v>1</v>
      </c>
      <c r="AB32" s="1809">
        <f t="shared" si="4"/>
        <v>1</v>
      </c>
      <c r="AC32" s="1809">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374"/>
      <c r="Q33" s="774" t="str">
        <f t="shared" si="11"/>
        <v>项目建筑规模</v>
      </c>
      <c r="R33" s="775" t="s">
        <v>17</v>
      </c>
      <c r="S33" s="776" t="e">
        <f t="shared" si="12"/>
        <v>#N/A</v>
      </c>
      <c r="T33" s="775" t="s">
        <v>17</v>
      </c>
      <c r="U33" s="776" t="e">
        <f t="shared" si="13"/>
        <v>#N/A</v>
      </c>
      <c r="V33" s="775" t="s">
        <v>17</v>
      </c>
      <c r="W33" s="776" t="e">
        <f t="shared" si="14"/>
        <v>#N/A</v>
      </c>
      <c r="X33" s="777"/>
      <c r="Y33" s="3311"/>
      <c r="Z33" s="778" t="str">
        <f t="shared" si="15"/>
        <v>项目建筑规模</v>
      </c>
      <c r="AA33" s="1809" t="e">
        <f t="shared" si="3"/>
        <v>#N/A</v>
      </c>
      <c r="AB33" s="1809" t="e">
        <f t="shared" si="4"/>
        <v>#N/A</v>
      </c>
      <c r="AC33" s="1809" t="e">
        <f t="shared" si="5"/>
        <v>#N/A</v>
      </c>
    </row>
    <row r="34" spans="1:29" ht="15">
      <c r="A34" s="470"/>
      <c r="B34" s="420" t="s">
        <v>2561</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8"/>
      <c r="M34" s="1129"/>
      <c r="N34" s="1129"/>
      <c r="O34" s="1129"/>
      <c r="P34" s="3374"/>
      <c r="Q34" s="1808" t="str">
        <f t="shared" si="11"/>
        <v>建筑结构</v>
      </c>
      <c r="R34" s="772" t="s">
        <v>17</v>
      </c>
      <c r="S34" s="773">
        <f t="shared" si="12"/>
        <v>100</v>
      </c>
      <c r="T34" s="772" t="s">
        <v>17</v>
      </c>
      <c r="U34" s="773">
        <f t="shared" si="13"/>
        <v>100</v>
      </c>
      <c r="V34" s="772" t="s">
        <v>17</v>
      </c>
      <c r="W34" s="773">
        <f t="shared" si="14"/>
        <v>100</v>
      </c>
      <c r="X34" s="1811"/>
      <c r="Y34" s="3311"/>
      <c r="Z34" s="1812" t="str">
        <f t="shared" si="15"/>
        <v>建筑结构</v>
      </c>
      <c r="AA34" s="1809">
        <f t="shared" si="3"/>
        <v>1</v>
      </c>
      <c r="AB34" s="1809">
        <f t="shared" si="4"/>
        <v>1</v>
      </c>
      <c r="AC34" s="1809">
        <f t="shared" si="5"/>
        <v>1</v>
      </c>
    </row>
    <row r="35" spans="1:29" ht="15">
      <c r="A35" s="470"/>
      <c r="B35" s="420" t="s">
        <v>2655</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8"/>
      <c r="M35" s="1129"/>
      <c r="N35" s="1129"/>
      <c r="O35" s="1129"/>
      <c r="P35" s="3374"/>
      <c r="Q35" s="1808" t="str">
        <f t="shared" si="11"/>
        <v>公共部分装修</v>
      </c>
      <c r="R35" s="772" t="s">
        <v>17</v>
      </c>
      <c r="S35" s="773">
        <f t="shared" si="12"/>
        <v>100</v>
      </c>
      <c r="T35" s="772" t="s">
        <v>17</v>
      </c>
      <c r="U35" s="773">
        <f t="shared" si="13"/>
        <v>100</v>
      </c>
      <c r="V35" s="772" t="s">
        <v>17</v>
      </c>
      <c r="W35" s="773">
        <f t="shared" si="14"/>
        <v>100</v>
      </c>
      <c r="X35" s="1811"/>
      <c r="Y35" s="3311"/>
      <c r="Z35" s="1812" t="str">
        <f t="shared" si="15"/>
        <v>公共部分装修</v>
      </c>
      <c r="AA35" s="1809">
        <f t="shared" si="3"/>
        <v>1</v>
      </c>
      <c r="AB35" s="1809">
        <f t="shared" si="4"/>
        <v>1</v>
      </c>
      <c r="AC35" s="1809">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374"/>
      <c r="Q36" s="1808" t="str">
        <f t="shared" si="11"/>
        <v>成新度</v>
      </c>
      <c r="R36" s="772" t="s">
        <v>17</v>
      </c>
      <c r="S36" s="773" t="e">
        <f t="shared" si="12"/>
        <v>#N/A</v>
      </c>
      <c r="T36" s="772" t="s">
        <v>17</v>
      </c>
      <c r="U36" s="773" t="e">
        <f t="shared" si="13"/>
        <v>#N/A</v>
      </c>
      <c r="V36" s="772" t="s">
        <v>17</v>
      </c>
      <c r="W36" s="773" t="e">
        <f t="shared" si="14"/>
        <v>#N/A</v>
      </c>
      <c r="X36" s="1811"/>
      <c r="Y36" s="3311"/>
      <c r="Z36" s="1812" t="str">
        <f t="shared" si="15"/>
        <v>成新度</v>
      </c>
      <c r="AA36" s="1809" t="e">
        <f t="shared" si="3"/>
        <v>#N/A</v>
      </c>
      <c r="AB36" s="1809" t="e">
        <f t="shared" si="4"/>
        <v>#N/A</v>
      </c>
      <c r="AC36" s="1809" t="e">
        <f t="shared" si="5"/>
        <v>#N/A</v>
      </c>
    </row>
    <row r="37" spans="1:29" s="115" customFormat="1" ht="15">
      <c r="A37" s="471"/>
      <c r="B37" s="420" t="s">
        <v>2657</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0"/>
      <c r="M37" s="1131"/>
      <c r="N37" s="1131"/>
      <c r="O37" s="1131"/>
      <c r="P37" s="3374"/>
      <c r="Q37" s="1793" t="str">
        <f t="shared" si="11"/>
        <v>市政基础设施</v>
      </c>
      <c r="R37" s="768" t="s">
        <v>17</v>
      </c>
      <c r="S37" s="769">
        <f t="shared" si="12"/>
        <v>100</v>
      </c>
      <c r="T37" s="768" t="s">
        <v>17</v>
      </c>
      <c r="U37" s="769">
        <f t="shared" si="13"/>
        <v>100</v>
      </c>
      <c r="V37" s="768" t="s">
        <v>17</v>
      </c>
      <c r="W37" s="769">
        <f t="shared" si="14"/>
        <v>100</v>
      </c>
      <c r="X37" s="770"/>
      <c r="Y37" s="3311"/>
      <c r="Z37" s="55" t="str">
        <f t="shared" si="15"/>
        <v>市政基础设施</v>
      </c>
      <c r="AA37" s="771">
        <f t="shared" si="3"/>
        <v>1</v>
      </c>
      <c r="AB37" s="771">
        <f t="shared" si="4"/>
        <v>1</v>
      </c>
      <c r="AC37" s="771">
        <f t="shared" si="5"/>
        <v>1</v>
      </c>
    </row>
    <row r="38" spans="1:29" ht="15">
      <c r="A38" s="470"/>
      <c r="B38" s="420" t="s">
        <v>2658</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8"/>
      <c r="M38" s="1129"/>
      <c r="N38" s="1129"/>
      <c r="O38" s="1129"/>
      <c r="P38" s="3374" t="s">
        <v>2559</v>
      </c>
      <c r="Q38" s="1808" t="str">
        <f t="shared" si="11"/>
        <v>业态</v>
      </c>
      <c r="R38" s="772" t="s">
        <v>17</v>
      </c>
      <c r="S38" s="773">
        <f t="shared" si="12"/>
        <v>100</v>
      </c>
      <c r="T38" s="772" t="s">
        <v>17</v>
      </c>
      <c r="U38" s="773">
        <f t="shared" si="13"/>
        <v>100</v>
      </c>
      <c r="V38" s="772" t="s">
        <v>17</v>
      </c>
      <c r="W38" s="773">
        <f t="shared" si="14"/>
        <v>100</v>
      </c>
      <c r="X38" s="1811"/>
      <c r="Y38" s="3311" t="s">
        <v>2559</v>
      </c>
      <c r="Z38" s="1812" t="str">
        <f t="shared" si="15"/>
        <v>业态</v>
      </c>
      <c r="AA38" s="1809">
        <f t="shared" si="3"/>
        <v>1</v>
      </c>
      <c r="AB38" s="1809">
        <f t="shared" si="4"/>
        <v>1</v>
      </c>
      <c r="AC38" s="1809">
        <f t="shared" si="5"/>
        <v>1</v>
      </c>
    </row>
    <row r="39" spans="1:29" ht="15">
      <c r="A39" s="470"/>
      <c r="B39" s="420" t="s">
        <v>2659</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8"/>
      <c r="M39" s="1129"/>
      <c r="N39" s="1129"/>
      <c r="O39" s="1129"/>
      <c r="P39" s="3374"/>
      <c r="Q39" s="1808" t="str">
        <f t="shared" si="11"/>
        <v>层高</v>
      </c>
      <c r="R39" s="772" t="s">
        <v>17</v>
      </c>
      <c r="S39" s="773">
        <f t="shared" si="12"/>
        <v>100</v>
      </c>
      <c r="T39" s="772" t="s">
        <v>17</v>
      </c>
      <c r="U39" s="773">
        <f t="shared" si="13"/>
        <v>100</v>
      </c>
      <c r="V39" s="772" t="s">
        <v>17</v>
      </c>
      <c r="W39" s="773">
        <f t="shared" si="14"/>
        <v>100</v>
      </c>
      <c r="X39" s="1811"/>
      <c r="Y39" s="3311"/>
      <c r="Z39" s="1812" t="str">
        <f t="shared" si="15"/>
        <v>层高</v>
      </c>
      <c r="AA39" s="1809">
        <f t="shared" si="3"/>
        <v>1</v>
      </c>
      <c r="AB39" s="1809">
        <f t="shared" si="4"/>
        <v>1</v>
      </c>
      <c r="AC39" s="1809">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374"/>
      <c r="Q40" s="1808" t="str">
        <f t="shared" si="11"/>
        <v>单套建筑面积</v>
      </c>
      <c r="R40" s="772" t="s">
        <v>17</v>
      </c>
      <c r="S40" s="773">
        <f t="shared" si="12"/>
        <v>100</v>
      </c>
      <c r="T40" s="772" t="s">
        <v>17</v>
      </c>
      <c r="U40" s="773">
        <f t="shared" si="13"/>
        <v>100</v>
      </c>
      <c r="V40" s="772" t="s">
        <v>17</v>
      </c>
      <c r="W40" s="773">
        <f t="shared" si="14"/>
        <v>100</v>
      </c>
      <c r="X40" s="1811"/>
      <c r="Y40" s="3311"/>
      <c r="Z40" s="1812" t="str">
        <f t="shared" si="15"/>
        <v>单套建筑面积</v>
      </c>
      <c r="AA40" s="1809">
        <f t="shared" si="3"/>
        <v>1</v>
      </c>
      <c r="AB40" s="1809">
        <f t="shared" si="4"/>
        <v>1</v>
      </c>
      <c r="AC40" s="1809">
        <f t="shared" si="5"/>
        <v>1</v>
      </c>
    </row>
    <row r="41" spans="1:29" s="469" customFormat="1" ht="15">
      <c r="A41" s="466"/>
      <c r="B41" s="1810"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374"/>
      <c r="Q41" s="774" t="str">
        <f t="shared" si="11"/>
        <v>进深比</v>
      </c>
      <c r="R41" s="775" t="s">
        <v>17</v>
      </c>
      <c r="S41" s="776">
        <f t="shared" si="12"/>
        <v>100</v>
      </c>
      <c r="T41" s="775" t="s">
        <v>17</v>
      </c>
      <c r="U41" s="776">
        <f t="shared" si="13"/>
        <v>100</v>
      </c>
      <c r="V41" s="775" t="s">
        <v>17</v>
      </c>
      <c r="W41" s="776">
        <f t="shared" si="14"/>
        <v>100</v>
      </c>
      <c r="X41" s="777"/>
      <c r="Y41" s="3311"/>
      <c r="Z41" s="778" t="str">
        <f t="shared" si="15"/>
        <v>进深比</v>
      </c>
      <c r="AA41" s="1809">
        <f t="shared" si="3"/>
        <v>1</v>
      </c>
      <c r="AB41" s="1809">
        <f t="shared" si="4"/>
        <v>1</v>
      </c>
      <c r="AC41" s="1809">
        <f t="shared" si="5"/>
        <v>1</v>
      </c>
    </row>
    <row r="42" spans="1:29" ht="15">
      <c r="A42" s="470"/>
      <c r="B42" s="420" t="s">
        <v>2662</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8"/>
      <c r="M42" s="1129"/>
      <c r="N42" s="1129"/>
      <c r="O42" s="1129"/>
      <c r="P42" s="3374"/>
      <c r="Q42" s="1808" t="str">
        <f t="shared" si="11"/>
        <v>内部装修</v>
      </c>
      <c r="R42" s="772" t="s">
        <v>17</v>
      </c>
      <c r="S42" s="773">
        <f t="shared" si="12"/>
        <v>100</v>
      </c>
      <c r="T42" s="772" t="s">
        <v>17</v>
      </c>
      <c r="U42" s="773">
        <f t="shared" si="13"/>
        <v>100</v>
      </c>
      <c r="V42" s="772" t="s">
        <v>17</v>
      </c>
      <c r="W42" s="773">
        <f t="shared" si="14"/>
        <v>100</v>
      </c>
      <c r="X42" s="1811"/>
      <c r="Y42" s="3311"/>
      <c r="Z42" s="1812" t="str">
        <f t="shared" si="15"/>
        <v>内部装修</v>
      </c>
      <c r="AA42" s="1809">
        <f t="shared" si="3"/>
        <v>1</v>
      </c>
      <c r="AB42" s="1809">
        <f t="shared" si="4"/>
        <v>1</v>
      </c>
      <c r="AC42" s="1809">
        <f t="shared" si="5"/>
        <v>1</v>
      </c>
    </row>
    <row r="43" spans="1:29" ht="15">
      <c r="A43" s="470"/>
      <c r="B43" s="420" t="s">
        <v>2570</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8"/>
      <c r="M43" s="1129"/>
      <c r="N43" s="1129"/>
      <c r="O43" s="1129"/>
      <c r="P43" s="3374"/>
      <c r="Q43" s="1808" t="str">
        <f t="shared" si="11"/>
        <v>内部装修维护情况</v>
      </c>
      <c r="R43" s="772" t="s">
        <v>17</v>
      </c>
      <c r="S43" s="773">
        <f t="shared" si="12"/>
        <v>100</v>
      </c>
      <c r="T43" s="772" t="s">
        <v>17</v>
      </c>
      <c r="U43" s="773">
        <f t="shared" si="13"/>
        <v>100</v>
      </c>
      <c r="V43" s="772" t="s">
        <v>17</v>
      </c>
      <c r="W43" s="773">
        <f t="shared" si="14"/>
        <v>100</v>
      </c>
      <c r="X43" s="1811"/>
      <c r="Y43" s="3311"/>
      <c r="Z43" s="1812" t="str">
        <f t="shared" si="15"/>
        <v>内部装修维护情况</v>
      </c>
      <c r="AA43" s="1809">
        <f t="shared" si="3"/>
        <v>1</v>
      </c>
      <c r="AB43" s="1809">
        <f t="shared" si="4"/>
        <v>1</v>
      </c>
      <c r="AC43" s="1809">
        <f t="shared" si="5"/>
        <v>1</v>
      </c>
    </row>
    <row r="44" spans="1:29" s="115"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374"/>
      <c r="Q44" s="1793">
        <f t="shared" si="11"/>
        <v>111</v>
      </c>
      <c r="R44" s="768" t="s">
        <v>17</v>
      </c>
      <c r="S44" s="769">
        <f t="shared" si="12"/>
        <v>100</v>
      </c>
      <c r="T44" s="768" t="s">
        <v>17</v>
      </c>
      <c r="U44" s="769">
        <f t="shared" si="13"/>
        <v>100</v>
      </c>
      <c r="V44" s="768" t="s">
        <v>17</v>
      </c>
      <c r="W44" s="769">
        <f t="shared" si="14"/>
        <v>100</v>
      </c>
      <c r="X44" s="770"/>
      <c r="Y44" s="3311"/>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374"/>
      <c r="Q45" s="1808">
        <f t="shared" si="11"/>
        <v>111</v>
      </c>
      <c r="R45" s="772" t="s">
        <v>17</v>
      </c>
      <c r="S45" s="773">
        <f t="shared" si="12"/>
        <v>100</v>
      </c>
      <c r="T45" s="772" t="s">
        <v>17</v>
      </c>
      <c r="U45" s="773">
        <f t="shared" si="13"/>
        <v>100</v>
      </c>
      <c r="V45" s="772" t="s">
        <v>17</v>
      </c>
      <c r="W45" s="773">
        <f t="shared" si="14"/>
        <v>100</v>
      </c>
      <c r="X45" s="1811"/>
      <c r="Y45" s="3311"/>
      <c r="Z45" s="1812">
        <f t="shared" si="15"/>
        <v>111</v>
      </c>
      <c r="AA45" s="1809">
        <f t="shared" si="3"/>
        <v>1</v>
      </c>
      <c r="AB45" s="1809">
        <f t="shared" si="4"/>
        <v>1</v>
      </c>
      <c r="AC45" s="1809">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375"/>
      <c r="Q46" s="1808">
        <f t="shared" si="11"/>
        <v>111</v>
      </c>
      <c r="R46" s="772" t="s">
        <v>17</v>
      </c>
      <c r="S46" s="773">
        <f t="shared" si="12"/>
        <v>100</v>
      </c>
      <c r="T46" s="772" t="s">
        <v>17</v>
      </c>
      <c r="U46" s="773">
        <f t="shared" si="13"/>
        <v>100</v>
      </c>
      <c r="V46" s="772" t="s">
        <v>17</v>
      </c>
      <c r="W46" s="773">
        <f t="shared" si="14"/>
        <v>100</v>
      </c>
      <c r="X46" s="1811"/>
      <c r="Y46" s="3376"/>
      <c r="Z46" s="1812">
        <f t="shared" si="15"/>
        <v>111</v>
      </c>
      <c r="AA46" s="1809">
        <f t="shared" si="3"/>
        <v>1</v>
      </c>
      <c r="AB46" s="1809">
        <f t="shared" si="4"/>
        <v>1</v>
      </c>
      <c r="AC46" s="1809">
        <f t="shared" si="5"/>
        <v>1</v>
      </c>
    </row>
    <row r="47" spans="1:29" ht="15">
      <c r="A47" s="477" t="s">
        <v>2571</v>
      </c>
      <c r="B47" s="478"/>
      <c r="C47" s="1405" t="s">
        <v>1</v>
      </c>
      <c r="D47" s="1406"/>
      <c r="E47" s="1407"/>
      <c r="F47" s="1408"/>
      <c r="G47" s="1409"/>
      <c r="H47" s="1410"/>
      <c r="I47" s="1407"/>
      <c r="J47" s="1410"/>
      <c r="K47" s="781"/>
      <c r="L47" s="1141"/>
      <c r="M47" s="1142"/>
      <c r="N47" s="1129"/>
      <c r="O47" s="1142"/>
      <c r="P47" s="3293" t="str">
        <f>A47</f>
        <v>成交单价（元/平方米）</v>
      </c>
      <c r="Q47" s="3293"/>
      <c r="R47" s="3306">
        <f>E47</f>
        <v>0</v>
      </c>
      <c r="S47" s="3306"/>
      <c r="T47" s="3306">
        <f>G47</f>
        <v>0</v>
      </c>
      <c r="U47" s="3306"/>
      <c r="V47" s="3306">
        <f>I47</f>
        <v>0</v>
      </c>
      <c r="W47" s="3306"/>
      <c r="X47" s="757"/>
      <c r="Y47" s="779"/>
      <c r="Z47" s="757"/>
      <c r="AA47" s="757"/>
      <c r="AB47" s="757"/>
      <c r="AC47" s="757"/>
    </row>
    <row r="48" spans="1:29" ht="15.75" thickBot="1">
      <c r="A48" s="484" t="s">
        <v>2663</v>
      </c>
      <c r="B48" s="485"/>
      <c r="C48" s="1411" t="e">
        <f>R49</f>
        <v>#DIV/0!</v>
      </c>
      <c r="D48" s="1412"/>
      <c r="E48" s="1413" t="e">
        <f>R48</f>
        <v>#DIV/0!</v>
      </c>
      <c r="F48" s="1413"/>
      <c r="G48" s="1411" t="e">
        <f>T48</f>
        <v>#DIV/0!</v>
      </c>
      <c r="H48" s="1412"/>
      <c r="I48" s="1413" t="e">
        <f>V48</f>
        <v>#DIV/0!</v>
      </c>
      <c r="J48" s="1412"/>
      <c r="K48" s="782"/>
      <c r="L48" s="1141"/>
      <c r="M48" s="1142"/>
      <c r="N48" s="1129"/>
      <c r="O48" s="1142"/>
      <c r="P48" s="3293" t="str">
        <f>A48</f>
        <v>比较价值（元/平方米）</v>
      </c>
      <c r="Q48" s="3293"/>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757"/>
      <c r="Y48" s="757"/>
      <c r="Z48" s="757"/>
      <c r="AA48" s="757"/>
      <c r="AB48" s="757"/>
      <c r="AC48" s="757"/>
    </row>
    <row r="49" spans="1:29" ht="15.75" thickBot="1">
      <c r="A49" s="490" t="s">
        <v>2664</v>
      </c>
      <c r="B49" s="491"/>
      <c r="C49" s="1415" t="e">
        <f>R49</f>
        <v>#DIV/0!</v>
      </c>
      <c r="D49" s="1415"/>
      <c r="E49" s="1415"/>
      <c r="F49" s="1415"/>
      <c r="G49" s="1415"/>
      <c r="H49" s="1415"/>
      <c r="I49" s="1415"/>
      <c r="J49" s="1415"/>
      <c r="K49" s="783"/>
      <c r="L49" s="1141"/>
      <c r="M49" s="1142"/>
      <c r="N49" s="1129"/>
      <c r="O49" s="1142"/>
      <c r="P49" s="3313" t="str">
        <f>A49</f>
        <v>估价对象XX用房的比较价值（楼面单价，元/平方米）</v>
      </c>
      <c r="Q49" s="3314"/>
      <c r="R49" s="3371" t="e">
        <f>IF(F1="售价",ROUND(AVERAGE(R48:V48),0),ROUND(AVERAGE(R48:V48),1))</f>
        <v>#DIV/0!</v>
      </c>
      <c r="S49" s="3371"/>
      <c r="T49" s="3371"/>
      <c r="U49" s="3371"/>
      <c r="V49" s="3371"/>
      <c r="W49" s="337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0"/>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0"/>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1"/>
      <c r="Q57" s="2662"/>
      <c r="R57" s="757"/>
      <c r="S57" s="757"/>
      <c r="T57" s="757"/>
      <c r="U57" s="757"/>
      <c r="V57" s="757"/>
      <c r="W57" s="757"/>
      <c r="X57" s="757"/>
      <c r="Y57" s="757"/>
      <c r="Z57" s="757"/>
      <c r="AA57" s="757"/>
      <c r="AB57" s="757"/>
      <c r="AC57" s="757"/>
    </row>
    <row r="58" spans="1:29" s="506" customFormat="1" ht="15">
      <c r="A58" s="503" t="s">
        <v>2542</v>
      </c>
      <c r="B58" s="504"/>
      <c r="C58" s="1572" t="str">
        <f>YEAR(C7)&amp;"-"&amp;MONTH(C7)</f>
        <v>2018-4</v>
      </c>
      <c r="D58" s="1573">
        <f>EDATE(C58,-1)</f>
        <v>43160</v>
      </c>
      <c r="E58" s="1573">
        <f t="shared" ref="E58:N58" si="16">EDATE(D58,-1)</f>
        <v>43132</v>
      </c>
      <c r="F58" s="1573">
        <f t="shared" si="16"/>
        <v>43101</v>
      </c>
      <c r="G58" s="1573">
        <f t="shared" si="16"/>
        <v>43070</v>
      </c>
      <c r="H58" s="1573">
        <f t="shared" si="16"/>
        <v>43040</v>
      </c>
      <c r="I58" s="1573">
        <f t="shared" si="16"/>
        <v>43009</v>
      </c>
      <c r="J58" s="1573">
        <f t="shared" si="16"/>
        <v>42979</v>
      </c>
      <c r="K58" s="1573">
        <f t="shared" si="16"/>
        <v>42948</v>
      </c>
      <c r="L58" s="1573">
        <f t="shared" si="16"/>
        <v>42917</v>
      </c>
      <c r="M58" s="1573">
        <f t="shared" si="16"/>
        <v>42887</v>
      </c>
      <c r="N58" s="1573">
        <f t="shared" si="16"/>
        <v>42856</v>
      </c>
      <c r="O58" s="1573">
        <f>EDATE(N58,-1)</f>
        <v>42826</v>
      </c>
      <c r="P58" s="1568"/>
    </row>
    <row r="59" spans="1:29" s="115" customFormat="1" ht="15">
      <c r="A59" s="507"/>
      <c r="B59" s="508"/>
      <c r="C59" s="1571">
        <v>100</v>
      </c>
      <c r="D59" s="510"/>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2544</v>
      </c>
      <c r="B61" s="508"/>
      <c r="C61" s="520" t="s">
        <v>2646</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4"/>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34"/>
      <c r="E73" s="534"/>
      <c r="F73" s="534"/>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80"/>
      <c r="N82" s="1151"/>
      <c r="O82" s="1151"/>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2674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9"/>
      <c r="O88" s="1149"/>
      <c r="P88" s="2624"/>
      <c r="Q88" s="502"/>
    </row>
    <row r="89" spans="1:17" s="115" customFormat="1" ht="15.75" thickBot="1">
      <c r="A89" s="577"/>
      <c r="B89" s="541"/>
      <c r="C89" s="558"/>
      <c r="D89" s="534"/>
      <c r="E89" s="534"/>
      <c r="F89" s="534"/>
      <c r="G89" s="534"/>
      <c r="H89" s="534"/>
      <c r="I89" s="534"/>
      <c r="J89" s="534"/>
      <c r="K89" s="534"/>
      <c r="L89" s="534"/>
      <c r="M89" s="534"/>
      <c r="N89" s="1151"/>
      <c r="O89" s="1151"/>
      <c r="P89" s="2624"/>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5"/>
      <c r="Q91" s="557"/>
    </row>
    <row r="92" spans="1:17" ht="15.75" thickTop="1">
      <c r="A92" s="532"/>
      <c r="B92" s="536" t="str">
        <f>B28</f>
        <v>楼层</v>
      </c>
      <c r="C92" s="552"/>
      <c r="D92" s="552"/>
      <c r="E92" s="552"/>
      <c r="F92" s="552"/>
      <c r="G92" s="552"/>
      <c r="H92" s="552"/>
      <c r="I92" s="552"/>
      <c r="J92" s="552"/>
      <c r="K92" s="552"/>
      <c r="L92" s="578"/>
      <c r="M92" s="579"/>
      <c r="N92" s="1150"/>
      <c r="O92" s="1150"/>
      <c r="P92" s="2624"/>
      <c r="Q92" s="502"/>
    </row>
    <row r="93" spans="1:17" ht="15.75" thickBot="1">
      <c r="A93" s="532"/>
      <c r="B93" s="541"/>
      <c r="C93" s="534"/>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34"/>
      <c r="E95" s="534"/>
      <c r="F95" s="534"/>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58"/>
      <c r="D97" s="534"/>
      <c r="E97" s="534"/>
      <c r="F97" s="534"/>
      <c r="G97" s="534"/>
      <c r="H97" s="534"/>
      <c r="I97" s="534"/>
      <c r="J97" s="534"/>
      <c r="K97" s="534"/>
      <c r="L97" s="534"/>
      <c r="M97" s="535"/>
      <c r="N97" s="1151"/>
      <c r="O97" s="1151"/>
      <c r="P97" s="2624"/>
      <c r="Q97" s="502"/>
    </row>
    <row r="98" spans="1:17" ht="15.75" thickTop="1">
      <c r="A98" s="532"/>
      <c r="B98" s="544">
        <f>B31</f>
        <v>111</v>
      </c>
      <c r="C98" s="552"/>
      <c r="D98" s="552"/>
      <c r="E98" s="552"/>
      <c r="F98" s="552"/>
      <c r="G98" s="585"/>
      <c r="H98" s="585"/>
      <c r="I98" s="585"/>
      <c r="J98" s="585"/>
      <c r="K98" s="586"/>
      <c r="L98" s="587"/>
      <c r="M98" s="588"/>
      <c r="N98" s="1150"/>
      <c r="O98" s="1150"/>
      <c r="P98" s="2624"/>
      <c r="Q98" s="502"/>
    </row>
    <row r="99" spans="1:17" ht="15.75" thickBot="1">
      <c r="A99" s="2630"/>
      <c r="B99" s="567"/>
      <c r="C99" s="568"/>
      <c r="D99" s="568"/>
      <c r="E99" s="568"/>
      <c r="F99" s="568"/>
      <c r="G99" s="589"/>
      <c r="H99" s="589"/>
      <c r="I99" s="589"/>
      <c r="J99" s="589"/>
      <c r="K99" s="589"/>
      <c r="L99" s="589"/>
      <c r="M99" s="590"/>
      <c r="N99" s="1151"/>
      <c r="O99" s="1151"/>
      <c r="P99" s="2624"/>
      <c r="Q99" s="502"/>
    </row>
    <row r="100" spans="1:17">
      <c r="A100" s="525" t="s">
        <v>2557</v>
      </c>
      <c r="B100" s="526" t="s">
        <v>2675</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4"/>
      <c r="Q101" s="502"/>
    </row>
    <row r="102" spans="1:17" ht="15.7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4"/>
      <c r="Q106" s="502"/>
    </row>
    <row r="107" spans="1:17" ht="15" thickTop="1">
      <c r="A107" s="597"/>
      <c r="B107" s="536" t="s">
        <v>2610</v>
      </c>
      <c r="C107" s="552"/>
      <c r="D107" s="552"/>
      <c r="E107" s="552"/>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4"/>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4"/>
      <c r="Q111" s="502"/>
    </row>
    <row r="112" spans="1:17" s="469" customFormat="1" ht="15" thickTop="1">
      <c r="A112" s="591"/>
      <c r="B112" s="536" t="s">
        <v>2612</v>
      </c>
      <c r="C112" s="552"/>
      <c r="D112" s="552"/>
      <c r="E112" s="552"/>
      <c r="F112" s="552"/>
      <c r="G112" s="552"/>
      <c r="H112" s="581"/>
      <c r="I112" s="581"/>
      <c r="J112" s="581"/>
      <c r="K112" s="582"/>
      <c r="L112" s="583"/>
      <c r="M112" s="584"/>
      <c r="N112" s="1152"/>
      <c r="O112" s="1152"/>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5"/>
      <c r="Q113" s="557"/>
    </row>
    <row r="114" spans="1:17" ht="15" thickTop="1">
      <c r="A114" s="597"/>
      <c r="B114" s="536" t="s">
        <v>2676</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4"/>
      <c r="Q115" s="502"/>
    </row>
    <row r="116" spans="1:17" ht="15" thickTop="1">
      <c r="A116" s="597"/>
      <c r="B116" s="536" t="s">
        <v>2677</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2678</v>
      </c>
      <c r="C118" s="625"/>
      <c r="D118" s="625"/>
      <c r="E118" s="625"/>
      <c r="F118" s="625"/>
      <c r="G118" s="625"/>
      <c r="H118" s="553"/>
      <c r="I118" s="553"/>
      <c r="J118" s="553"/>
      <c r="K118" s="553"/>
      <c r="L118" s="554"/>
      <c r="M118" s="555"/>
      <c r="N118" s="1150"/>
      <c r="O118" s="1150"/>
      <c r="P118" s="2624"/>
      <c r="Q118" s="502"/>
    </row>
    <row r="119" spans="1:17" ht="15.75" thickBot="1">
      <c r="A119" s="532"/>
      <c r="B119" s="541"/>
      <c r="C119" s="558"/>
      <c r="D119" s="534"/>
      <c r="E119" s="534"/>
      <c r="F119" s="534"/>
      <c r="G119" s="534"/>
      <c r="H119" s="534"/>
      <c r="I119" s="534"/>
      <c r="J119" s="534"/>
      <c r="K119" s="534"/>
      <c r="L119" s="534"/>
      <c r="M119" s="535"/>
      <c r="N119" s="1151"/>
      <c r="O119" s="1151"/>
      <c r="P119" s="2624"/>
      <c r="Q119" s="502"/>
    </row>
    <row r="120" spans="1:17" s="469" customFormat="1" ht="15" thickTop="1">
      <c r="A120" s="591"/>
      <c r="B120" s="536" t="s">
        <v>2679</v>
      </c>
      <c r="C120" s="581"/>
      <c r="D120" s="581"/>
      <c r="E120" s="581"/>
      <c r="F120" s="581"/>
      <c r="G120" s="553"/>
      <c r="H120" s="553"/>
      <c r="I120" s="553"/>
      <c r="J120" s="553"/>
      <c r="K120" s="553"/>
      <c r="L120" s="554"/>
      <c r="M120" s="555"/>
      <c r="N120" s="1152"/>
      <c r="O120" s="1152"/>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34"/>
      <c r="E129" s="534"/>
      <c r="F129" s="534"/>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2680</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IF(C2="——",ROUND(C50*D3/10000,0),ROUND(C50*D3/10000,0)-D2)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385" t="s">
        <v>2645</v>
      </c>
      <c r="Q4" s="3386"/>
      <c r="R4" s="3380" t="s">
        <v>2641</v>
      </c>
      <c r="S4" s="3381"/>
      <c r="T4" s="3380" t="s">
        <v>2642</v>
      </c>
      <c r="U4" s="3381"/>
      <c r="V4" s="3389" t="s">
        <v>2643</v>
      </c>
      <c r="W4" s="3389"/>
      <c r="X4" s="2664"/>
      <c r="Y4" s="3380" t="s">
        <v>2645</v>
      </c>
      <c r="Z4" s="3381"/>
      <c r="AA4" s="3379" t="s">
        <v>2641</v>
      </c>
      <c r="AB4" s="3379" t="s">
        <v>2642</v>
      </c>
      <c r="AC4" s="3382" t="s">
        <v>2643</v>
      </c>
    </row>
    <row r="5" spans="1:29" ht="15">
      <c r="A5" s="402"/>
      <c r="B5" s="403"/>
      <c r="C5" s="3285" t="s">
        <v>2536</v>
      </c>
      <c r="D5" s="3286"/>
      <c r="E5" s="3369" t="s">
        <v>2537</v>
      </c>
      <c r="F5" s="3284"/>
      <c r="G5" s="3285" t="s">
        <v>2538</v>
      </c>
      <c r="H5" s="3286"/>
      <c r="I5" s="3285" t="s">
        <v>2539</v>
      </c>
      <c r="J5" s="3286"/>
      <c r="K5" s="608"/>
      <c r="L5" s="1128"/>
      <c r="M5" s="1129"/>
      <c r="N5" s="1129"/>
      <c r="O5" s="1129"/>
      <c r="P5" s="3387"/>
      <c r="Q5" s="3301"/>
      <c r="R5" s="3281"/>
      <c r="S5" s="3282"/>
      <c r="T5" s="3281"/>
      <c r="U5" s="3282"/>
      <c r="V5" s="3306"/>
      <c r="W5" s="3306"/>
      <c r="X5" s="1811"/>
      <c r="Y5" s="3281"/>
      <c r="Z5" s="3282"/>
      <c r="AA5" s="3275"/>
      <c r="AB5" s="3275"/>
      <c r="AC5" s="3383"/>
    </row>
    <row r="6" spans="1:29" ht="15.75" thickBot="1">
      <c r="A6" s="404"/>
      <c r="B6" s="405"/>
      <c r="C6" s="3287" t="s">
        <v>2540</v>
      </c>
      <c r="D6" s="3288"/>
      <c r="E6" s="3370" t="s">
        <v>2540</v>
      </c>
      <c r="F6" s="3291"/>
      <c r="G6" s="3287" t="s">
        <v>2540</v>
      </c>
      <c r="H6" s="3288"/>
      <c r="I6" s="3287" t="s">
        <v>2540</v>
      </c>
      <c r="J6" s="3288"/>
      <c r="K6" s="608" t="s">
        <v>2541</v>
      </c>
      <c r="L6" s="1128"/>
      <c r="M6" s="1129"/>
      <c r="N6" s="1129"/>
      <c r="O6" s="1129"/>
      <c r="P6" s="3388"/>
      <c r="Q6" s="3303"/>
      <c r="R6" s="3281"/>
      <c r="S6" s="3282"/>
      <c r="T6" s="3304"/>
      <c r="U6" s="3305"/>
      <c r="V6" s="3306"/>
      <c r="W6" s="3306"/>
      <c r="X6" s="1811"/>
      <c r="Y6" s="3304"/>
      <c r="Z6" s="3305"/>
      <c r="AA6" s="3276"/>
      <c r="AB6" s="3276"/>
      <c r="AC6" s="3384"/>
    </row>
    <row r="7" spans="1:29" s="115" customFormat="1" ht="15.75" thickBot="1">
      <c r="A7" s="406" t="s">
        <v>2542</v>
      </c>
      <c r="B7" s="407"/>
      <c r="C7" s="408">
        <f>'数据-取费表'!B2</f>
        <v>43202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390" t="s">
        <v>2543</v>
      </c>
      <c r="Q7" s="3307"/>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2665" t="e">
        <f>D7/J7</f>
        <v>#DIV/0!</v>
      </c>
    </row>
    <row r="8" spans="1:29" s="115"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390" t="s">
        <v>2546</v>
      </c>
      <c r="Q8" s="3278"/>
      <c r="R8" s="768" t="s">
        <v>17</v>
      </c>
      <c r="S8" s="769">
        <f t="shared" si="0"/>
        <v>0</v>
      </c>
      <c r="T8" s="768" t="s">
        <v>17</v>
      </c>
      <c r="U8" s="769">
        <f t="shared" si="1"/>
        <v>0</v>
      </c>
      <c r="V8" s="768" t="s">
        <v>17</v>
      </c>
      <c r="W8" s="769">
        <f t="shared" si="2"/>
        <v>0</v>
      </c>
      <c r="X8" s="770"/>
      <c r="Y8" s="3277" t="s">
        <v>2546</v>
      </c>
      <c r="Z8" s="3278"/>
      <c r="AA8" s="771" t="e">
        <f t="shared" ref="AA8:AA47" si="3">D8/F8</f>
        <v>#DIV/0!</v>
      </c>
      <c r="AB8" s="771" t="e">
        <f t="shared" ref="AB8:AB47" si="4">D8/H8</f>
        <v>#DIV/0!</v>
      </c>
      <c r="AC8" s="2665" t="e">
        <f t="shared" ref="AC8:AC47" si="5">D8/J8</f>
        <v>#DIV/0!</v>
      </c>
    </row>
    <row r="9" spans="1:29" s="115"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317"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317"/>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317"/>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30"/>
      <c r="M12" s="1131"/>
      <c r="N12" s="1131"/>
      <c r="O12" s="1131"/>
      <c r="P12" s="3317"/>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8"/>
      <c r="M13" s="1129"/>
      <c r="N13" s="1129"/>
      <c r="O13" s="1129"/>
      <c r="P13" s="3317"/>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8"/>
      <c r="M14" s="1129"/>
      <c r="N14" s="1129"/>
      <c r="O14" s="1129"/>
      <c r="P14" s="3317"/>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2665">
        <f t="shared" si="5"/>
        <v>1</v>
      </c>
    </row>
    <row r="15" spans="1:29" ht="15">
      <c r="A15" s="438" t="s">
        <v>2553</v>
      </c>
      <c r="B15" s="627" t="s">
        <v>2681</v>
      </c>
      <c r="C15" s="266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377" t="s">
        <v>2554</v>
      </c>
      <c r="Q15" s="1808" t="str">
        <f t="shared" si="6"/>
        <v>办公集聚程度</v>
      </c>
      <c r="R15" s="772" t="s">
        <v>17</v>
      </c>
      <c r="S15" s="773">
        <f t="shared" si="0"/>
        <v>100</v>
      </c>
      <c r="T15" s="772" t="s">
        <v>17</v>
      </c>
      <c r="U15" s="773">
        <f t="shared" si="1"/>
        <v>100</v>
      </c>
      <c r="V15" s="772" t="s">
        <v>17</v>
      </c>
      <c r="W15" s="773">
        <f t="shared" si="2"/>
        <v>100</v>
      </c>
      <c r="X15" s="1811"/>
      <c r="Y15" s="3308" t="s">
        <v>2554</v>
      </c>
      <c r="Z15" s="1812" t="str">
        <f t="shared" si="7"/>
        <v>办公集聚程度</v>
      </c>
      <c r="AA15" s="1809">
        <f t="shared" si="3"/>
        <v>1</v>
      </c>
      <c r="AB15" s="1809">
        <f t="shared" si="4"/>
        <v>1</v>
      </c>
      <c r="AC15" s="2668">
        <f t="shared" si="5"/>
        <v>1</v>
      </c>
    </row>
    <row r="16" spans="1:29" ht="15">
      <c r="A16" s="426"/>
      <c r="B16" s="628"/>
      <c r="C16" s="2605"/>
      <c r="D16" s="446"/>
      <c r="E16" s="445"/>
      <c r="F16" s="446"/>
      <c r="G16" s="2605"/>
      <c r="H16" s="448"/>
      <c r="I16" s="445"/>
      <c r="J16" s="446"/>
      <c r="K16" s="613"/>
      <c r="L16" s="1138"/>
      <c r="M16" s="1129"/>
      <c r="N16" s="1129"/>
      <c r="O16" s="1129"/>
      <c r="P16" s="3378"/>
      <c r="Q16" s="1808"/>
      <c r="R16" s="772"/>
      <c r="S16" s="773"/>
      <c r="T16" s="772"/>
      <c r="U16" s="773"/>
      <c r="V16" s="772"/>
      <c r="W16" s="773"/>
      <c r="X16" s="1811"/>
      <c r="Y16" s="3309"/>
      <c r="Z16" s="1812"/>
      <c r="AA16" s="1809">
        <v>1</v>
      </c>
      <c r="AB16" s="1809">
        <v>1</v>
      </c>
      <c r="AC16" s="2668">
        <v>1</v>
      </c>
    </row>
    <row r="17" spans="1:29" ht="15">
      <c r="A17" s="426"/>
      <c r="B17" s="629" t="s">
        <v>2093</v>
      </c>
      <c r="C17" s="2669">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378"/>
      <c r="Q17" s="1808" t="str">
        <f>B17</f>
        <v>交通便捷度</v>
      </c>
      <c r="R17" s="772" t="s">
        <v>17</v>
      </c>
      <c r="S17" s="773">
        <f>F17</f>
        <v>100</v>
      </c>
      <c r="T17" s="772" t="s">
        <v>17</v>
      </c>
      <c r="U17" s="773">
        <f>H17</f>
        <v>100</v>
      </c>
      <c r="V17" s="772" t="s">
        <v>17</v>
      </c>
      <c r="W17" s="773">
        <f>J17</f>
        <v>100</v>
      </c>
      <c r="X17" s="1811"/>
      <c r="Y17" s="3309"/>
      <c r="Z17" s="1812" t="str">
        <f>Q17</f>
        <v>交通便捷度</v>
      </c>
      <c r="AA17" s="1809">
        <f t="shared" si="3"/>
        <v>1</v>
      </c>
      <c r="AB17" s="1809">
        <f t="shared" si="4"/>
        <v>1</v>
      </c>
      <c r="AC17" s="2668">
        <f t="shared" si="5"/>
        <v>1</v>
      </c>
    </row>
    <row r="18" spans="1:29" ht="15">
      <c r="A18" s="426"/>
      <c r="B18" s="630"/>
      <c r="C18" s="2670"/>
      <c r="D18" s="448"/>
      <c r="E18" s="2603"/>
      <c r="F18" s="448"/>
      <c r="G18" s="2604"/>
      <c r="H18" s="446"/>
      <c r="I18" s="2604"/>
      <c r="J18" s="446"/>
      <c r="K18" s="613"/>
      <c r="L18" s="1138"/>
      <c r="M18" s="1129"/>
      <c r="N18" s="1129"/>
      <c r="O18" s="1129"/>
      <c r="P18" s="3378"/>
      <c r="Q18" s="1808"/>
      <c r="R18" s="772"/>
      <c r="S18" s="773"/>
      <c r="T18" s="772"/>
      <c r="U18" s="773"/>
      <c r="V18" s="772"/>
      <c r="W18" s="773"/>
      <c r="X18" s="1811"/>
      <c r="Y18" s="3309"/>
      <c r="Z18" s="1812"/>
      <c r="AA18" s="1809">
        <v>1</v>
      </c>
      <c r="AB18" s="1809">
        <v>1</v>
      </c>
      <c r="AC18" s="2668">
        <v>1</v>
      </c>
    </row>
    <row r="19" spans="1:29" ht="15">
      <c r="A19" s="426"/>
      <c r="B19" s="629" t="s">
        <v>2682</v>
      </c>
      <c r="C19" s="2669">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378"/>
      <c r="Q19" s="1808" t="str">
        <f>B19</f>
        <v>公共配套设施</v>
      </c>
      <c r="R19" s="772" t="s">
        <v>17</v>
      </c>
      <c r="S19" s="773">
        <f>F19</f>
        <v>100</v>
      </c>
      <c r="T19" s="772" t="s">
        <v>17</v>
      </c>
      <c r="U19" s="773">
        <f>H19</f>
        <v>100</v>
      </c>
      <c r="V19" s="772" t="s">
        <v>17</v>
      </c>
      <c r="W19" s="773">
        <f>J19</f>
        <v>100</v>
      </c>
      <c r="X19" s="1811"/>
      <c r="Y19" s="3309"/>
      <c r="Z19" s="1812" t="str">
        <f>Q19</f>
        <v>公共配套设施</v>
      </c>
      <c r="AA19" s="1809">
        <f t="shared" si="3"/>
        <v>1</v>
      </c>
      <c r="AB19" s="1809">
        <f t="shared" si="4"/>
        <v>1</v>
      </c>
      <c r="AC19" s="2668">
        <f t="shared" si="5"/>
        <v>1</v>
      </c>
    </row>
    <row r="20" spans="1:29" ht="15">
      <c r="A20" s="426"/>
      <c r="B20" s="630"/>
      <c r="C20" s="2605"/>
      <c r="D20" s="446"/>
      <c r="E20" s="2598"/>
      <c r="F20" s="446"/>
      <c r="G20" s="2599"/>
      <c r="H20" s="446"/>
      <c r="I20" s="2599"/>
      <c r="J20" s="446"/>
      <c r="K20" s="613"/>
      <c r="L20" s="1138"/>
      <c r="M20" s="1129"/>
      <c r="N20" s="1129"/>
      <c r="O20" s="1129"/>
      <c r="P20" s="3378"/>
      <c r="Q20" s="1808"/>
      <c r="R20" s="772"/>
      <c r="S20" s="773"/>
      <c r="T20" s="772"/>
      <c r="U20" s="773"/>
      <c r="V20" s="772"/>
      <c r="W20" s="773"/>
      <c r="X20" s="1811"/>
      <c r="Y20" s="3309"/>
      <c r="Z20" s="1812"/>
      <c r="AA20" s="1809">
        <v>1</v>
      </c>
      <c r="AB20" s="1809">
        <v>1</v>
      </c>
      <c r="AC20" s="2668">
        <v>1</v>
      </c>
    </row>
    <row r="21" spans="1:29" ht="15">
      <c r="A21" s="426"/>
      <c r="B21" s="631" t="s">
        <v>2683</v>
      </c>
      <c r="C21" s="2669">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9"/>
      <c r="Z21" s="1812" t="str">
        <f>Q21</f>
        <v>基础设施水平</v>
      </c>
      <c r="AA21" s="1809">
        <f t="shared" ref="AA21" si="8">D21/F21</f>
        <v>1</v>
      </c>
      <c r="AB21" s="1809">
        <f t="shared" ref="AB21" si="9">D21/H21</f>
        <v>1</v>
      </c>
      <c r="AC21" s="2668">
        <f t="shared" ref="AC21" si="10">D21/J21</f>
        <v>1</v>
      </c>
    </row>
    <row r="22" spans="1:29" ht="15">
      <c r="A22" s="426"/>
      <c r="B22" s="631"/>
      <c r="C22" s="2670"/>
      <c r="D22" s="446"/>
      <c r="E22" s="445"/>
      <c r="F22" s="446"/>
      <c r="G22" s="2605"/>
      <c r="H22" s="446"/>
      <c r="I22" s="2605"/>
      <c r="J22" s="446"/>
      <c r="K22" s="1381"/>
      <c r="L22" s="1138"/>
      <c r="M22" s="1129"/>
      <c r="N22" s="1129"/>
      <c r="O22" s="1129"/>
      <c r="P22" s="3378"/>
      <c r="Q22" s="1808"/>
      <c r="R22" s="772"/>
      <c r="S22" s="773"/>
      <c r="T22" s="772"/>
      <c r="U22" s="773"/>
      <c r="V22" s="772"/>
      <c r="W22" s="773"/>
      <c r="X22" s="1811"/>
      <c r="Y22" s="3309"/>
      <c r="Z22" s="1812"/>
      <c r="AA22" s="1809">
        <v>1</v>
      </c>
      <c r="AB22" s="1809">
        <v>1</v>
      </c>
      <c r="AC22" s="2668">
        <v>1</v>
      </c>
    </row>
    <row r="23" spans="1:29" ht="15">
      <c r="A23" s="426"/>
      <c r="B23" s="629" t="s">
        <v>2684</v>
      </c>
      <c r="C23" s="2669">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378"/>
      <c r="Q23" s="1808" t="str">
        <f>B23</f>
        <v>环境质量</v>
      </c>
      <c r="R23" s="772" t="s">
        <v>17</v>
      </c>
      <c r="S23" s="773">
        <f>F23</f>
        <v>100</v>
      </c>
      <c r="T23" s="772" t="s">
        <v>17</v>
      </c>
      <c r="U23" s="773">
        <f>H23</f>
        <v>100</v>
      </c>
      <c r="V23" s="772" t="s">
        <v>17</v>
      </c>
      <c r="W23" s="773">
        <f>J23</f>
        <v>100</v>
      </c>
      <c r="X23" s="1811"/>
      <c r="Y23" s="3309"/>
      <c r="Z23" s="1812" t="str">
        <f>Q23</f>
        <v>环境质量</v>
      </c>
      <c r="AA23" s="1809">
        <f t="shared" si="3"/>
        <v>1</v>
      </c>
      <c r="AB23" s="1809">
        <f t="shared" si="4"/>
        <v>1</v>
      </c>
      <c r="AC23" s="2668">
        <f t="shared" si="5"/>
        <v>1</v>
      </c>
    </row>
    <row r="24" spans="1:29" ht="15">
      <c r="A24" s="426"/>
      <c r="B24" s="631"/>
      <c r="C24" s="2605"/>
      <c r="D24" s="446"/>
      <c r="E24" s="2598"/>
      <c r="F24" s="446"/>
      <c r="G24" s="2599"/>
      <c r="H24" s="446"/>
      <c r="I24" s="2599"/>
      <c r="J24" s="446"/>
      <c r="K24" s="613"/>
      <c r="L24" s="1138"/>
      <c r="M24" s="1129"/>
      <c r="N24" s="1129"/>
      <c r="O24" s="1129"/>
      <c r="P24" s="3378"/>
      <c r="Q24" s="1808"/>
      <c r="R24" s="772"/>
      <c r="S24" s="773"/>
      <c r="T24" s="772"/>
      <c r="U24" s="773"/>
      <c r="V24" s="772"/>
      <c r="W24" s="773"/>
      <c r="X24" s="1811"/>
      <c r="Y24" s="3309"/>
      <c r="Z24" s="1812"/>
      <c r="AA24" s="1809">
        <v>1</v>
      </c>
      <c r="AB24" s="1809">
        <v>1</v>
      </c>
      <c r="AC24" s="2668">
        <v>1</v>
      </c>
    </row>
    <row r="25" spans="1:29" ht="27">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8"/>
      <c r="M25" s="1129"/>
      <c r="N25" s="1129"/>
      <c r="O25" s="1129"/>
      <c r="P25" s="3378"/>
      <c r="Q25" s="1808" t="str">
        <f>B25</f>
        <v>毗邻道路的类型与等级</v>
      </c>
      <c r="R25" s="772" t="s">
        <v>17</v>
      </c>
      <c r="S25" s="773">
        <f>F25</f>
        <v>100</v>
      </c>
      <c r="T25" s="772" t="s">
        <v>17</v>
      </c>
      <c r="U25" s="773">
        <f>H25</f>
        <v>100</v>
      </c>
      <c r="V25" s="772" t="s">
        <v>17</v>
      </c>
      <c r="W25" s="773">
        <f>J25</f>
        <v>100</v>
      </c>
      <c r="X25" s="1811"/>
      <c r="Y25" s="3309"/>
      <c r="Z25" s="1812" t="str">
        <f>Q25</f>
        <v>毗邻道路的类型与等级</v>
      </c>
      <c r="AA25" s="1809">
        <f t="shared" si="3"/>
        <v>1</v>
      </c>
      <c r="AB25" s="1809">
        <f t="shared" si="4"/>
        <v>1</v>
      </c>
      <c r="AC25" s="2668">
        <f t="shared" si="5"/>
        <v>1</v>
      </c>
    </row>
    <row r="26" spans="1:29" ht="15">
      <c r="A26" s="402"/>
      <c r="B26" s="630"/>
      <c r="C26" s="632"/>
      <c r="D26" s="433"/>
      <c r="E26" s="614"/>
      <c r="F26" s="433"/>
      <c r="G26" s="632"/>
      <c r="H26" s="433"/>
      <c r="I26" s="614"/>
      <c r="J26" s="433"/>
      <c r="K26" s="613"/>
      <c r="L26" s="1138"/>
      <c r="M26" s="1129"/>
      <c r="N26" s="1129"/>
      <c r="O26" s="1129"/>
      <c r="P26" s="3378"/>
      <c r="Q26" s="1808"/>
      <c r="R26" s="772"/>
      <c r="S26" s="773"/>
      <c r="T26" s="772"/>
      <c r="U26" s="773"/>
      <c r="V26" s="772"/>
      <c r="W26" s="773"/>
      <c r="X26" s="1811"/>
      <c r="Y26" s="3309"/>
      <c r="Z26" s="1812"/>
      <c r="AA26" s="1809">
        <v>1</v>
      </c>
      <c r="AB26" s="1809">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378"/>
      <c r="Q27" s="1808" t="str">
        <f t="shared" ref="Q27:Q47" si="11">B27</f>
        <v>楼层</v>
      </c>
      <c r="R27" s="772" t="s">
        <v>17</v>
      </c>
      <c r="S27" s="773">
        <f>F27</f>
        <v>100</v>
      </c>
      <c r="T27" s="772" t="s">
        <v>17</v>
      </c>
      <c r="U27" s="773">
        <f>H27</f>
        <v>100</v>
      </c>
      <c r="V27" s="772" t="s">
        <v>17</v>
      </c>
      <c r="W27" s="773">
        <f>J27</f>
        <v>100</v>
      </c>
      <c r="X27" s="1811"/>
      <c r="Y27" s="3309"/>
      <c r="Z27" s="1812" t="str">
        <f>Q27</f>
        <v>楼层</v>
      </c>
      <c r="AA27" s="1809">
        <f t="shared" si="3"/>
        <v>1</v>
      </c>
      <c r="AB27" s="1809">
        <f t="shared" si="4"/>
        <v>1</v>
      </c>
      <c r="AC27" s="2668">
        <f t="shared" si="5"/>
        <v>1</v>
      </c>
    </row>
    <row r="28" spans="1:29" s="115"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30"/>
      <c r="M28" s="1131"/>
      <c r="N28" s="1131"/>
      <c r="O28" s="1131"/>
      <c r="P28" s="3378"/>
      <c r="Q28" s="1793" t="str">
        <f t="shared" si="11"/>
        <v>朝向</v>
      </c>
      <c r="R28" s="768" t="s">
        <v>17</v>
      </c>
      <c r="S28" s="769">
        <f>F28</f>
        <v>100</v>
      </c>
      <c r="T28" s="768" t="s">
        <v>17</v>
      </c>
      <c r="U28" s="769">
        <f>H28</f>
        <v>100</v>
      </c>
      <c r="V28" s="768" t="s">
        <v>17</v>
      </c>
      <c r="W28" s="769">
        <f>J28</f>
        <v>100</v>
      </c>
      <c r="X28" s="770"/>
      <c r="Y28" s="3309"/>
      <c r="Z28" s="55" t="str">
        <f>Q28</f>
        <v>朝向</v>
      </c>
      <c r="AA28" s="1809">
        <f>D28/F28</f>
        <v>1</v>
      </c>
      <c r="AB28" s="1809">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8"/>
      <c r="M29" s="1129"/>
      <c r="N29" s="1129"/>
      <c r="O29" s="1129"/>
      <c r="P29" s="3378"/>
      <c r="Q29" s="1808">
        <f t="shared" si="11"/>
        <v>111</v>
      </c>
      <c r="R29" s="772" t="s">
        <v>17</v>
      </c>
      <c r="S29" s="773">
        <f t="shared" ref="S29:S47" si="12">F29</f>
        <v>100</v>
      </c>
      <c r="T29" s="772" t="s">
        <v>17</v>
      </c>
      <c r="U29" s="773">
        <f t="shared" ref="U29:U47" si="13">H29</f>
        <v>100</v>
      </c>
      <c r="V29" s="772" t="s">
        <v>17</v>
      </c>
      <c r="W29" s="773">
        <f t="shared" ref="W29:W47" si="14">J29</f>
        <v>100</v>
      </c>
      <c r="X29" s="1811"/>
      <c r="Y29" s="3309"/>
      <c r="Z29" s="1812">
        <f t="shared" ref="Z29:Z47" si="15">Q29</f>
        <v>111</v>
      </c>
      <c r="AA29" s="1809">
        <f t="shared" si="3"/>
        <v>1</v>
      </c>
      <c r="AB29" s="1809">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8"/>
      <c r="M30" s="1129"/>
      <c r="N30" s="1129"/>
      <c r="O30" s="1129"/>
      <c r="P30" s="3378"/>
      <c r="Q30" s="1808">
        <f t="shared" si="11"/>
        <v>111</v>
      </c>
      <c r="R30" s="772" t="s">
        <v>17</v>
      </c>
      <c r="S30" s="773">
        <f t="shared" si="12"/>
        <v>100</v>
      </c>
      <c r="T30" s="772" t="s">
        <v>17</v>
      </c>
      <c r="U30" s="773">
        <f t="shared" si="13"/>
        <v>100</v>
      </c>
      <c r="V30" s="772" t="s">
        <v>17</v>
      </c>
      <c r="W30" s="773">
        <f t="shared" si="14"/>
        <v>100</v>
      </c>
      <c r="X30" s="1811"/>
      <c r="Y30" s="3309"/>
      <c r="Z30" s="1812">
        <f t="shared" si="15"/>
        <v>111</v>
      </c>
      <c r="AA30" s="1809">
        <f t="shared" si="3"/>
        <v>1</v>
      </c>
      <c r="AB30" s="1809">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8"/>
      <c r="M31" s="1129"/>
      <c r="N31" s="1129"/>
      <c r="O31" s="1129"/>
      <c r="P31" s="3378"/>
      <c r="Q31" s="1808">
        <f t="shared" si="11"/>
        <v>111</v>
      </c>
      <c r="R31" s="772" t="s">
        <v>17</v>
      </c>
      <c r="S31" s="773">
        <f t="shared" si="12"/>
        <v>100</v>
      </c>
      <c r="T31" s="772" t="s">
        <v>17</v>
      </c>
      <c r="U31" s="773">
        <f t="shared" si="13"/>
        <v>100</v>
      </c>
      <c r="V31" s="772" t="s">
        <v>17</v>
      </c>
      <c r="W31" s="773">
        <f t="shared" si="14"/>
        <v>100</v>
      </c>
      <c r="X31" s="1811"/>
      <c r="Y31" s="3309"/>
      <c r="Z31" s="1812">
        <f t="shared" si="15"/>
        <v>111</v>
      </c>
      <c r="AA31" s="1809">
        <f t="shared" si="3"/>
        <v>1</v>
      </c>
      <c r="AB31" s="1809">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8"/>
      <c r="M32" s="1129"/>
      <c r="N32" s="1129"/>
      <c r="O32" s="1129"/>
      <c r="P32" s="3378"/>
      <c r="Q32" s="1808">
        <f t="shared" si="11"/>
        <v>111</v>
      </c>
      <c r="R32" s="772" t="s">
        <v>17</v>
      </c>
      <c r="S32" s="773">
        <f t="shared" si="12"/>
        <v>100</v>
      </c>
      <c r="T32" s="772" t="s">
        <v>17</v>
      </c>
      <c r="U32" s="773">
        <f t="shared" si="13"/>
        <v>100</v>
      </c>
      <c r="V32" s="772" t="s">
        <v>17</v>
      </c>
      <c r="W32" s="773">
        <f t="shared" si="14"/>
        <v>100</v>
      </c>
      <c r="X32" s="1811"/>
      <c r="Y32" s="3309"/>
      <c r="Z32" s="1812">
        <f t="shared" si="15"/>
        <v>111</v>
      </c>
      <c r="AA32" s="1809">
        <f t="shared" si="3"/>
        <v>1</v>
      </c>
      <c r="AB32" s="1809">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8"/>
      <c r="M33" s="1129"/>
      <c r="N33" s="1129"/>
      <c r="O33" s="1129"/>
      <c r="P33" s="3373" t="s">
        <v>2559</v>
      </c>
      <c r="Q33" s="1808" t="str">
        <f t="shared" si="11"/>
        <v>建筑类型</v>
      </c>
      <c r="R33" s="772" t="s">
        <v>17</v>
      </c>
      <c r="S33" s="773">
        <f t="shared" si="12"/>
        <v>100</v>
      </c>
      <c r="T33" s="772" t="s">
        <v>17</v>
      </c>
      <c r="U33" s="773">
        <f t="shared" si="13"/>
        <v>100</v>
      </c>
      <c r="V33" s="772" t="s">
        <v>17</v>
      </c>
      <c r="W33" s="773">
        <f t="shared" si="14"/>
        <v>100</v>
      </c>
      <c r="X33" s="1811"/>
      <c r="Y33" s="3311" t="s">
        <v>2559</v>
      </c>
      <c r="Z33" s="1812" t="str">
        <f t="shared" si="15"/>
        <v>建筑类型</v>
      </c>
      <c r="AA33" s="1809">
        <f t="shared" si="3"/>
        <v>1</v>
      </c>
      <c r="AB33" s="1809">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374"/>
      <c r="Q34" s="774" t="str">
        <f t="shared" si="11"/>
        <v>项目建筑规模</v>
      </c>
      <c r="R34" s="775" t="s">
        <v>17</v>
      </c>
      <c r="S34" s="776" t="e">
        <f t="shared" si="12"/>
        <v>#N/A</v>
      </c>
      <c r="T34" s="775" t="s">
        <v>17</v>
      </c>
      <c r="U34" s="776" t="e">
        <f t="shared" si="13"/>
        <v>#N/A</v>
      </c>
      <c r="V34" s="775" t="s">
        <v>17</v>
      </c>
      <c r="W34" s="776" t="e">
        <f t="shared" si="14"/>
        <v>#N/A</v>
      </c>
      <c r="X34" s="777"/>
      <c r="Y34" s="3311"/>
      <c r="Z34" s="778" t="str">
        <f t="shared" si="15"/>
        <v>项目建筑规模</v>
      </c>
      <c r="AA34" s="1809" t="e">
        <f t="shared" si="3"/>
        <v>#N/A</v>
      </c>
      <c r="AB34" s="1809"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374"/>
      <c r="Q35" s="1808" t="str">
        <f t="shared" si="11"/>
        <v>建筑结构</v>
      </c>
      <c r="R35" s="772" t="s">
        <v>17</v>
      </c>
      <c r="S35" s="773">
        <f t="shared" si="12"/>
        <v>100</v>
      </c>
      <c r="T35" s="772" t="s">
        <v>17</v>
      </c>
      <c r="U35" s="773">
        <f t="shared" si="13"/>
        <v>100</v>
      </c>
      <c r="V35" s="772" t="s">
        <v>17</v>
      </c>
      <c r="W35" s="773">
        <f t="shared" si="14"/>
        <v>100</v>
      </c>
      <c r="X35" s="1811"/>
      <c r="Y35" s="3311"/>
      <c r="Z35" s="1812" t="str">
        <f t="shared" si="15"/>
        <v>建筑结构</v>
      </c>
      <c r="AA35" s="1809">
        <f t="shared" si="3"/>
        <v>1</v>
      </c>
      <c r="AB35" s="1809">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374"/>
      <c r="Q36" s="1808" t="str">
        <f t="shared" si="11"/>
        <v>公共部分装修</v>
      </c>
      <c r="R36" s="772" t="s">
        <v>17</v>
      </c>
      <c r="S36" s="773">
        <f t="shared" si="12"/>
        <v>100</v>
      </c>
      <c r="T36" s="772" t="s">
        <v>17</v>
      </c>
      <c r="U36" s="773">
        <f t="shared" si="13"/>
        <v>100</v>
      </c>
      <c r="V36" s="772" t="s">
        <v>17</v>
      </c>
      <c r="W36" s="773">
        <f t="shared" si="14"/>
        <v>100</v>
      </c>
      <c r="X36" s="1811"/>
      <c r="Y36" s="3311"/>
      <c r="Z36" s="1812" t="str">
        <f t="shared" si="15"/>
        <v>公共部分装修</v>
      </c>
      <c r="AA36" s="1809">
        <f t="shared" si="3"/>
        <v>1</v>
      </c>
      <c r="AB36" s="1809">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374"/>
      <c r="Q37" s="1808" t="str">
        <f t="shared" si="11"/>
        <v>成新度</v>
      </c>
      <c r="R37" s="772" t="s">
        <v>17</v>
      </c>
      <c r="S37" s="773" t="e">
        <f t="shared" si="12"/>
        <v>#N/A</v>
      </c>
      <c r="T37" s="772" t="s">
        <v>17</v>
      </c>
      <c r="U37" s="773" t="e">
        <f t="shared" si="13"/>
        <v>#N/A</v>
      </c>
      <c r="V37" s="772" t="s">
        <v>17</v>
      </c>
      <c r="W37" s="773" t="e">
        <f t="shared" si="14"/>
        <v>#N/A</v>
      </c>
      <c r="X37" s="1811"/>
      <c r="Y37" s="3311"/>
      <c r="Z37" s="1812" t="str">
        <f t="shared" si="15"/>
        <v>成新度</v>
      </c>
      <c r="AA37" s="1809" t="e">
        <f t="shared" si="3"/>
        <v>#N/A</v>
      </c>
      <c r="AB37" s="1809" t="e">
        <f t="shared" si="4"/>
        <v>#N/A</v>
      </c>
      <c r="AC37" s="2668"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374"/>
      <c r="Q38" s="1793" t="str">
        <f t="shared" si="11"/>
        <v>写字楼等级</v>
      </c>
      <c r="R38" s="768" t="s">
        <v>17</v>
      </c>
      <c r="S38" s="769">
        <f t="shared" si="12"/>
        <v>100</v>
      </c>
      <c r="T38" s="768" t="s">
        <v>17</v>
      </c>
      <c r="U38" s="769">
        <f t="shared" si="13"/>
        <v>100</v>
      </c>
      <c r="V38" s="768" t="s">
        <v>17</v>
      </c>
      <c r="W38" s="769">
        <f t="shared" si="14"/>
        <v>100</v>
      </c>
      <c r="X38" s="770"/>
      <c r="Y38" s="3311"/>
      <c r="Z38" s="55" t="str">
        <f t="shared" si="15"/>
        <v>写字楼等级</v>
      </c>
      <c r="AA38" s="771">
        <f t="shared" si="3"/>
        <v>1</v>
      </c>
      <c r="AB38" s="771">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374" t="s">
        <v>2559</v>
      </c>
      <c r="Q39" s="1808" t="str">
        <f t="shared" si="11"/>
        <v>物业管理</v>
      </c>
      <c r="R39" s="772" t="s">
        <v>17</v>
      </c>
      <c r="S39" s="773">
        <f t="shared" si="12"/>
        <v>100</v>
      </c>
      <c r="T39" s="772" t="s">
        <v>17</v>
      </c>
      <c r="U39" s="773">
        <f t="shared" si="13"/>
        <v>100</v>
      </c>
      <c r="V39" s="772" t="s">
        <v>17</v>
      </c>
      <c r="W39" s="773">
        <f t="shared" si="14"/>
        <v>100</v>
      </c>
      <c r="X39" s="1811"/>
      <c r="Y39" s="3311" t="s">
        <v>2559</v>
      </c>
      <c r="Z39" s="1812" t="str">
        <f t="shared" si="15"/>
        <v>物业管理</v>
      </c>
      <c r="AA39" s="1809">
        <f t="shared" si="3"/>
        <v>1</v>
      </c>
      <c r="AB39" s="1809">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374"/>
      <c r="Q40" s="1808" t="str">
        <f t="shared" si="11"/>
        <v>市政基础设施</v>
      </c>
      <c r="R40" s="772" t="s">
        <v>17</v>
      </c>
      <c r="S40" s="773">
        <f t="shared" si="12"/>
        <v>100</v>
      </c>
      <c r="T40" s="772" t="s">
        <v>17</v>
      </c>
      <c r="U40" s="773">
        <f t="shared" si="13"/>
        <v>100</v>
      </c>
      <c r="V40" s="772" t="s">
        <v>17</v>
      </c>
      <c r="W40" s="773">
        <f t="shared" si="14"/>
        <v>100</v>
      </c>
      <c r="X40" s="1811"/>
      <c r="Y40" s="3311"/>
      <c r="Z40" s="1812" t="str">
        <f t="shared" si="15"/>
        <v>市政基础设施</v>
      </c>
      <c r="AA40" s="1809">
        <f t="shared" si="3"/>
        <v>1</v>
      </c>
      <c r="AB40" s="1809">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374"/>
      <c r="Q41" s="1808" t="str">
        <f t="shared" si="11"/>
        <v>层高</v>
      </c>
      <c r="R41" s="772" t="s">
        <v>17</v>
      </c>
      <c r="S41" s="773">
        <f t="shared" si="12"/>
        <v>100</v>
      </c>
      <c r="T41" s="772" t="s">
        <v>17</v>
      </c>
      <c r="U41" s="773">
        <f t="shared" si="13"/>
        <v>100</v>
      </c>
      <c r="V41" s="772" t="s">
        <v>17</v>
      </c>
      <c r="W41" s="773">
        <f t="shared" si="14"/>
        <v>100</v>
      </c>
      <c r="X41" s="1811"/>
      <c r="Y41" s="3311"/>
      <c r="Z41" s="1812" t="str">
        <f t="shared" si="15"/>
        <v>层高</v>
      </c>
      <c r="AA41" s="1809">
        <f t="shared" si="3"/>
        <v>1</v>
      </c>
      <c r="AB41" s="1809">
        <f t="shared" si="4"/>
        <v>1</v>
      </c>
      <c r="AC41" s="2668">
        <f t="shared" si="5"/>
        <v>1</v>
      </c>
    </row>
    <row r="42" spans="1:29" s="469" customFormat="1" ht="15">
      <c r="A42" s="466"/>
      <c r="B42" s="1810"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374"/>
      <c r="Q42" s="774" t="str">
        <f t="shared" si="11"/>
        <v>单套建筑面积</v>
      </c>
      <c r="R42" s="775" t="s">
        <v>17</v>
      </c>
      <c r="S42" s="776">
        <f t="shared" si="12"/>
        <v>100</v>
      </c>
      <c r="T42" s="775" t="s">
        <v>17</v>
      </c>
      <c r="U42" s="776">
        <f t="shared" si="13"/>
        <v>100</v>
      </c>
      <c r="V42" s="775" t="s">
        <v>17</v>
      </c>
      <c r="W42" s="776">
        <f t="shared" si="14"/>
        <v>100</v>
      </c>
      <c r="X42" s="777"/>
      <c r="Y42" s="3311"/>
      <c r="Z42" s="778" t="str">
        <f t="shared" si="15"/>
        <v>单套建筑面积</v>
      </c>
      <c r="AA42" s="1809">
        <f t="shared" si="3"/>
        <v>1</v>
      </c>
      <c r="AB42" s="1809">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374"/>
      <c r="Q43" s="1808" t="str">
        <f t="shared" si="11"/>
        <v>内部装修</v>
      </c>
      <c r="R43" s="772" t="s">
        <v>17</v>
      </c>
      <c r="S43" s="773">
        <f t="shared" si="12"/>
        <v>100</v>
      </c>
      <c r="T43" s="772" t="s">
        <v>17</v>
      </c>
      <c r="U43" s="773">
        <f t="shared" si="13"/>
        <v>100</v>
      </c>
      <c r="V43" s="772" t="s">
        <v>17</v>
      </c>
      <c r="W43" s="773">
        <f t="shared" si="14"/>
        <v>100</v>
      </c>
      <c r="X43" s="1811"/>
      <c r="Y43" s="3311"/>
      <c r="Z43" s="1812" t="str">
        <f t="shared" si="15"/>
        <v>内部装修</v>
      </c>
      <c r="AA43" s="1809">
        <f t="shared" si="3"/>
        <v>1</v>
      </c>
      <c r="AB43" s="1809">
        <f t="shared" si="4"/>
        <v>1</v>
      </c>
      <c r="AC43" s="2668">
        <f t="shared" si="5"/>
        <v>1</v>
      </c>
    </row>
    <row r="44" spans="1:29" ht="15">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8"/>
      <c r="M44" s="1129"/>
      <c r="N44" s="1129"/>
      <c r="O44" s="1129"/>
      <c r="P44" s="3374"/>
      <c r="Q44" s="1808" t="str">
        <f t="shared" si="11"/>
        <v>内部装修维护情况</v>
      </c>
      <c r="R44" s="772" t="s">
        <v>17</v>
      </c>
      <c r="S44" s="773">
        <f t="shared" si="12"/>
        <v>100</v>
      </c>
      <c r="T44" s="772" t="s">
        <v>17</v>
      </c>
      <c r="U44" s="773">
        <f t="shared" si="13"/>
        <v>100</v>
      </c>
      <c r="V44" s="772" t="s">
        <v>17</v>
      </c>
      <c r="W44" s="773">
        <f t="shared" si="14"/>
        <v>100</v>
      </c>
      <c r="X44" s="1811"/>
      <c r="Y44" s="3311"/>
      <c r="Z44" s="1812" t="str">
        <f t="shared" si="15"/>
        <v>内部装修维护情况</v>
      </c>
      <c r="AA44" s="1809">
        <f t="shared" si="3"/>
        <v>1</v>
      </c>
      <c r="AB44" s="1809">
        <f t="shared" si="4"/>
        <v>1</v>
      </c>
      <c r="AC44" s="2668">
        <f t="shared" si="5"/>
        <v>1</v>
      </c>
    </row>
    <row r="45" spans="1:29" s="115"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374"/>
      <c r="Q45" s="1793">
        <f t="shared" si="11"/>
        <v>111</v>
      </c>
      <c r="R45" s="768" t="s">
        <v>17</v>
      </c>
      <c r="S45" s="769">
        <f t="shared" si="12"/>
        <v>100</v>
      </c>
      <c r="T45" s="768" t="s">
        <v>17</v>
      </c>
      <c r="U45" s="769">
        <f t="shared" si="13"/>
        <v>100</v>
      </c>
      <c r="V45" s="768" t="s">
        <v>17</v>
      </c>
      <c r="W45" s="769">
        <f t="shared" si="14"/>
        <v>100</v>
      </c>
      <c r="X45" s="770"/>
      <c r="Y45" s="3311"/>
      <c r="Z45" s="55">
        <f t="shared" si="15"/>
        <v>111</v>
      </c>
      <c r="AA45" s="771">
        <f t="shared" si="3"/>
        <v>1</v>
      </c>
      <c r="AB45" s="771">
        <f t="shared" si="4"/>
        <v>1</v>
      </c>
      <c r="AC45" s="2665">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74"/>
      <c r="Q46" s="1808">
        <f t="shared" si="11"/>
        <v>111</v>
      </c>
      <c r="R46" s="772" t="s">
        <v>17</v>
      </c>
      <c r="S46" s="773">
        <f t="shared" si="12"/>
        <v>100</v>
      </c>
      <c r="T46" s="772" t="s">
        <v>17</v>
      </c>
      <c r="U46" s="773">
        <f t="shared" si="13"/>
        <v>100</v>
      </c>
      <c r="V46" s="772" t="s">
        <v>17</v>
      </c>
      <c r="W46" s="773">
        <f t="shared" si="14"/>
        <v>100</v>
      </c>
      <c r="X46" s="1811"/>
      <c r="Y46" s="3311"/>
      <c r="Z46" s="1812">
        <f t="shared" si="15"/>
        <v>111</v>
      </c>
      <c r="AA46" s="1809">
        <f t="shared" si="3"/>
        <v>1</v>
      </c>
      <c r="AB46" s="1809">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75"/>
      <c r="Q47" s="1808">
        <f t="shared" si="11"/>
        <v>111</v>
      </c>
      <c r="R47" s="772" t="s">
        <v>17</v>
      </c>
      <c r="S47" s="773">
        <f t="shared" si="12"/>
        <v>100</v>
      </c>
      <c r="T47" s="772" t="s">
        <v>17</v>
      </c>
      <c r="U47" s="773">
        <f t="shared" si="13"/>
        <v>100</v>
      </c>
      <c r="V47" s="772" t="s">
        <v>17</v>
      </c>
      <c r="W47" s="773">
        <f t="shared" si="14"/>
        <v>100</v>
      </c>
      <c r="X47" s="1811"/>
      <c r="Y47" s="3376"/>
      <c r="Z47" s="1812">
        <f t="shared" si="15"/>
        <v>111</v>
      </c>
      <c r="AA47" s="1809">
        <f t="shared" si="3"/>
        <v>1</v>
      </c>
      <c r="AB47" s="1809">
        <f t="shared" si="4"/>
        <v>1</v>
      </c>
      <c r="AC47" s="2668">
        <f t="shared" si="5"/>
        <v>1</v>
      </c>
    </row>
    <row r="48" spans="1:29" ht="15">
      <c r="A48" s="477" t="s">
        <v>2571</v>
      </c>
      <c r="B48" s="478"/>
      <c r="C48" s="1405" t="s">
        <v>1</v>
      </c>
      <c r="D48" s="1406"/>
      <c r="E48" s="1407"/>
      <c r="F48" s="1408"/>
      <c r="G48" s="1409"/>
      <c r="H48" s="1410"/>
      <c r="I48" s="1407"/>
      <c r="J48" s="483"/>
      <c r="K48" s="781"/>
      <c r="L48" s="1141"/>
      <c r="M48" s="1129"/>
      <c r="N48" s="1129"/>
      <c r="O48" s="1129"/>
      <c r="P48" s="3317" t="str">
        <f>A48</f>
        <v>成交单价（元/平方米）</v>
      </c>
      <c r="Q48" s="3293"/>
      <c r="R48" s="3372">
        <f>E48</f>
        <v>0</v>
      </c>
      <c r="S48" s="3372"/>
      <c r="T48" s="3372">
        <f>G48</f>
        <v>0</v>
      </c>
      <c r="U48" s="3372"/>
      <c r="V48" s="3372">
        <f>I48</f>
        <v>0</v>
      </c>
      <c r="W48" s="3372"/>
      <c r="X48" s="444"/>
      <c r="Y48" s="779"/>
      <c r="Z48" s="444"/>
      <c r="AA48" s="444"/>
      <c r="AB48" s="444"/>
      <c r="AC48" s="628"/>
    </row>
    <row r="49" spans="1:29" ht="15.75" thickBot="1">
      <c r="A49" s="484" t="s">
        <v>2663</v>
      </c>
      <c r="B49" s="485"/>
      <c r="C49" s="1411" t="e">
        <f>R50</f>
        <v>#DIV/0!</v>
      </c>
      <c r="D49" s="1412"/>
      <c r="E49" s="1413" t="e">
        <f>R49</f>
        <v>#DIV/0!</v>
      </c>
      <c r="F49" s="1413"/>
      <c r="G49" s="1411" t="e">
        <f>T49</f>
        <v>#DIV/0!</v>
      </c>
      <c r="H49" s="1412"/>
      <c r="I49" s="1413" t="e">
        <f>V49</f>
        <v>#DIV/0!</v>
      </c>
      <c r="J49" s="487"/>
      <c r="K49" s="782"/>
      <c r="L49" s="1141"/>
      <c r="M49" s="1129"/>
      <c r="N49" s="1129"/>
      <c r="O49" s="1129"/>
      <c r="P49" s="3317" t="str">
        <f>A49</f>
        <v>比较价值（元/平方米）</v>
      </c>
      <c r="Q49" s="3293"/>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44"/>
      <c r="Y49" s="444"/>
      <c r="Z49" s="444"/>
      <c r="AA49" s="444"/>
      <c r="AB49" s="444"/>
      <c r="AC49" s="628"/>
    </row>
    <row r="50" spans="1:29" ht="15.75" thickBot="1">
      <c r="A50" s="490" t="s">
        <v>2664</v>
      </c>
      <c r="B50" s="491"/>
      <c r="C50" s="1415" t="e">
        <f>R50</f>
        <v>#DIV/0!</v>
      </c>
      <c r="D50" s="1415"/>
      <c r="E50" s="1415"/>
      <c r="F50" s="1415"/>
      <c r="G50" s="1415"/>
      <c r="H50" s="1415"/>
      <c r="I50" s="1415"/>
      <c r="J50" s="492"/>
      <c r="K50" s="783"/>
      <c r="L50" s="1141"/>
      <c r="M50" s="1129"/>
      <c r="N50" s="1129"/>
      <c r="O50" s="1129"/>
      <c r="P50" s="3391" t="str">
        <f>A50</f>
        <v>估价对象XX用房的比较价值（楼面单价，元/平方米）</v>
      </c>
      <c r="Q50" s="3392"/>
      <c r="R50" s="3393" t="e">
        <f>IF(F1="售价",ROUND(AVERAGE(R49:V49),0),ROUND(AVERAGE(R49:V49),1))</f>
        <v>#DIV/0!</v>
      </c>
      <c r="S50" s="3393"/>
      <c r="T50" s="3393"/>
      <c r="U50" s="3393"/>
      <c r="V50" s="3393"/>
      <c r="W50" s="3393"/>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4"/>
    </row>
    <row r="56" spans="1:29" s="500"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5"/>
      <c r="Q58" s="502"/>
    </row>
    <row r="59" spans="1:29" s="506" customFormat="1" ht="15">
      <c r="A59" s="503" t="s">
        <v>2542</v>
      </c>
      <c r="B59" s="504"/>
      <c r="C59" s="1572" t="str">
        <f>YEAR(C7)&amp;"-"&amp;MONTH(C7)</f>
        <v>2018-4</v>
      </c>
      <c r="D59" s="1573">
        <f>EDATE(C59,-1)</f>
        <v>43160</v>
      </c>
      <c r="E59" s="1573">
        <f>EDATE(D59,-1)</f>
        <v>43132</v>
      </c>
      <c r="F59" s="1573">
        <f t="shared" ref="F59:O59" si="16">EDATE(E59,-1)</f>
        <v>43101</v>
      </c>
      <c r="G59" s="1573">
        <f t="shared" si="16"/>
        <v>43070</v>
      </c>
      <c r="H59" s="1573">
        <f t="shared" si="16"/>
        <v>43040</v>
      </c>
      <c r="I59" s="1573">
        <f t="shared" si="16"/>
        <v>43009</v>
      </c>
      <c r="J59" s="1573">
        <f t="shared" si="16"/>
        <v>42979</v>
      </c>
      <c r="K59" s="1573">
        <f t="shared" si="16"/>
        <v>42948</v>
      </c>
      <c r="L59" s="1573">
        <f t="shared" si="16"/>
        <v>42917</v>
      </c>
      <c r="M59" s="1573">
        <f t="shared" si="16"/>
        <v>42887</v>
      </c>
      <c r="N59" s="1573">
        <f t="shared" si="16"/>
        <v>42856</v>
      </c>
      <c r="O59" s="1573">
        <f t="shared" si="16"/>
        <v>42826</v>
      </c>
      <c r="P59" s="1569"/>
    </row>
    <row r="60" spans="1:29" s="115" customFormat="1" ht="15">
      <c r="A60" s="507"/>
      <c r="B60" s="508"/>
      <c r="C60" s="1571">
        <v>100</v>
      </c>
      <c r="D60" s="510"/>
      <c r="E60" s="510"/>
      <c r="F60" s="510"/>
      <c r="G60" s="510"/>
      <c r="H60" s="510"/>
      <c r="I60" s="510"/>
      <c r="J60" s="510"/>
      <c r="K60" s="510"/>
      <c r="L60" s="510"/>
      <c r="M60" s="511"/>
      <c r="N60" s="510"/>
      <c r="O60" s="511"/>
      <c r="P60" s="2676"/>
    </row>
    <row r="61" spans="1:29" s="115" customFormat="1" ht="15.75" thickBot="1">
      <c r="A61" s="513" t="s">
        <v>2579</v>
      </c>
      <c r="B61" s="514"/>
      <c r="C61" s="515"/>
      <c r="D61" s="516"/>
      <c r="E61" s="516"/>
      <c r="F61" s="516"/>
      <c r="G61" s="516"/>
      <c r="H61" s="516"/>
      <c r="I61" s="516"/>
      <c r="J61" s="516"/>
      <c r="K61" s="516"/>
      <c r="L61" s="516"/>
      <c r="M61" s="517"/>
      <c r="N61" s="516"/>
      <c r="O61" s="517"/>
      <c r="P61" s="2676"/>
      <c r="Q61" s="502"/>
    </row>
    <row r="62" spans="1:29" s="115" customFormat="1" ht="15">
      <c r="A62" s="519" t="s">
        <v>2544</v>
      </c>
      <c r="B62" s="508"/>
      <c r="C62" s="520" t="s">
        <v>2646</v>
      </c>
      <c r="D62" s="521"/>
      <c r="E62" s="521"/>
      <c r="F62" s="521"/>
      <c r="G62" s="521"/>
      <c r="H62" s="521"/>
      <c r="I62" s="521"/>
      <c r="J62" s="521"/>
      <c r="K62" s="521"/>
      <c r="L62" s="522"/>
      <c r="M62" s="523"/>
      <c r="N62" s="1149"/>
      <c r="O62" s="1149"/>
      <c r="P62" s="2677"/>
      <c r="Q62" s="502"/>
    </row>
    <row r="63" spans="1:29" s="115" customFormat="1" ht="15.75" thickBot="1">
      <c r="A63" s="519"/>
      <c r="B63" s="508"/>
      <c r="C63" s="509">
        <v>100</v>
      </c>
      <c r="D63" s="510"/>
      <c r="E63" s="510"/>
      <c r="F63" s="510"/>
      <c r="G63" s="510"/>
      <c r="H63" s="510"/>
      <c r="I63" s="510"/>
      <c r="J63" s="510"/>
      <c r="K63" s="510"/>
      <c r="L63" s="510"/>
      <c r="M63" s="512"/>
      <c r="N63" s="1149"/>
      <c r="O63" s="1149"/>
      <c r="P63" s="2676"/>
      <c r="Q63" s="502"/>
    </row>
    <row r="64" spans="1:29">
      <c r="A64" s="525" t="s">
        <v>2582</v>
      </c>
      <c r="B64" s="526" t="s">
        <v>2548</v>
      </c>
      <c r="C64" s="527">
        <f>C9</f>
        <v>0</v>
      </c>
      <c r="D64" s="528"/>
      <c r="E64" s="528"/>
      <c r="F64" s="528"/>
      <c r="G64" s="528"/>
      <c r="H64" s="528"/>
      <c r="I64" s="528"/>
      <c r="J64" s="528"/>
      <c r="K64" s="529"/>
      <c r="L64" s="530"/>
      <c r="M64" s="531"/>
      <c r="N64" s="1150"/>
      <c r="O64" s="1150"/>
      <c r="P64" s="2678"/>
      <c r="Q64" s="502"/>
    </row>
    <row r="65" spans="1:17" ht="15.75" thickBot="1">
      <c r="A65" s="532"/>
      <c r="B65" s="533"/>
      <c r="C65" s="534">
        <v>100</v>
      </c>
      <c r="D65" s="534"/>
      <c r="E65" s="534"/>
      <c r="F65" s="534"/>
      <c r="G65" s="534"/>
      <c r="H65" s="534"/>
      <c r="I65" s="534"/>
      <c r="J65" s="534"/>
      <c r="K65" s="534"/>
      <c r="L65" s="534"/>
      <c r="M65" s="535"/>
      <c r="N65" s="1151"/>
      <c r="O65" s="1151"/>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50"/>
      <c r="O66" s="1150"/>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8"/>
      <c r="Q68" s="502"/>
    </row>
    <row r="69" spans="1:17" ht="15">
      <c r="A69" s="532"/>
      <c r="B69" s="546"/>
      <c r="C69" s="547"/>
      <c r="D69" s="547"/>
      <c r="E69" s="547"/>
      <c r="F69" s="547"/>
      <c r="G69" s="547"/>
      <c r="H69" s="547"/>
      <c r="I69" s="547"/>
      <c r="J69" s="547"/>
      <c r="K69" s="548"/>
      <c r="L69" s="549"/>
      <c r="M69" s="550"/>
      <c r="N69" s="1150"/>
      <c r="O69" s="1150"/>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8"/>
      <c r="Q70" s="502"/>
    </row>
    <row r="71" spans="1:17" s="469" customFormat="1" ht="15.75" thickTop="1">
      <c r="A71" s="551"/>
      <c r="B71" s="536">
        <f>B12</f>
        <v>111</v>
      </c>
      <c r="C71" s="552"/>
      <c r="D71" s="552"/>
      <c r="E71" s="552"/>
      <c r="F71" s="552"/>
      <c r="G71" s="552"/>
      <c r="H71" s="553"/>
      <c r="I71" s="553"/>
      <c r="J71" s="553"/>
      <c r="K71" s="553"/>
      <c r="L71" s="554"/>
      <c r="M71" s="555"/>
      <c r="N71" s="1152"/>
      <c r="O71" s="1152"/>
      <c r="P71" s="2679"/>
      <c r="Q71" s="557"/>
    </row>
    <row r="72" spans="1:17" s="469" customFormat="1" ht="15.75" thickBot="1">
      <c r="A72" s="551"/>
      <c r="B72" s="541"/>
      <c r="C72" s="558"/>
      <c r="D72" s="534"/>
      <c r="E72" s="534"/>
      <c r="F72" s="534"/>
      <c r="G72" s="534"/>
      <c r="H72" s="534"/>
      <c r="I72" s="534"/>
      <c r="J72" s="534"/>
      <c r="K72" s="534"/>
      <c r="L72" s="534"/>
      <c r="M72" s="535"/>
      <c r="N72" s="1151"/>
      <c r="O72" s="1151"/>
      <c r="P72" s="2679"/>
      <c r="Q72" s="557"/>
    </row>
    <row r="73" spans="1:17" s="469" customFormat="1" ht="15.75" thickTop="1">
      <c r="A73" s="551"/>
      <c r="B73" s="536">
        <f>B13</f>
        <v>111</v>
      </c>
      <c r="C73" s="552"/>
      <c r="D73" s="552"/>
      <c r="E73" s="552"/>
      <c r="F73" s="552"/>
      <c r="G73" s="552"/>
      <c r="H73" s="553"/>
      <c r="I73" s="553"/>
      <c r="J73" s="553"/>
      <c r="K73" s="553"/>
      <c r="L73" s="554"/>
      <c r="M73" s="555"/>
      <c r="N73" s="1152"/>
      <c r="O73" s="1152"/>
      <c r="P73" s="2680"/>
      <c r="Q73" s="559"/>
    </row>
    <row r="74" spans="1:17" s="469" customFormat="1" ht="15.75" thickBot="1">
      <c r="A74" s="551"/>
      <c r="B74" s="541"/>
      <c r="C74" s="558"/>
      <c r="D74" s="558"/>
      <c r="E74" s="558"/>
      <c r="F74" s="558"/>
      <c r="G74" s="558"/>
      <c r="H74" s="560"/>
      <c r="I74" s="560"/>
      <c r="J74" s="560"/>
      <c r="K74" s="560"/>
      <c r="L74" s="560"/>
      <c r="M74" s="561"/>
      <c r="N74" s="1152"/>
      <c r="O74" s="1152"/>
      <c r="P74" s="2679"/>
      <c r="Q74" s="557"/>
    </row>
    <row r="75" spans="1:17" s="469" customFormat="1" ht="15.75" thickTop="1">
      <c r="A75" s="551"/>
      <c r="B75" s="544">
        <f>B14</f>
        <v>111</v>
      </c>
      <c r="C75" s="521"/>
      <c r="D75" s="521"/>
      <c r="E75" s="521"/>
      <c r="F75" s="521"/>
      <c r="G75" s="521"/>
      <c r="H75" s="562"/>
      <c r="I75" s="562"/>
      <c r="J75" s="562"/>
      <c r="K75" s="562"/>
      <c r="L75" s="563"/>
      <c r="M75" s="564"/>
      <c r="N75" s="1152"/>
      <c r="O75" s="1152"/>
      <c r="P75" s="2681"/>
      <c r="Q75" s="557"/>
    </row>
    <row r="76" spans="1:17" s="469" customFormat="1" ht="15.75" thickBot="1">
      <c r="A76" s="566"/>
      <c r="B76" s="567"/>
      <c r="C76" s="568"/>
      <c r="D76" s="568"/>
      <c r="E76" s="568"/>
      <c r="F76" s="568"/>
      <c r="G76" s="568"/>
      <c r="H76" s="569"/>
      <c r="I76" s="569"/>
      <c r="J76" s="569"/>
      <c r="K76" s="569"/>
      <c r="L76" s="569"/>
      <c r="M76" s="570"/>
      <c r="N76" s="1152"/>
      <c r="O76" s="1152"/>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50"/>
      <c r="O77" s="1150"/>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50"/>
      <c r="O79" s="1150"/>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50"/>
      <c r="O81" s="1150"/>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80"/>
      <c r="N83" s="1151"/>
      <c r="O83" s="1151"/>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50"/>
      <c r="O85" s="1150"/>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8"/>
      <c r="Q86" s="502"/>
    </row>
    <row r="87" spans="1:17" s="115" customFormat="1" ht="27.75" thickTop="1">
      <c r="A87" s="577"/>
      <c r="B87" s="536" t="s">
        <v>2693</v>
      </c>
      <c r="C87" s="552"/>
      <c r="D87" s="552"/>
      <c r="E87" s="552"/>
      <c r="F87" s="552"/>
      <c r="G87" s="552"/>
      <c r="H87" s="552"/>
      <c r="I87" s="552"/>
      <c r="J87" s="552"/>
      <c r="K87" s="552"/>
      <c r="L87" s="578"/>
      <c r="M87" s="579"/>
      <c r="N87" s="1149"/>
      <c r="O87" s="1149"/>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8"/>
      <c r="Q88" s="502"/>
    </row>
    <row r="89" spans="1:17" s="115" customFormat="1" ht="15.75" thickTop="1">
      <c r="A89" s="577"/>
      <c r="B89" s="536" t="str">
        <f>B27</f>
        <v>楼层</v>
      </c>
      <c r="C89" s="552"/>
      <c r="D89" s="552"/>
      <c r="E89" s="552"/>
      <c r="F89" s="2629"/>
      <c r="G89" s="552"/>
      <c r="H89" s="552"/>
      <c r="I89" s="552"/>
      <c r="J89" s="552"/>
      <c r="K89" s="552"/>
      <c r="L89" s="552"/>
      <c r="M89" s="579"/>
      <c r="N89" s="1149"/>
      <c r="O89" s="1149"/>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9"/>
      <c r="Q92" s="557"/>
    </row>
    <row r="93" spans="1:17" ht="15.75" thickTop="1">
      <c r="A93" s="532"/>
      <c r="B93" s="536">
        <f>B29</f>
        <v>111</v>
      </c>
      <c r="C93" s="552"/>
      <c r="D93" s="552"/>
      <c r="E93" s="552"/>
      <c r="F93" s="552"/>
      <c r="G93" s="552"/>
      <c r="H93" s="552"/>
      <c r="I93" s="552"/>
      <c r="J93" s="552"/>
      <c r="K93" s="552"/>
      <c r="L93" s="578"/>
      <c r="M93" s="579"/>
      <c r="N93" s="1150"/>
      <c r="O93" s="1150"/>
      <c r="P93" s="2678"/>
      <c r="Q93" s="502"/>
    </row>
    <row r="94" spans="1:17" ht="15.75" thickBot="1">
      <c r="A94" s="532"/>
      <c r="B94" s="541"/>
      <c r="C94" s="558"/>
      <c r="D94" s="534"/>
      <c r="E94" s="534"/>
      <c r="F94" s="534"/>
      <c r="G94" s="534"/>
      <c r="H94" s="534"/>
      <c r="I94" s="534"/>
      <c r="J94" s="534"/>
      <c r="K94" s="534"/>
      <c r="L94" s="534"/>
      <c r="M94" s="535"/>
      <c r="N94" s="1151"/>
      <c r="O94" s="1151"/>
      <c r="P94" s="2678"/>
      <c r="Q94" s="502"/>
    </row>
    <row r="95" spans="1:17" ht="15.75" thickTop="1">
      <c r="A95" s="532"/>
      <c r="B95" s="536">
        <f>B30</f>
        <v>111</v>
      </c>
      <c r="C95" s="552"/>
      <c r="D95" s="552"/>
      <c r="E95" s="552"/>
      <c r="F95" s="552"/>
      <c r="G95" s="581"/>
      <c r="H95" s="581"/>
      <c r="I95" s="581"/>
      <c r="J95" s="581"/>
      <c r="K95" s="582"/>
      <c r="L95" s="583"/>
      <c r="M95" s="584"/>
      <c r="N95" s="1150"/>
      <c r="O95" s="1150"/>
      <c r="P95" s="2678"/>
      <c r="Q95" s="502"/>
    </row>
    <row r="96" spans="1:17" ht="15.75" thickBot="1">
      <c r="A96" s="532"/>
      <c r="B96" s="541"/>
      <c r="C96" s="558"/>
      <c r="D96" s="558"/>
      <c r="E96" s="558"/>
      <c r="F96" s="558"/>
      <c r="G96" s="534"/>
      <c r="H96" s="534"/>
      <c r="I96" s="534"/>
      <c r="J96" s="534"/>
      <c r="K96" s="534"/>
      <c r="L96" s="534"/>
      <c r="M96" s="535"/>
      <c r="N96" s="1151"/>
      <c r="O96" s="1151"/>
      <c r="P96" s="2678"/>
      <c r="Q96" s="502"/>
    </row>
    <row r="97" spans="1:17" ht="15.75" thickTop="1">
      <c r="A97" s="532"/>
      <c r="B97" s="536">
        <f>B31</f>
        <v>111</v>
      </c>
      <c r="C97" s="552"/>
      <c r="D97" s="552"/>
      <c r="E97" s="552"/>
      <c r="F97" s="552"/>
      <c r="G97" s="581"/>
      <c r="H97" s="581"/>
      <c r="I97" s="581"/>
      <c r="J97" s="581"/>
      <c r="K97" s="582"/>
      <c r="L97" s="583"/>
      <c r="M97" s="584"/>
      <c r="N97" s="1150"/>
      <c r="O97" s="1150"/>
      <c r="P97" s="2678"/>
      <c r="Q97" s="502"/>
    </row>
    <row r="98" spans="1:17" ht="15.75" thickBot="1">
      <c r="A98" s="532"/>
      <c r="B98" s="541"/>
      <c r="C98" s="558"/>
      <c r="D98" s="534"/>
      <c r="E98" s="534"/>
      <c r="F98" s="534"/>
      <c r="G98" s="534"/>
      <c r="H98" s="534"/>
      <c r="I98" s="534"/>
      <c r="J98" s="534"/>
      <c r="K98" s="534"/>
      <c r="L98" s="534"/>
      <c r="M98" s="535"/>
      <c r="N98" s="1151"/>
      <c r="O98" s="1151"/>
      <c r="P98" s="2678"/>
      <c r="Q98" s="502"/>
    </row>
    <row r="99" spans="1:17" ht="15.75" thickTop="1">
      <c r="A99" s="532"/>
      <c r="B99" s="544">
        <f>B32</f>
        <v>111</v>
      </c>
      <c r="C99" s="521"/>
      <c r="D99" s="521"/>
      <c r="E99" s="521"/>
      <c r="F99" s="521"/>
      <c r="G99" s="585"/>
      <c r="H99" s="585"/>
      <c r="I99" s="585"/>
      <c r="J99" s="585"/>
      <c r="K99" s="586"/>
      <c r="L99" s="587"/>
      <c r="M99" s="588"/>
      <c r="N99" s="1150"/>
      <c r="O99" s="1150"/>
      <c r="P99" s="2678"/>
      <c r="Q99" s="502"/>
    </row>
    <row r="100" spans="1:17" ht="15.75" thickBot="1">
      <c r="A100" s="2630"/>
      <c r="B100" s="567"/>
      <c r="C100" s="568"/>
      <c r="D100" s="568"/>
      <c r="E100" s="568"/>
      <c r="F100" s="568"/>
      <c r="G100" s="589"/>
      <c r="H100" s="589"/>
      <c r="I100" s="589"/>
      <c r="J100" s="589"/>
      <c r="K100" s="589"/>
      <c r="L100" s="589"/>
      <c r="M100" s="590"/>
      <c r="N100" s="1151"/>
      <c r="O100" s="1151"/>
      <c r="P100" s="2678"/>
      <c r="Q100" s="502"/>
    </row>
    <row r="101" spans="1:17">
      <c r="A101" s="525" t="s">
        <v>2557</v>
      </c>
      <c r="B101" s="526" t="s">
        <v>2606</v>
      </c>
      <c r="C101" s="528"/>
      <c r="D101" s="528"/>
      <c r="E101" s="528"/>
      <c r="F101" s="528"/>
      <c r="G101" s="528"/>
      <c r="H101" s="528"/>
      <c r="I101" s="528"/>
      <c r="J101" s="528"/>
      <c r="K101" s="529"/>
      <c r="L101" s="530"/>
      <c r="M101" s="531"/>
      <c r="N101" s="1150"/>
      <c r="O101" s="1150"/>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8"/>
      <c r="Q103" s="502"/>
    </row>
    <row r="104" spans="1:17" s="469" customFormat="1">
      <c r="A104" s="591"/>
      <c r="B104" s="592"/>
      <c r="C104" s="593"/>
      <c r="D104" s="593"/>
      <c r="E104" s="593"/>
      <c r="F104" s="593"/>
      <c r="G104" s="593"/>
      <c r="H104" s="593"/>
      <c r="I104" s="593"/>
      <c r="J104" s="594"/>
      <c r="K104" s="594"/>
      <c r="L104" s="595"/>
      <c r="M104" s="596"/>
      <c r="N104" s="1152"/>
      <c r="O104" s="1152"/>
      <c r="P104" s="2679"/>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9"/>
      <c r="Q105" s="557"/>
    </row>
    <row r="106" spans="1:17" ht="15" thickTop="1">
      <c r="A106" s="597"/>
      <c r="B106" s="536" t="s">
        <v>2608</v>
      </c>
      <c r="C106" s="552"/>
      <c r="D106" s="552"/>
      <c r="E106" s="581"/>
      <c r="F106" s="581"/>
      <c r="G106" s="581"/>
      <c r="H106" s="581"/>
      <c r="I106" s="581"/>
      <c r="J106" s="581"/>
      <c r="K106" s="582"/>
      <c r="L106" s="583"/>
      <c r="M106" s="584"/>
      <c r="N106" s="1150"/>
      <c r="O106" s="1150"/>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8"/>
      <c r="Q107" s="502"/>
    </row>
    <row r="108" spans="1:17" ht="15" thickTop="1">
      <c r="A108" s="597"/>
      <c r="B108" s="536" t="s">
        <v>2610</v>
      </c>
      <c r="C108" s="552"/>
      <c r="D108" s="552"/>
      <c r="E108" s="552"/>
      <c r="F108" s="581"/>
      <c r="G108" s="581"/>
      <c r="H108" s="581"/>
      <c r="I108" s="581"/>
      <c r="J108" s="581"/>
      <c r="K108" s="582"/>
      <c r="L108" s="583"/>
      <c r="M108" s="584"/>
      <c r="N108" s="1150"/>
      <c r="O108" s="1150"/>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8"/>
      <c r="Q112" s="502"/>
    </row>
    <row r="113" spans="1:17" s="469" customFormat="1" ht="15" thickTop="1">
      <c r="A113" s="591"/>
      <c r="B113" s="536" t="s">
        <v>2694</v>
      </c>
      <c r="C113" s="552"/>
      <c r="D113" s="552"/>
      <c r="E113" s="552"/>
      <c r="F113" s="552"/>
      <c r="G113" s="552"/>
      <c r="H113" s="581"/>
      <c r="I113" s="581"/>
      <c r="J113" s="581"/>
      <c r="K113" s="582"/>
      <c r="L113" s="583"/>
      <c r="M113" s="584"/>
      <c r="N113" s="1152"/>
      <c r="O113" s="1152"/>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9"/>
      <c r="Q114" s="557"/>
    </row>
    <row r="115" spans="1:17" ht="15" thickTop="1">
      <c r="A115" s="597"/>
      <c r="B115" s="536" t="s">
        <v>2611</v>
      </c>
      <c r="C115" s="552"/>
      <c r="D115" s="552"/>
      <c r="E115" s="581"/>
      <c r="F115" s="581"/>
      <c r="G115" s="581"/>
      <c r="H115" s="581"/>
      <c r="I115" s="581"/>
      <c r="J115" s="581"/>
      <c r="K115" s="582"/>
      <c r="L115" s="583"/>
      <c r="M115" s="584"/>
      <c r="N115" s="1150"/>
      <c r="O115" s="1150"/>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8"/>
      <c r="Q116" s="502"/>
    </row>
    <row r="117" spans="1:17" ht="15" thickTop="1">
      <c r="A117" s="597"/>
      <c r="B117" s="536" t="s">
        <v>2612</v>
      </c>
      <c r="C117" s="552"/>
      <c r="D117" s="552"/>
      <c r="E117" s="552"/>
      <c r="F117" s="552"/>
      <c r="G117" s="552"/>
      <c r="H117" s="581"/>
      <c r="I117" s="581"/>
      <c r="J117" s="581"/>
      <c r="K117" s="582"/>
      <c r="L117" s="583"/>
      <c r="M117" s="584"/>
      <c r="N117" s="1150"/>
      <c r="O117" s="1150"/>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8"/>
      <c r="Q118" s="502"/>
    </row>
    <row r="119" spans="1:17" ht="15" thickTop="1">
      <c r="A119" s="597"/>
      <c r="B119" s="634" t="s">
        <v>2695</v>
      </c>
      <c r="C119" s="581"/>
      <c r="D119" s="581"/>
      <c r="E119" s="581"/>
      <c r="F119" s="581"/>
      <c r="G119" s="581"/>
      <c r="H119" s="581"/>
      <c r="I119" s="581"/>
      <c r="J119" s="581"/>
      <c r="K119" s="581"/>
      <c r="L119" s="2683"/>
      <c r="M119" s="2684"/>
      <c r="N119" s="1151"/>
      <c r="O119" s="1151"/>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8"/>
      <c r="Q120" s="502"/>
    </row>
    <row r="121" spans="1:17" s="469" customFormat="1" ht="15" thickTop="1">
      <c r="A121" s="591"/>
      <c r="B121" s="536" t="s">
        <v>2678</v>
      </c>
      <c r="C121" s="552"/>
      <c r="D121" s="552"/>
      <c r="E121" s="552"/>
      <c r="F121" s="581"/>
      <c r="G121" s="553"/>
      <c r="H121" s="553"/>
      <c r="I121" s="553"/>
      <c r="J121" s="553"/>
      <c r="K121" s="553"/>
      <c r="L121" s="554"/>
      <c r="M121" s="555"/>
      <c r="N121" s="1152"/>
      <c r="O121" s="1152"/>
      <c r="P121" s="2679"/>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9"/>
      <c r="Q122" s="557"/>
    </row>
    <row r="123" spans="1:17" ht="15" thickTop="1">
      <c r="A123" s="597"/>
      <c r="B123" s="536" t="s">
        <v>2614</v>
      </c>
      <c r="C123" s="552"/>
      <c r="D123" s="552"/>
      <c r="E123" s="552"/>
      <c r="F123" s="581"/>
      <c r="G123" s="581"/>
      <c r="H123" s="581"/>
      <c r="I123" s="581"/>
      <c r="J123" s="581"/>
      <c r="K123" s="582"/>
      <c r="L123" s="583"/>
      <c r="M123" s="584"/>
      <c r="N123" s="1150"/>
      <c r="O123" s="1150"/>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50"/>
      <c r="O125" s="1150"/>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9"/>
      <c r="Q128" s="557"/>
    </row>
    <row r="129" spans="1:17" ht="15" thickTop="1">
      <c r="A129" s="597"/>
      <c r="B129" s="536">
        <f>B46</f>
        <v>111</v>
      </c>
      <c r="C129" s="552"/>
      <c r="D129" s="552"/>
      <c r="E129" s="552"/>
      <c r="F129" s="552"/>
      <c r="G129" s="581"/>
      <c r="H129" s="581"/>
      <c r="I129" s="581"/>
      <c r="J129" s="581"/>
      <c r="K129" s="582"/>
      <c r="L129" s="583"/>
      <c r="M129" s="584"/>
      <c r="N129" s="1150"/>
      <c r="O129" s="1150"/>
      <c r="P129" s="2678"/>
      <c r="Q129" s="502"/>
    </row>
    <row r="130" spans="1:17" ht="15.75" thickBot="1">
      <c r="A130" s="532"/>
      <c r="B130" s="541"/>
      <c r="C130" s="558"/>
      <c r="D130" s="558"/>
      <c r="E130" s="558"/>
      <c r="F130" s="558"/>
      <c r="G130" s="534"/>
      <c r="H130" s="534"/>
      <c r="I130" s="534"/>
      <c r="J130" s="534"/>
      <c r="K130" s="534"/>
      <c r="L130" s="534"/>
      <c r="M130" s="535"/>
      <c r="N130" s="1151"/>
      <c r="O130" s="1151"/>
      <c r="P130" s="2678"/>
      <c r="Q130" s="502"/>
    </row>
    <row r="131" spans="1:17" ht="15" thickTop="1">
      <c r="A131" s="597"/>
      <c r="B131" s="544">
        <f>B47</f>
        <v>111</v>
      </c>
      <c r="C131" s="521"/>
      <c r="D131" s="521"/>
      <c r="E131" s="521"/>
      <c r="F131" s="521"/>
      <c r="G131" s="585"/>
      <c r="H131" s="585"/>
      <c r="I131" s="585"/>
      <c r="J131" s="585"/>
      <c r="K131" s="521"/>
      <c r="L131" s="522"/>
      <c r="M131" s="588"/>
      <c r="N131" s="1150"/>
      <c r="O131" s="1150"/>
      <c r="P131" s="2678"/>
      <c r="Q131" s="502"/>
    </row>
    <row r="132" spans="1:17" ht="15.75" thickBot="1">
      <c r="A132" s="2630"/>
      <c r="B132" s="567"/>
      <c r="C132" s="568"/>
      <c r="D132" s="568"/>
      <c r="E132" s="568"/>
      <c r="F132" s="568"/>
      <c r="G132" s="589"/>
      <c r="H132" s="589"/>
      <c r="I132" s="589"/>
      <c r="J132" s="589"/>
      <c r="K132" s="589"/>
      <c r="L132" s="589"/>
      <c r="M132" s="590"/>
      <c r="N132" s="1151"/>
      <c r="O132" s="1151"/>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2696</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IF(C2="——",ROUND(C43*D3/10000,0),ROUND(C43*D3/10000,0)-D2)</f>
        <v>#DIV/0!</v>
      </c>
      <c r="C2" s="2580"/>
      <c r="D2" s="1122"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2638</v>
      </c>
      <c r="D3" s="397">
        <f>IF(D1="",'数据-汇总表'!E3,SUMIF('数据-汇总表'!$C19:$C33,D1,'数据-汇总表'!$E19:$E33))</f>
        <v>50691.57</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275" t="s">
        <v>2642</v>
      </c>
      <c r="AC4" s="3274" t="s">
        <v>2643</v>
      </c>
    </row>
    <row r="5" spans="1:29" ht="15">
      <c r="A5" s="402"/>
      <c r="B5" s="403"/>
      <c r="C5" s="3285" t="s">
        <v>2536</v>
      </c>
      <c r="D5" s="3286"/>
      <c r="E5" s="3369" t="s">
        <v>2537</v>
      </c>
      <c r="F5" s="3284"/>
      <c r="G5" s="3285" t="s">
        <v>2538</v>
      </c>
      <c r="H5" s="3286"/>
      <c r="I5" s="3285" t="s">
        <v>2539</v>
      </c>
      <c r="J5" s="3286"/>
      <c r="K5" s="608"/>
      <c r="L5" s="1128"/>
      <c r="M5" s="1129"/>
      <c r="N5" s="1129"/>
      <c r="O5" s="1129"/>
      <c r="P5" s="3300"/>
      <c r="Q5" s="3301"/>
      <c r="R5" s="3281"/>
      <c r="S5" s="3282"/>
      <c r="T5" s="3281"/>
      <c r="U5" s="3282"/>
      <c r="V5" s="3306"/>
      <c r="W5" s="3306"/>
      <c r="X5" s="1811"/>
      <c r="Y5" s="3281"/>
      <c r="Z5" s="3282"/>
      <c r="AA5" s="3275"/>
      <c r="AB5" s="3275"/>
      <c r="AC5" s="3275"/>
    </row>
    <row r="6" spans="1:29" ht="15.75" thickBot="1">
      <c r="A6" s="404"/>
      <c r="B6" s="405"/>
      <c r="C6" s="3287" t="s">
        <v>2540</v>
      </c>
      <c r="D6" s="3288"/>
      <c r="E6" s="3370" t="s">
        <v>2540</v>
      </c>
      <c r="F6" s="3291"/>
      <c r="G6" s="3287" t="s">
        <v>2540</v>
      </c>
      <c r="H6" s="3288"/>
      <c r="I6" s="3287" t="s">
        <v>2540</v>
      </c>
      <c r="J6" s="3288"/>
      <c r="K6" s="608" t="s">
        <v>2541</v>
      </c>
      <c r="L6" s="1128"/>
      <c r="M6" s="1129"/>
      <c r="N6" s="1129"/>
      <c r="O6" s="1129"/>
      <c r="P6" s="3302"/>
      <c r="Q6" s="3303"/>
      <c r="R6" s="3281"/>
      <c r="S6" s="3282"/>
      <c r="T6" s="3304"/>
      <c r="U6" s="3305"/>
      <c r="V6" s="3306"/>
      <c r="W6" s="3306"/>
      <c r="X6" s="1811"/>
      <c r="Y6" s="3304"/>
      <c r="Z6" s="3305"/>
      <c r="AA6" s="3276"/>
      <c r="AB6" s="3276"/>
      <c r="AC6" s="3276"/>
    </row>
    <row r="7" spans="1:29" s="115" customFormat="1" ht="15.75" thickBot="1">
      <c r="A7" s="406" t="s">
        <v>2542</v>
      </c>
      <c r="B7" s="407"/>
      <c r="C7" s="408">
        <f>'数据-取费表'!B2</f>
        <v>43202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77" t="s">
        <v>2543</v>
      </c>
      <c r="Q7" s="3307"/>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0" si="3">D8/F8</f>
        <v>#DIV/0!</v>
      </c>
      <c r="AB8" s="771" t="e">
        <f t="shared" ref="AB8:AB40" si="4">D8/H8</f>
        <v>#DIV/0!</v>
      </c>
      <c r="AC8" s="771" t="e">
        <f t="shared" ref="AC8:AC40" si="5">D8/J8</f>
        <v>#DIV/0!</v>
      </c>
    </row>
    <row r="9" spans="1:29" s="115"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93"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93"/>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93"/>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30"/>
      <c r="M12" s="1131"/>
      <c r="N12" s="1131"/>
      <c r="O12" s="1132"/>
      <c r="P12" s="3293"/>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8"/>
      <c r="M13" s="1129"/>
      <c r="N13" s="1129"/>
      <c r="O13" s="1137"/>
      <c r="P13" s="3293"/>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8"/>
      <c r="M14" s="1129"/>
      <c r="N14" s="1129"/>
      <c r="O14" s="1137"/>
      <c r="P14" s="3293"/>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9" t="s">
        <v>2697</v>
      </c>
      <c r="C15" s="268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308" t="s">
        <v>2554</v>
      </c>
      <c r="Q15" s="1808" t="str">
        <f t="shared" si="6"/>
        <v>产业集聚程度</v>
      </c>
      <c r="R15" s="772" t="s">
        <v>17</v>
      </c>
      <c r="S15" s="773">
        <f t="shared" si="0"/>
        <v>100</v>
      </c>
      <c r="T15" s="772" t="s">
        <v>17</v>
      </c>
      <c r="U15" s="773">
        <f t="shared" si="1"/>
        <v>100</v>
      </c>
      <c r="V15" s="772" t="s">
        <v>17</v>
      </c>
      <c r="W15" s="773">
        <f t="shared" si="2"/>
        <v>100</v>
      </c>
      <c r="X15" s="1811"/>
      <c r="Y15" s="3308" t="s">
        <v>2554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309"/>
      <c r="Q16" s="1808"/>
      <c r="R16" s="772"/>
      <c r="S16" s="773"/>
      <c r="T16" s="772"/>
      <c r="U16" s="773"/>
      <c r="V16" s="772"/>
      <c r="W16" s="773"/>
      <c r="X16" s="1811"/>
      <c r="Y16" s="3309"/>
      <c r="Z16" s="1812"/>
      <c r="AA16" s="1809">
        <v>1</v>
      </c>
      <c r="AB16" s="1809">
        <v>1</v>
      </c>
      <c r="AC16" s="1809">
        <v>1</v>
      </c>
    </row>
    <row r="17" spans="1:29" ht="15">
      <c r="A17" s="426"/>
      <c r="B17" s="449" t="s">
        <v>2093</v>
      </c>
      <c r="C17" s="260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309"/>
      <c r="Q17" s="1808" t="str">
        <f>B17</f>
        <v>交通便捷度</v>
      </c>
      <c r="R17" s="772" t="s">
        <v>17</v>
      </c>
      <c r="S17" s="773">
        <f>F17</f>
        <v>100</v>
      </c>
      <c r="T17" s="772" t="s">
        <v>17</v>
      </c>
      <c r="U17" s="773">
        <f>H17</f>
        <v>100</v>
      </c>
      <c r="V17" s="772" t="s">
        <v>17</v>
      </c>
      <c r="W17" s="773">
        <f>J17</f>
        <v>100</v>
      </c>
      <c r="X17" s="1811"/>
      <c r="Y17" s="3309"/>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37"/>
      <c r="P18" s="3309"/>
      <c r="Q18" s="1808"/>
      <c r="R18" s="772"/>
      <c r="S18" s="773"/>
      <c r="T18" s="772"/>
      <c r="U18" s="773"/>
      <c r="V18" s="772"/>
      <c r="W18" s="773"/>
      <c r="X18" s="1811"/>
      <c r="Y18" s="3309"/>
      <c r="Z18" s="1812"/>
      <c r="AA18" s="1809">
        <v>1</v>
      </c>
      <c r="AB18" s="1809">
        <v>1</v>
      </c>
      <c r="AC18" s="1809">
        <v>1</v>
      </c>
    </row>
    <row r="19" spans="1:29" ht="15">
      <c r="A19" s="426"/>
      <c r="B19" s="449" t="s">
        <v>2682</v>
      </c>
      <c r="C19" s="260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309"/>
      <c r="Q19" s="1808" t="str">
        <f>B19</f>
        <v>公共配套设施</v>
      </c>
      <c r="R19" s="772" t="s">
        <v>17</v>
      </c>
      <c r="S19" s="773">
        <f>F19</f>
        <v>100</v>
      </c>
      <c r="T19" s="772" t="s">
        <v>17</v>
      </c>
      <c r="U19" s="773">
        <f>H19</f>
        <v>100</v>
      </c>
      <c r="V19" s="772" t="s">
        <v>17</v>
      </c>
      <c r="W19" s="773">
        <f>J19</f>
        <v>100</v>
      </c>
      <c r="X19" s="1811"/>
      <c r="Y19" s="3309"/>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37"/>
      <c r="P20" s="3309"/>
      <c r="Q20" s="1808"/>
      <c r="R20" s="772"/>
      <c r="S20" s="773"/>
      <c r="T20" s="772"/>
      <c r="U20" s="773"/>
      <c r="V20" s="772"/>
      <c r="W20" s="773"/>
      <c r="X20" s="1811"/>
      <c r="Y20" s="3309"/>
      <c r="Z20" s="1812"/>
      <c r="AA20" s="1809">
        <v>1</v>
      </c>
      <c r="AB20" s="1809">
        <v>1</v>
      </c>
      <c r="AC20" s="1809">
        <v>1</v>
      </c>
    </row>
    <row r="21" spans="1:29" ht="15">
      <c r="A21" s="426"/>
      <c r="B21" s="1382" t="s">
        <v>2683</v>
      </c>
      <c r="C21" s="260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309"/>
      <c r="Q21" s="1808" t="str">
        <f>B21</f>
        <v>基础设施水平</v>
      </c>
      <c r="R21" s="772" t="s">
        <v>17</v>
      </c>
      <c r="S21" s="773">
        <f>F21</f>
        <v>100</v>
      </c>
      <c r="T21" s="772" t="s">
        <v>17</v>
      </c>
      <c r="U21" s="773">
        <f>H21</f>
        <v>100</v>
      </c>
      <c r="V21" s="772" t="s">
        <v>17</v>
      </c>
      <c r="W21" s="773">
        <f>J21</f>
        <v>100</v>
      </c>
      <c r="X21" s="1811"/>
      <c r="Y21" s="3309"/>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37"/>
      <c r="P22" s="3309"/>
      <c r="Q22" s="1808"/>
      <c r="R22" s="772"/>
      <c r="S22" s="773"/>
      <c r="T22" s="772"/>
      <c r="U22" s="773"/>
      <c r="V22" s="772"/>
      <c r="W22" s="773"/>
      <c r="X22" s="1811"/>
      <c r="Y22" s="3309"/>
      <c r="Z22" s="1812"/>
      <c r="AA22" s="1809">
        <v>1</v>
      </c>
      <c r="AB22" s="1809">
        <v>1</v>
      </c>
      <c r="AC22" s="1809">
        <v>1</v>
      </c>
    </row>
    <row r="23" spans="1:29" ht="15">
      <c r="A23" s="426"/>
      <c r="B23" s="449" t="s">
        <v>2684</v>
      </c>
      <c r="C23" s="260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309"/>
      <c r="Q23" s="1808" t="str">
        <f>B23</f>
        <v>环境质量</v>
      </c>
      <c r="R23" s="772" t="s">
        <v>17</v>
      </c>
      <c r="S23" s="773">
        <f>F23</f>
        <v>100</v>
      </c>
      <c r="T23" s="772" t="s">
        <v>17</v>
      </c>
      <c r="U23" s="773">
        <f>H23</f>
        <v>100</v>
      </c>
      <c r="V23" s="772" t="s">
        <v>17</v>
      </c>
      <c r="W23" s="773">
        <f>J23</f>
        <v>100</v>
      </c>
      <c r="X23" s="1811"/>
      <c r="Y23" s="3309"/>
      <c r="Z23" s="1812" t="str">
        <f>Q23</f>
        <v>环境质量</v>
      </c>
      <c r="AA23" s="1809">
        <f t="shared" si="3"/>
        <v>1</v>
      </c>
      <c r="AB23" s="1809">
        <f t="shared" si="4"/>
        <v>1</v>
      </c>
      <c r="AC23" s="1809">
        <f t="shared" si="5"/>
        <v>1</v>
      </c>
    </row>
    <row r="24" spans="1:29" ht="15">
      <c r="A24" s="426"/>
      <c r="B24" s="1382"/>
      <c r="C24" s="445"/>
      <c r="D24" s="446"/>
      <c r="E24" s="2599"/>
      <c r="F24" s="447"/>
      <c r="G24" s="2598"/>
      <c r="H24" s="446"/>
      <c r="I24" s="2599"/>
      <c r="J24" s="446"/>
      <c r="K24" s="613"/>
      <c r="L24" s="1138"/>
      <c r="M24" s="1129"/>
      <c r="N24" s="1129"/>
      <c r="O24" s="1137"/>
      <c r="P24" s="3309"/>
      <c r="Q24" s="1808"/>
      <c r="R24" s="772"/>
      <c r="S24" s="773"/>
      <c r="T24" s="772"/>
      <c r="U24" s="773"/>
      <c r="V24" s="772"/>
      <c r="W24" s="773"/>
      <c r="X24" s="1811"/>
      <c r="Y24" s="3309"/>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309"/>
      <c r="Q25" s="1808">
        <f>B25</f>
        <v>111</v>
      </c>
      <c r="R25" s="772" t="s">
        <v>17</v>
      </c>
      <c r="S25" s="773">
        <f>F25</f>
        <v>100</v>
      </c>
      <c r="T25" s="772" t="s">
        <v>17</v>
      </c>
      <c r="U25" s="773">
        <f>H25</f>
        <v>100</v>
      </c>
      <c r="V25" s="772" t="s">
        <v>17</v>
      </c>
      <c r="W25" s="773">
        <f>J25</f>
        <v>100</v>
      </c>
      <c r="X25" s="1811"/>
      <c r="Y25" s="3309"/>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309"/>
      <c r="Q26" s="1808">
        <f t="shared" ref="Q26:Q40" si="11">B26</f>
        <v>111</v>
      </c>
      <c r="R26" s="772" t="s">
        <v>17</v>
      </c>
      <c r="S26" s="773">
        <f>F26</f>
        <v>100</v>
      </c>
      <c r="T26" s="772" t="s">
        <v>17</v>
      </c>
      <c r="U26" s="773">
        <f>H26</f>
        <v>100</v>
      </c>
      <c r="V26" s="772" t="s">
        <v>17</v>
      </c>
      <c r="W26" s="773">
        <f>J26</f>
        <v>100</v>
      </c>
      <c r="X26" s="1811"/>
      <c r="Y26" s="3309"/>
      <c r="Z26" s="1812">
        <f>Q26</f>
        <v>111</v>
      </c>
      <c r="AA26" s="1809">
        <f t="shared" si="3"/>
        <v>1</v>
      </c>
      <c r="AB26" s="1809">
        <f t="shared" si="4"/>
        <v>1</v>
      </c>
      <c r="AC26" s="1809">
        <f t="shared" si="5"/>
        <v>1</v>
      </c>
    </row>
    <row r="27" spans="1:29" s="115"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309"/>
      <c r="Q27" s="1793">
        <f t="shared" si="11"/>
        <v>111</v>
      </c>
      <c r="R27" s="768" t="s">
        <v>17</v>
      </c>
      <c r="S27" s="769">
        <f>F27</f>
        <v>100</v>
      </c>
      <c r="T27" s="768" t="s">
        <v>17</v>
      </c>
      <c r="U27" s="769">
        <f>H27</f>
        <v>100</v>
      </c>
      <c r="V27" s="768" t="s">
        <v>17</v>
      </c>
      <c r="W27" s="769">
        <f>J27</f>
        <v>100</v>
      </c>
      <c r="X27" s="770"/>
      <c r="Y27" s="3309"/>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309"/>
      <c r="Q28" s="1808">
        <f t="shared" si="11"/>
        <v>111</v>
      </c>
      <c r="R28" s="772" t="s">
        <v>17</v>
      </c>
      <c r="S28" s="773">
        <f t="shared" ref="S28:S40" si="12">F28</f>
        <v>100</v>
      </c>
      <c r="T28" s="772" t="s">
        <v>17</v>
      </c>
      <c r="U28" s="773">
        <f t="shared" ref="U28:U40" si="13">H28</f>
        <v>100</v>
      </c>
      <c r="V28" s="772" t="s">
        <v>17</v>
      </c>
      <c r="W28" s="773">
        <f t="shared" ref="W28:W40" si="14">J28</f>
        <v>100</v>
      </c>
      <c r="X28" s="1811"/>
      <c r="Y28" s="3309"/>
      <c r="Z28" s="1812">
        <f t="shared" ref="Z28:Z40" si="15">Q28</f>
        <v>111</v>
      </c>
      <c r="AA28" s="1809">
        <f t="shared" si="3"/>
        <v>1</v>
      </c>
      <c r="AB28" s="1809">
        <f t="shared" si="4"/>
        <v>1</v>
      </c>
      <c r="AC28" s="1809">
        <f t="shared" si="5"/>
        <v>1</v>
      </c>
    </row>
    <row r="29" spans="1:29" ht="1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8"/>
      <c r="M29" s="1129"/>
      <c r="N29" s="1129"/>
      <c r="O29" s="1137"/>
      <c r="P29" s="3310" t="s">
        <v>2559</v>
      </c>
      <c r="Q29" s="1808" t="str">
        <f t="shared" si="11"/>
        <v>建筑类型</v>
      </c>
      <c r="R29" s="772" t="s">
        <v>17</v>
      </c>
      <c r="S29" s="773">
        <f t="shared" si="12"/>
        <v>100</v>
      </c>
      <c r="T29" s="772" t="s">
        <v>17</v>
      </c>
      <c r="U29" s="773">
        <f t="shared" si="13"/>
        <v>100</v>
      </c>
      <c r="V29" s="772" t="s">
        <v>17</v>
      </c>
      <c r="W29" s="773">
        <f t="shared" si="14"/>
        <v>100</v>
      </c>
      <c r="X29" s="1811"/>
      <c r="Y29" s="3311" t="s">
        <v>2559</v>
      </c>
      <c r="Z29" s="1812" t="str">
        <f t="shared" si="15"/>
        <v>建筑类型</v>
      </c>
      <c r="AA29" s="1809">
        <f t="shared" si="3"/>
        <v>1</v>
      </c>
      <c r="AB29" s="1809">
        <f t="shared" si="4"/>
        <v>1</v>
      </c>
      <c r="AC29" s="1809">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311"/>
      <c r="Q30" s="774" t="str">
        <f t="shared" si="11"/>
        <v>项目建筑规模</v>
      </c>
      <c r="R30" s="775" t="s">
        <v>17</v>
      </c>
      <c r="S30" s="776" t="e">
        <f t="shared" si="12"/>
        <v>#N/A</v>
      </c>
      <c r="T30" s="775" t="s">
        <v>17</v>
      </c>
      <c r="U30" s="776" t="e">
        <f t="shared" si="13"/>
        <v>#N/A</v>
      </c>
      <c r="V30" s="775" t="s">
        <v>17</v>
      </c>
      <c r="W30" s="776" t="e">
        <f t="shared" si="14"/>
        <v>#N/A</v>
      </c>
      <c r="X30" s="777"/>
      <c r="Y30" s="3311"/>
      <c r="Z30" s="778" t="str">
        <f t="shared" si="15"/>
        <v>项目建筑规模</v>
      </c>
      <c r="AA30" s="1809" t="e">
        <f t="shared" si="3"/>
        <v>#N/A</v>
      </c>
      <c r="AB30" s="1809" t="e">
        <f t="shared" si="4"/>
        <v>#N/A</v>
      </c>
      <c r="AC30" s="1809"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311"/>
      <c r="Q31" s="1808" t="str">
        <f t="shared" si="11"/>
        <v>建筑结构</v>
      </c>
      <c r="R31" s="772" t="s">
        <v>17</v>
      </c>
      <c r="S31" s="773">
        <f t="shared" si="12"/>
        <v>100</v>
      </c>
      <c r="T31" s="772" t="s">
        <v>17</v>
      </c>
      <c r="U31" s="773">
        <f t="shared" si="13"/>
        <v>100</v>
      </c>
      <c r="V31" s="772" t="s">
        <v>17</v>
      </c>
      <c r="W31" s="773">
        <f t="shared" si="14"/>
        <v>100</v>
      </c>
      <c r="X31" s="1811"/>
      <c r="Y31" s="3311"/>
      <c r="Z31" s="1812" t="str">
        <f t="shared" si="15"/>
        <v>建筑结构</v>
      </c>
      <c r="AA31" s="1809">
        <f t="shared" si="3"/>
        <v>1</v>
      </c>
      <c r="AB31" s="1809">
        <f t="shared" si="4"/>
        <v>1</v>
      </c>
      <c r="AC31" s="1809">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311"/>
      <c r="Q32" s="1808" t="str">
        <f t="shared" si="11"/>
        <v>公共部分装修</v>
      </c>
      <c r="R32" s="772" t="s">
        <v>17</v>
      </c>
      <c r="S32" s="773">
        <f t="shared" si="12"/>
        <v>100</v>
      </c>
      <c r="T32" s="772" t="s">
        <v>17</v>
      </c>
      <c r="U32" s="773">
        <f t="shared" si="13"/>
        <v>100</v>
      </c>
      <c r="V32" s="772" t="s">
        <v>17</v>
      </c>
      <c r="W32" s="773">
        <f t="shared" si="14"/>
        <v>100</v>
      </c>
      <c r="X32" s="1811"/>
      <c r="Y32" s="3311"/>
      <c r="Z32" s="1812" t="str">
        <f t="shared" si="15"/>
        <v>公共部分装修</v>
      </c>
      <c r="AA32" s="1809">
        <f t="shared" si="3"/>
        <v>1</v>
      </c>
      <c r="AB32" s="1809">
        <f t="shared" si="4"/>
        <v>1</v>
      </c>
      <c r="AC32" s="1809">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311"/>
      <c r="Q33" s="1808" t="str">
        <f t="shared" si="11"/>
        <v>成新度</v>
      </c>
      <c r="R33" s="772" t="s">
        <v>17</v>
      </c>
      <c r="S33" s="773" t="e">
        <f t="shared" si="12"/>
        <v>#N/A</v>
      </c>
      <c r="T33" s="772" t="s">
        <v>17</v>
      </c>
      <c r="U33" s="773" t="e">
        <f t="shared" si="13"/>
        <v>#N/A</v>
      </c>
      <c r="V33" s="772" t="s">
        <v>17</v>
      </c>
      <c r="W33" s="773" t="e">
        <f t="shared" si="14"/>
        <v>#N/A</v>
      </c>
      <c r="X33" s="1811"/>
      <c r="Y33" s="3311"/>
      <c r="Z33" s="1812" t="str">
        <f t="shared" si="15"/>
        <v>成新度</v>
      </c>
      <c r="AA33" s="1809" t="e">
        <f t="shared" si="3"/>
        <v>#N/A</v>
      </c>
      <c r="AB33" s="1809" t="e">
        <f t="shared" si="4"/>
        <v>#N/A</v>
      </c>
      <c r="AC33" s="1809"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311"/>
      <c r="Q34" s="1793" t="str">
        <f t="shared" si="11"/>
        <v>物业管理</v>
      </c>
      <c r="R34" s="768" t="s">
        <v>17</v>
      </c>
      <c r="S34" s="769">
        <f t="shared" si="12"/>
        <v>100</v>
      </c>
      <c r="T34" s="768" t="s">
        <v>17</v>
      </c>
      <c r="U34" s="769">
        <f t="shared" si="13"/>
        <v>100</v>
      </c>
      <c r="V34" s="768" t="s">
        <v>17</v>
      </c>
      <c r="W34" s="769">
        <f t="shared" si="14"/>
        <v>100</v>
      </c>
      <c r="X34" s="770"/>
      <c r="Y34" s="3311"/>
      <c r="Z34" s="55" t="str">
        <f t="shared" si="15"/>
        <v>物业管理</v>
      </c>
      <c r="AA34" s="771">
        <f t="shared" si="3"/>
        <v>1</v>
      </c>
      <c r="AB34" s="771">
        <f t="shared" si="4"/>
        <v>1</v>
      </c>
      <c r="AC34" s="771">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311" t="s">
        <v>2559</v>
      </c>
      <c r="Q35" s="1808" t="str">
        <f t="shared" si="11"/>
        <v>市政基础设施</v>
      </c>
      <c r="R35" s="772" t="s">
        <v>17</v>
      </c>
      <c r="S35" s="773">
        <f t="shared" si="12"/>
        <v>100</v>
      </c>
      <c r="T35" s="772" t="s">
        <v>17</v>
      </c>
      <c r="U35" s="773">
        <f t="shared" si="13"/>
        <v>100</v>
      </c>
      <c r="V35" s="772" t="s">
        <v>17</v>
      </c>
      <c r="W35" s="773">
        <f t="shared" si="14"/>
        <v>100</v>
      </c>
      <c r="X35" s="1811"/>
      <c r="Y35" s="3311" t="s">
        <v>2559</v>
      </c>
      <c r="Z35" s="1812" t="str">
        <f t="shared" si="15"/>
        <v>市政基础设施</v>
      </c>
      <c r="AA35" s="1809">
        <f t="shared" si="3"/>
        <v>1</v>
      </c>
      <c r="AB35" s="1809">
        <f t="shared" si="4"/>
        <v>1</v>
      </c>
      <c r="AC35" s="1809">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311"/>
      <c r="Q36" s="1808" t="str">
        <f t="shared" si="11"/>
        <v>内部装修</v>
      </c>
      <c r="R36" s="772" t="s">
        <v>17</v>
      </c>
      <c r="S36" s="773">
        <f t="shared" si="12"/>
        <v>100</v>
      </c>
      <c r="T36" s="772" t="s">
        <v>17</v>
      </c>
      <c r="U36" s="773">
        <f t="shared" si="13"/>
        <v>100</v>
      </c>
      <c r="V36" s="772" t="s">
        <v>17</v>
      </c>
      <c r="W36" s="773">
        <f t="shared" si="14"/>
        <v>100</v>
      </c>
      <c r="X36" s="1811"/>
      <c r="Y36" s="3311"/>
      <c r="Z36" s="1812" t="str">
        <f t="shared" si="15"/>
        <v>内部装修</v>
      </c>
      <c r="AA36" s="1809">
        <f t="shared" si="3"/>
        <v>1</v>
      </c>
      <c r="AB36" s="1809">
        <f t="shared" si="4"/>
        <v>1</v>
      </c>
      <c r="AC36" s="1809">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311"/>
      <c r="Q37" s="1808" t="str">
        <f t="shared" si="11"/>
        <v>内部装修状况</v>
      </c>
      <c r="R37" s="772" t="s">
        <v>17</v>
      </c>
      <c r="S37" s="773">
        <f t="shared" si="12"/>
        <v>100</v>
      </c>
      <c r="T37" s="772" t="s">
        <v>17</v>
      </c>
      <c r="U37" s="773">
        <f t="shared" si="13"/>
        <v>100</v>
      </c>
      <c r="V37" s="772" t="s">
        <v>17</v>
      </c>
      <c r="W37" s="773">
        <f t="shared" si="14"/>
        <v>100</v>
      </c>
      <c r="X37" s="1811"/>
      <c r="Y37" s="3311"/>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311"/>
      <c r="Q38" s="774">
        <f t="shared" si="11"/>
        <v>111</v>
      </c>
      <c r="R38" s="775" t="s">
        <v>17</v>
      </c>
      <c r="S38" s="776">
        <f t="shared" si="12"/>
        <v>100</v>
      </c>
      <c r="T38" s="775" t="s">
        <v>17</v>
      </c>
      <c r="U38" s="776">
        <f t="shared" si="13"/>
        <v>100</v>
      </c>
      <c r="V38" s="775" t="s">
        <v>17</v>
      </c>
      <c r="W38" s="776">
        <f t="shared" si="14"/>
        <v>100</v>
      </c>
      <c r="X38" s="777"/>
      <c r="Y38" s="3311"/>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311"/>
      <c r="Q39" s="1808">
        <f t="shared" si="11"/>
        <v>111</v>
      </c>
      <c r="R39" s="772" t="s">
        <v>17</v>
      </c>
      <c r="S39" s="773">
        <f t="shared" si="12"/>
        <v>100</v>
      </c>
      <c r="T39" s="772" t="s">
        <v>17</v>
      </c>
      <c r="U39" s="773">
        <f t="shared" si="13"/>
        <v>100</v>
      </c>
      <c r="V39" s="772" t="s">
        <v>17</v>
      </c>
      <c r="W39" s="773">
        <f t="shared" si="14"/>
        <v>100</v>
      </c>
      <c r="X39" s="1811"/>
      <c r="Y39" s="3311"/>
      <c r="Z39" s="1812">
        <f t="shared" si="15"/>
        <v>111</v>
      </c>
      <c r="AA39" s="1809">
        <f t="shared" si="3"/>
        <v>1</v>
      </c>
      <c r="AB39" s="1809">
        <f t="shared" si="4"/>
        <v>1</v>
      </c>
      <c r="AC39" s="1809">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76"/>
      <c r="Q40" s="1808">
        <f t="shared" si="11"/>
        <v>111</v>
      </c>
      <c r="R40" s="772" t="s">
        <v>17</v>
      </c>
      <c r="S40" s="773">
        <f t="shared" si="12"/>
        <v>100</v>
      </c>
      <c r="T40" s="772" t="s">
        <v>17</v>
      </c>
      <c r="U40" s="773">
        <f t="shared" si="13"/>
        <v>100</v>
      </c>
      <c r="V40" s="772" t="s">
        <v>17</v>
      </c>
      <c r="W40" s="773">
        <f t="shared" si="14"/>
        <v>100</v>
      </c>
      <c r="X40" s="1811"/>
      <c r="Y40" s="3376"/>
      <c r="Z40" s="1812">
        <f t="shared" si="15"/>
        <v>111</v>
      </c>
      <c r="AA40" s="1809">
        <f t="shared" si="3"/>
        <v>1</v>
      </c>
      <c r="AB40" s="1809">
        <f t="shared" si="4"/>
        <v>1</v>
      </c>
      <c r="AC40" s="1809">
        <f t="shared" si="5"/>
        <v>1</v>
      </c>
    </row>
    <row r="41" spans="1:29" ht="15">
      <c r="A41" s="477" t="s">
        <v>2571</v>
      </c>
      <c r="B41" s="478"/>
      <c r="C41" s="1405" t="s">
        <v>1</v>
      </c>
      <c r="D41" s="1406"/>
      <c r="E41" s="1407"/>
      <c r="F41" s="1408"/>
      <c r="G41" s="1409"/>
      <c r="H41" s="1410"/>
      <c r="I41" s="1407"/>
      <c r="J41" s="1410"/>
      <c r="K41" s="781"/>
      <c r="L41" s="1141"/>
      <c r="M41" s="1142"/>
      <c r="N41" s="1129"/>
      <c r="O41" s="1142"/>
      <c r="P41" s="3293" t="str">
        <f>A41</f>
        <v>成交单价（元/平方米）</v>
      </c>
      <c r="Q41" s="3293"/>
      <c r="R41" s="3372">
        <f>E41</f>
        <v>0</v>
      </c>
      <c r="S41" s="3372"/>
      <c r="T41" s="3372">
        <f>G41</f>
        <v>0</v>
      </c>
      <c r="U41" s="3372"/>
      <c r="V41" s="3372">
        <f>I41</f>
        <v>0</v>
      </c>
      <c r="W41" s="3372"/>
      <c r="X41" s="757"/>
      <c r="Y41" s="779"/>
      <c r="Z41" s="757"/>
      <c r="AA41" s="757"/>
      <c r="AB41" s="757"/>
      <c r="AC41" s="757"/>
    </row>
    <row r="42" spans="1:29" ht="15.75" thickBot="1">
      <c r="A42" s="484" t="s">
        <v>2663</v>
      </c>
      <c r="B42" s="485"/>
      <c r="C42" s="1411" t="e">
        <f>R43</f>
        <v>#DIV/0!</v>
      </c>
      <c r="D42" s="1412"/>
      <c r="E42" s="1413" t="e">
        <f>R42</f>
        <v>#DIV/0!</v>
      </c>
      <c r="F42" s="1413"/>
      <c r="G42" s="1411" t="e">
        <f>T42</f>
        <v>#DIV/0!</v>
      </c>
      <c r="H42" s="1412"/>
      <c r="I42" s="1413" t="e">
        <f>V42</f>
        <v>#DIV/0!</v>
      </c>
      <c r="J42" s="1412"/>
      <c r="K42" s="782"/>
      <c r="L42" s="1141"/>
      <c r="M42" s="1142"/>
      <c r="N42" s="1129"/>
      <c r="O42" s="1142"/>
      <c r="P42" s="3293" t="str">
        <f>A42</f>
        <v>比较价值（元/平方米）</v>
      </c>
      <c r="Q42" s="3293"/>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757"/>
      <c r="Y42" s="757"/>
      <c r="Z42" s="757"/>
      <c r="AA42" s="757"/>
      <c r="AB42" s="757"/>
      <c r="AC42" s="757"/>
    </row>
    <row r="43" spans="1:29" ht="15.75" thickBot="1">
      <c r="A43" s="490" t="s">
        <v>2664</v>
      </c>
      <c r="B43" s="491"/>
      <c r="C43" s="1415" t="e">
        <f>R43</f>
        <v>#DIV/0!</v>
      </c>
      <c r="D43" s="1415"/>
      <c r="E43" s="1415"/>
      <c r="F43" s="1415"/>
      <c r="G43" s="1415"/>
      <c r="H43" s="1415"/>
      <c r="I43" s="1415"/>
      <c r="J43" s="1415"/>
      <c r="K43" s="783"/>
      <c r="L43" s="1141"/>
      <c r="M43" s="1142"/>
      <c r="N43" s="1142"/>
      <c r="O43" s="1142"/>
      <c r="P43" s="3313" t="str">
        <f>A43</f>
        <v>估价对象XX用房的比较价值（楼面单价，元/平方米）</v>
      </c>
      <c r="Q43" s="3314"/>
      <c r="R43" s="3371" t="e">
        <f>IF(F1="售价",ROUND(AVERAGE(R42:V42),0),ROUND(AVERAGE(R42:V42),1))</f>
        <v>#DIV/0!</v>
      </c>
      <c r="S43" s="3371"/>
      <c r="T43" s="3371"/>
      <c r="U43" s="3371"/>
      <c r="V43" s="3371"/>
      <c r="W43" s="337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1"/>
      <c r="Q51" s="502"/>
    </row>
    <row r="52" spans="1:17" s="506" customFormat="1" ht="15">
      <c r="A52" s="503" t="s">
        <v>2542</v>
      </c>
      <c r="B52" s="504"/>
      <c r="C52" s="1572" t="str">
        <f>YEAR(C7)&amp;"-"&amp;MONTH(C7)</f>
        <v>2018-4</v>
      </c>
      <c r="D52" s="1573">
        <f>EDATE(C52,-1)</f>
        <v>43160</v>
      </c>
      <c r="E52" s="1573">
        <f t="shared" ref="E52:O52" si="16">EDATE(D52,-1)</f>
        <v>43132</v>
      </c>
      <c r="F52" s="1573">
        <f t="shared" si="16"/>
        <v>43101</v>
      </c>
      <c r="G52" s="1573">
        <f t="shared" si="16"/>
        <v>43070</v>
      </c>
      <c r="H52" s="1573">
        <f t="shared" si="16"/>
        <v>43040</v>
      </c>
      <c r="I52" s="1573">
        <f t="shared" si="16"/>
        <v>43009</v>
      </c>
      <c r="J52" s="1573">
        <f t="shared" si="16"/>
        <v>42979</v>
      </c>
      <c r="K52" s="1573">
        <f t="shared" si="16"/>
        <v>42948</v>
      </c>
      <c r="L52" s="1573">
        <f t="shared" si="16"/>
        <v>42917</v>
      </c>
      <c r="M52" s="1573">
        <f t="shared" si="16"/>
        <v>42887</v>
      </c>
      <c r="N52" s="1573">
        <f t="shared" si="16"/>
        <v>42856</v>
      </c>
      <c r="O52" s="1573">
        <f t="shared" si="16"/>
        <v>42826</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2579</v>
      </c>
      <c r="B54" s="514"/>
      <c r="C54" s="515"/>
      <c r="D54" s="516"/>
      <c r="E54" s="516"/>
      <c r="F54" s="516"/>
      <c r="G54" s="516"/>
      <c r="H54" s="516"/>
      <c r="I54" s="516"/>
      <c r="J54" s="516"/>
      <c r="K54" s="516"/>
      <c r="L54" s="516"/>
      <c r="M54" s="517"/>
      <c r="N54" s="516"/>
      <c r="O54" s="518"/>
      <c r="P54" s="502"/>
      <c r="Q54" s="502"/>
    </row>
    <row r="55" spans="1:17" s="115" customFormat="1" ht="15">
      <c r="A55" s="519" t="s">
        <v>2544</v>
      </c>
      <c r="B55" s="508"/>
      <c r="C55" s="520" t="s">
        <v>2646</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2582</v>
      </c>
      <c r="B57" s="526" t="s">
        <v>2548</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5" customFormat="1" ht="15.75" thickTop="1">
      <c r="A80" s="577"/>
      <c r="B80" s="536">
        <f>B25</f>
        <v>111</v>
      </c>
      <c r="C80" s="552"/>
      <c r="D80" s="552"/>
      <c r="E80" s="552"/>
      <c r="F80" s="552"/>
      <c r="G80" s="552"/>
      <c r="H80" s="552"/>
      <c r="I80" s="552"/>
      <c r="J80" s="552"/>
      <c r="K80" s="552"/>
      <c r="L80" s="578"/>
      <c r="M80" s="579"/>
      <c r="N80" s="1149"/>
      <c r="O80" s="1149"/>
      <c r="P80" s="45"/>
      <c r="Q80" s="502"/>
    </row>
    <row r="81" spans="1:17" s="115" customFormat="1" ht="15.75" thickBot="1">
      <c r="A81" s="577"/>
      <c r="B81" s="541"/>
      <c r="C81" s="558"/>
      <c r="D81" s="534"/>
      <c r="E81" s="534"/>
      <c r="F81" s="534"/>
      <c r="G81" s="534"/>
      <c r="H81" s="534"/>
      <c r="I81" s="534"/>
      <c r="J81" s="534"/>
      <c r="K81" s="534"/>
      <c r="L81" s="534"/>
      <c r="M81" s="535"/>
      <c r="N81" s="1151"/>
      <c r="O81" s="1151"/>
      <c r="P81" s="45"/>
      <c r="Q81" s="502"/>
    </row>
    <row r="82" spans="1:17" s="115" customFormat="1" ht="15.75" thickTop="1">
      <c r="A82" s="577"/>
      <c r="B82" s="536">
        <f>B26</f>
        <v>111</v>
      </c>
      <c r="C82" s="552"/>
      <c r="D82" s="552"/>
      <c r="E82" s="552"/>
      <c r="F82" s="552"/>
      <c r="G82" s="552"/>
      <c r="H82" s="552"/>
      <c r="I82" s="552"/>
      <c r="J82" s="552"/>
      <c r="K82" s="552"/>
      <c r="L82" s="578"/>
      <c r="M82" s="579"/>
      <c r="N82" s="1149"/>
      <c r="O82" s="1149"/>
      <c r="P82" s="45"/>
      <c r="Q82" s="502"/>
    </row>
    <row r="83" spans="1:17" s="115"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0"/>
      <c r="B87" s="567"/>
      <c r="C87" s="568"/>
      <c r="D87" s="568"/>
      <c r="E87" s="568"/>
      <c r="F87" s="568"/>
      <c r="G87" s="589"/>
      <c r="H87" s="589"/>
      <c r="I87" s="589"/>
      <c r="J87" s="589"/>
      <c r="K87" s="589"/>
      <c r="L87" s="589"/>
      <c r="M87" s="590"/>
      <c r="N87" s="1151"/>
      <c r="O87" s="1151"/>
      <c r="P87" s="45"/>
      <c r="Q87" s="502"/>
    </row>
    <row r="88" spans="1:17">
      <c r="A88" s="525" t="s">
        <v>2557</v>
      </c>
      <c r="B88" s="526" t="s">
        <v>2606</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2608</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2610</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2611</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2612</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2614</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0"/>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0"/>
      <c r="F1" s="2578"/>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2321</v>
      </c>
      <c r="B2" s="1416" t="e">
        <f ca="1">IF(C2="——",IF(B37="元/平方米",ROUND(C39*D3/10000,0),ROUND(F3*C39/10000,0)),IF(B37="元/平方米",ROUND(C39*D3/10000,0),ROUND(F3*C39/10000,0))-D2)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275" t="s">
        <v>2642</v>
      </c>
      <c r="AC4" s="3274" t="s">
        <v>2643</v>
      </c>
    </row>
    <row r="5" spans="1:29" ht="15">
      <c r="A5" s="402"/>
      <c r="B5" s="403"/>
      <c r="C5" s="3285" t="s">
        <v>2536</v>
      </c>
      <c r="D5" s="3286"/>
      <c r="E5" s="3369" t="s">
        <v>2537</v>
      </c>
      <c r="F5" s="3284"/>
      <c r="G5" s="3285" t="s">
        <v>2538</v>
      </c>
      <c r="H5" s="3286"/>
      <c r="I5" s="3285" t="s">
        <v>2539</v>
      </c>
      <c r="J5" s="3286"/>
      <c r="K5" s="608"/>
      <c r="L5" s="1128"/>
      <c r="M5" s="1129"/>
      <c r="N5" s="1129"/>
      <c r="O5" s="1129"/>
      <c r="P5" s="3300"/>
      <c r="Q5" s="3301"/>
      <c r="R5" s="3281"/>
      <c r="S5" s="3282"/>
      <c r="T5" s="3281"/>
      <c r="U5" s="3282"/>
      <c r="V5" s="3306"/>
      <c r="W5" s="3306"/>
      <c r="X5" s="1811"/>
      <c r="Y5" s="3281"/>
      <c r="Z5" s="3282"/>
      <c r="AA5" s="3275"/>
      <c r="AB5" s="3275"/>
      <c r="AC5" s="3275"/>
    </row>
    <row r="6" spans="1:29" ht="15.75" thickBot="1">
      <c r="A6" s="404"/>
      <c r="B6" s="405"/>
      <c r="C6" s="3287" t="s">
        <v>2540</v>
      </c>
      <c r="D6" s="3288"/>
      <c r="E6" s="3370" t="s">
        <v>2540</v>
      </c>
      <c r="F6" s="3291"/>
      <c r="G6" s="3287" t="s">
        <v>2540</v>
      </c>
      <c r="H6" s="3288"/>
      <c r="I6" s="3287" t="s">
        <v>2540</v>
      </c>
      <c r="J6" s="3288"/>
      <c r="K6" s="608" t="s">
        <v>2541</v>
      </c>
      <c r="L6" s="1128"/>
      <c r="M6" s="1129"/>
      <c r="N6" s="1129"/>
      <c r="O6" s="1129"/>
      <c r="P6" s="3302"/>
      <c r="Q6" s="3303"/>
      <c r="R6" s="3281"/>
      <c r="S6" s="3282"/>
      <c r="T6" s="3304"/>
      <c r="U6" s="3305"/>
      <c r="V6" s="3306"/>
      <c r="W6" s="3306"/>
      <c r="X6" s="1811"/>
      <c r="Y6" s="3304"/>
      <c r="Z6" s="3305"/>
      <c r="AA6" s="3276"/>
      <c r="AB6" s="3276"/>
      <c r="AC6" s="3276"/>
    </row>
    <row r="7" spans="1:29" s="115" customFormat="1" ht="15.75" thickBot="1">
      <c r="A7" s="406" t="s">
        <v>2542</v>
      </c>
      <c r="B7" s="407"/>
      <c r="C7" s="408">
        <f>'数据-取费表'!B2</f>
        <v>43202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77" t="s">
        <v>2543</v>
      </c>
      <c r="Q7" s="3307"/>
      <c r="R7" s="768" t="s">
        <v>17</v>
      </c>
      <c r="S7" s="769">
        <f t="shared" ref="S7:S14" si="0">F7</f>
        <v>0</v>
      </c>
      <c r="T7" s="768" t="s">
        <v>17</v>
      </c>
      <c r="U7" s="769">
        <f t="shared" ref="U7:U14" si="1">H7</f>
        <v>0</v>
      </c>
      <c r="V7" s="768" t="s">
        <v>17</v>
      </c>
      <c r="W7" s="769">
        <f t="shared" ref="W7:W14"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36" si="3">D8/F8</f>
        <v>#DIV/0!</v>
      </c>
      <c r="AB8" s="771" t="e">
        <f t="shared" ref="AB8:AB36" si="4">D8/H8</f>
        <v>#DIV/0!</v>
      </c>
      <c r="AC8" s="771" t="e">
        <f t="shared" ref="AC8:AC36" si="5">D8/J8</f>
        <v>#DIV/0!</v>
      </c>
    </row>
    <row r="9" spans="1:29" s="115"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93" t="s">
        <v>2549</v>
      </c>
      <c r="Q9" s="1793" t="str">
        <f t="shared" ref="Q9:Q14" si="6">B9</f>
        <v>用途</v>
      </c>
      <c r="R9" s="768" t="s">
        <v>17</v>
      </c>
      <c r="S9" s="769">
        <f t="shared" si="0"/>
        <v>100</v>
      </c>
      <c r="T9" s="768" t="s">
        <v>17</v>
      </c>
      <c r="U9" s="769">
        <f t="shared" si="1"/>
        <v>100</v>
      </c>
      <c r="V9" s="768" t="s">
        <v>17</v>
      </c>
      <c r="W9" s="769">
        <f t="shared" si="2"/>
        <v>100</v>
      </c>
      <c r="X9" s="770"/>
      <c r="Y9" s="3151" t="s">
        <v>2550</v>
      </c>
      <c r="Z9" s="55" t="str">
        <f t="shared" ref="Z9:Z14" si="7">Q9</f>
        <v>用途</v>
      </c>
      <c r="AA9" s="771">
        <f t="shared" si="3"/>
        <v>1</v>
      </c>
      <c r="AB9" s="771">
        <f t="shared" si="4"/>
        <v>1</v>
      </c>
      <c r="AC9" s="771">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93"/>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93"/>
      <c r="Q11" s="1793">
        <f t="shared" si="6"/>
        <v>111</v>
      </c>
      <c r="R11" s="768" t="s">
        <v>17</v>
      </c>
      <c r="S11" s="769">
        <f t="shared" si="0"/>
        <v>100</v>
      </c>
      <c r="T11" s="768" t="s">
        <v>17</v>
      </c>
      <c r="U11" s="769">
        <f t="shared" si="1"/>
        <v>100</v>
      </c>
      <c r="V11" s="768" t="s">
        <v>17</v>
      </c>
      <c r="W11" s="769">
        <f t="shared" si="2"/>
        <v>100</v>
      </c>
      <c r="X11" s="770"/>
      <c r="Y11" s="3151"/>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93"/>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93"/>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
      <c r="A14" s="399" t="s">
        <v>2553</v>
      </c>
      <c r="B14" s="627" t="s">
        <v>2703</v>
      </c>
      <c r="C14" s="2687">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308" t="s">
        <v>2554</v>
      </c>
      <c r="Q14" s="1808" t="str">
        <f t="shared" si="6"/>
        <v>交通便捷度</v>
      </c>
      <c r="R14" s="772" t="s">
        <v>17</v>
      </c>
      <c r="S14" s="773">
        <f t="shared" si="0"/>
        <v>100</v>
      </c>
      <c r="T14" s="772" t="s">
        <v>17</v>
      </c>
      <c r="U14" s="773">
        <f t="shared" si="1"/>
        <v>100</v>
      </c>
      <c r="V14" s="772" t="s">
        <v>17</v>
      </c>
      <c r="W14" s="773">
        <f t="shared" si="2"/>
        <v>100</v>
      </c>
      <c r="X14" s="1811"/>
      <c r="Y14" s="3308" t="s">
        <v>2554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309"/>
      <c r="Q15" s="1808"/>
      <c r="R15" s="772"/>
      <c r="S15" s="773"/>
      <c r="T15" s="772"/>
      <c r="U15" s="773"/>
      <c r="V15" s="772"/>
      <c r="W15" s="773"/>
      <c r="X15" s="1811"/>
      <c r="Y15" s="3309"/>
      <c r="Z15" s="1812"/>
      <c r="AA15" s="1809">
        <v>1</v>
      </c>
      <c r="AB15" s="1809">
        <v>1</v>
      </c>
      <c r="AC15" s="1809">
        <v>1</v>
      </c>
    </row>
    <row r="16" spans="1:29" ht="15">
      <c r="A16" s="402"/>
      <c r="B16" s="629" t="s">
        <v>2682</v>
      </c>
      <c r="C16" s="2601">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309"/>
      <c r="Q16" s="1808" t="str">
        <f>B16</f>
        <v>公共配套设施</v>
      </c>
      <c r="R16" s="772" t="s">
        <v>17</v>
      </c>
      <c r="S16" s="773">
        <f>F16</f>
        <v>100</v>
      </c>
      <c r="T16" s="772" t="s">
        <v>17</v>
      </c>
      <c r="U16" s="773">
        <f>H16</f>
        <v>100</v>
      </c>
      <c r="V16" s="772" t="s">
        <v>17</v>
      </c>
      <c r="W16" s="773">
        <f>J16</f>
        <v>100</v>
      </c>
      <c r="X16" s="1811"/>
      <c r="Y16" s="3309"/>
      <c r="Z16" s="1812" t="str">
        <f>Q16</f>
        <v>公共配套设施</v>
      </c>
      <c r="AA16" s="1809">
        <f t="shared" si="3"/>
        <v>1</v>
      </c>
      <c r="AB16" s="1809">
        <f t="shared" si="4"/>
        <v>1</v>
      </c>
      <c r="AC16" s="1809">
        <f t="shared" si="5"/>
        <v>1</v>
      </c>
    </row>
    <row r="17" spans="1:29" ht="15">
      <c r="A17" s="402"/>
      <c r="B17" s="630"/>
      <c r="C17" s="2602"/>
      <c r="D17" s="446"/>
      <c r="E17" s="445"/>
      <c r="F17" s="447"/>
      <c r="G17" s="445"/>
      <c r="H17" s="446"/>
      <c r="I17" s="445"/>
      <c r="J17" s="446"/>
      <c r="K17" s="613"/>
      <c r="L17" s="1138"/>
      <c r="M17" s="1129"/>
      <c r="N17" s="1129"/>
      <c r="O17" s="1129"/>
      <c r="P17" s="3309"/>
      <c r="Q17" s="1808"/>
      <c r="R17" s="772"/>
      <c r="S17" s="773"/>
      <c r="T17" s="772"/>
      <c r="U17" s="773"/>
      <c r="V17" s="772"/>
      <c r="W17" s="773"/>
      <c r="X17" s="1811"/>
      <c r="Y17" s="3309"/>
      <c r="Z17" s="1812"/>
      <c r="AA17" s="1809">
        <v>1</v>
      </c>
      <c r="AB17" s="1809">
        <v>1</v>
      </c>
      <c r="AC17" s="1809">
        <v>1</v>
      </c>
    </row>
    <row r="18" spans="1:29" ht="15">
      <c r="A18" s="402"/>
      <c r="B18" s="631" t="s">
        <v>2683</v>
      </c>
      <c r="C18" s="2601">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309"/>
      <c r="Q18" s="1808" t="str">
        <f>B18</f>
        <v>基础设施水平</v>
      </c>
      <c r="R18" s="772" t="s">
        <v>17</v>
      </c>
      <c r="S18" s="773">
        <f>F18</f>
        <v>100</v>
      </c>
      <c r="T18" s="772" t="s">
        <v>17</v>
      </c>
      <c r="U18" s="773">
        <f>H18</f>
        <v>100</v>
      </c>
      <c r="V18" s="772" t="s">
        <v>17</v>
      </c>
      <c r="W18" s="773">
        <f>J18</f>
        <v>100</v>
      </c>
      <c r="X18" s="1811"/>
      <c r="Y18" s="3309"/>
      <c r="Z18" s="1812" t="str">
        <f>Q18</f>
        <v>基础设施水平</v>
      </c>
      <c r="AA18" s="1809">
        <f t="shared" ref="AA18" si="8">D18/F18</f>
        <v>1</v>
      </c>
      <c r="AB18" s="1809">
        <f t="shared" ref="AB18" si="9">D18/H18</f>
        <v>1</v>
      </c>
      <c r="AC18" s="1809">
        <f t="shared" ref="AC18" si="10">D18/J18</f>
        <v>1</v>
      </c>
    </row>
    <row r="19" spans="1:29" ht="15">
      <c r="A19" s="402"/>
      <c r="B19" s="631"/>
      <c r="C19" s="2602"/>
      <c r="D19" s="448"/>
      <c r="E19" s="2602"/>
      <c r="F19" s="451"/>
      <c r="G19" s="2602"/>
      <c r="H19" s="446"/>
      <c r="I19" s="445"/>
      <c r="J19" s="446"/>
      <c r="K19" s="1381"/>
      <c r="L19" s="1138"/>
      <c r="M19" s="1129"/>
      <c r="N19" s="1129"/>
      <c r="O19" s="1129"/>
      <c r="P19" s="3309"/>
      <c r="Q19" s="1808"/>
      <c r="R19" s="772"/>
      <c r="S19" s="773"/>
      <c r="T19" s="772"/>
      <c r="U19" s="773"/>
      <c r="V19" s="772"/>
      <c r="W19" s="773"/>
      <c r="X19" s="1811"/>
      <c r="Y19" s="3309"/>
      <c r="Z19" s="1812"/>
      <c r="AA19" s="1809">
        <v>1</v>
      </c>
      <c r="AB19" s="1809">
        <v>1</v>
      </c>
      <c r="AC19" s="1809">
        <v>1</v>
      </c>
    </row>
    <row r="20" spans="1:29" ht="15">
      <c r="A20" s="402"/>
      <c r="B20" s="629" t="s">
        <v>2704</v>
      </c>
      <c r="C20" s="2601">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309"/>
      <c r="Q20" s="1808" t="str">
        <f>B20</f>
        <v>自然及人文环境</v>
      </c>
      <c r="R20" s="772" t="s">
        <v>17</v>
      </c>
      <c r="S20" s="773">
        <f>F20</f>
        <v>100</v>
      </c>
      <c r="T20" s="772" t="s">
        <v>17</v>
      </c>
      <c r="U20" s="773">
        <f>H20</f>
        <v>100</v>
      </c>
      <c r="V20" s="772" t="s">
        <v>17</v>
      </c>
      <c r="W20" s="773">
        <f>J20</f>
        <v>100</v>
      </c>
      <c r="X20" s="1811"/>
      <c r="Y20" s="3309"/>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309"/>
      <c r="Q21" s="1808"/>
      <c r="R21" s="772"/>
      <c r="S21" s="773"/>
      <c r="T21" s="772"/>
      <c r="U21" s="773"/>
      <c r="V21" s="772"/>
      <c r="W21" s="773"/>
      <c r="X21" s="1811"/>
      <c r="Y21" s="3309"/>
      <c r="Z21" s="1812"/>
      <c r="AA21" s="1809">
        <v>1</v>
      </c>
      <c r="AB21" s="1809">
        <v>1</v>
      </c>
      <c r="AC21" s="1809">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309"/>
      <c r="Q22" s="1808" t="str">
        <f>B22</f>
        <v>楼层</v>
      </c>
      <c r="R22" s="772" t="s">
        <v>17</v>
      </c>
      <c r="S22" s="773">
        <f>F22</f>
        <v>100</v>
      </c>
      <c r="T22" s="772" t="s">
        <v>17</v>
      </c>
      <c r="U22" s="773">
        <f>H22</f>
        <v>100</v>
      </c>
      <c r="V22" s="772" t="s">
        <v>17</v>
      </c>
      <c r="W22" s="773">
        <f>J22</f>
        <v>100</v>
      </c>
      <c r="X22" s="1811"/>
      <c r="Y22" s="3309"/>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309"/>
      <c r="Q23" s="1808">
        <f>B23</f>
        <v>111</v>
      </c>
      <c r="R23" s="772" t="s">
        <v>17</v>
      </c>
      <c r="S23" s="773">
        <f>F23</f>
        <v>100</v>
      </c>
      <c r="T23" s="772" t="s">
        <v>17</v>
      </c>
      <c r="U23" s="773">
        <f>H23</f>
        <v>100</v>
      </c>
      <c r="V23" s="772" t="s">
        <v>17</v>
      </c>
      <c r="W23" s="773">
        <f>J23</f>
        <v>100</v>
      </c>
      <c r="X23" s="1811"/>
      <c r="Y23" s="3309"/>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309"/>
      <c r="Q24" s="1808">
        <f t="shared" ref="Q24:Q36" si="11">B24</f>
        <v>111</v>
      </c>
      <c r="R24" s="772" t="s">
        <v>17</v>
      </c>
      <c r="S24" s="773">
        <f>F24</f>
        <v>100</v>
      </c>
      <c r="T24" s="772" t="s">
        <v>17</v>
      </c>
      <c r="U24" s="773">
        <f>H24</f>
        <v>100</v>
      </c>
      <c r="V24" s="772" t="s">
        <v>17</v>
      </c>
      <c r="W24" s="773">
        <f>J24</f>
        <v>100</v>
      </c>
      <c r="X24" s="1811"/>
      <c r="Y24" s="3309"/>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309"/>
      <c r="Q25" s="1793">
        <f t="shared" si="11"/>
        <v>111</v>
      </c>
      <c r="R25" s="768" t="s">
        <v>17</v>
      </c>
      <c r="S25" s="769">
        <f>F25</f>
        <v>100</v>
      </c>
      <c r="T25" s="768" t="s">
        <v>17</v>
      </c>
      <c r="U25" s="769">
        <f>H25</f>
        <v>100</v>
      </c>
      <c r="V25" s="768" t="s">
        <v>17</v>
      </c>
      <c r="W25" s="769">
        <f>J25</f>
        <v>100</v>
      </c>
      <c r="X25" s="770"/>
      <c r="Y25" s="3309"/>
      <c r="Z25" s="55">
        <f>Q25</f>
        <v>111</v>
      </c>
      <c r="AA25" s="1809">
        <f>D25/F25</f>
        <v>1</v>
      </c>
      <c r="AB25" s="1809">
        <f>D25/H25</f>
        <v>1</v>
      </c>
      <c r="AC25" s="1809">
        <f>D25/J25</f>
        <v>1</v>
      </c>
    </row>
    <row r="26" spans="1:29" ht="15">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310"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11" t="s">
        <v>2559</v>
      </c>
      <c r="Z26" s="1812" t="str">
        <f t="shared" ref="Z26:Z36" si="15">Q26</f>
        <v>配套类型</v>
      </c>
      <c r="AA26" s="1809">
        <f t="shared" si="3"/>
        <v>1</v>
      </c>
      <c r="AB26" s="1809">
        <f t="shared" si="4"/>
        <v>1</v>
      </c>
      <c r="AC26" s="1809">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311"/>
      <c r="Q27" s="774" t="str">
        <f t="shared" si="11"/>
        <v>项目停车位配比</v>
      </c>
      <c r="R27" s="775" t="s">
        <v>17</v>
      </c>
      <c r="S27" s="776">
        <f t="shared" si="12"/>
        <v>100</v>
      </c>
      <c r="T27" s="775" t="s">
        <v>17</v>
      </c>
      <c r="U27" s="776">
        <f t="shared" si="13"/>
        <v>100</v>
      </c>
      <c r="V27" s="775" t="s">
        <v>17</v>
      </c>
      <c r="W27" s="776">
        <f t="shared" si="14"/>
        <v>100</v>
      </c>
      <c r="X27" s="777"/>
      <c r="Y27" s="3311"/>
      <c r="Z27" s="778" t="str">
        <f t="shared" si="15"/>
        <v>项目停车位配比</v>
      </c>
      <c r="AA27" s="1809">
        <f t="shared" si="3"/>
        <v>1</v>
      </c>
      <c r="AB27" s="1809">
        <f t="shared" si="4"/>
        <v>1</v>
      </c>
      <c r="AC27" s="1809">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311"/>
      <c r="Q28" s="1808" t="str">
        <f t="shared" si="11"/>
        <v>公共部分装修</v>
      </c>
      <c r="R28" s="772" t="s">
        <v>17</v>
      </c>
      <c r="S28" s="773">
        <f t="shared" si="12"/>
        <v>100</v>
      </c>
      <c r="T28" s="772" t="s">
        <v>17</v>
      </c>
      <c r="U28" s="773">
        <f t="shared" si="13"/>
        <v>100</v>
      </c>
      <c r="V28" s="772" t="s">
        <v>17</v>
      </c>
      <c r="W28" s="773">
        <f t="shared" si="14"/>
        <v>100</v>
      </c>
      <c r="X28" s="1811"/>
      <c r="Y28" s="3311"/>
      <c r="Z28" s="1812" t="str">
        <f t="shared" si="15"/>
        <v>公共部分装修</v>
      </c>
      <c r="AA28" s="1809">
        <f t="shared" si="3"/>
        <v>1</v>
      </c>
      <c r="AB28" s="1809">
        <f t="shared" si="4"/>
        <v>1</v>
      </c>
      <c r="AC28" s="1809">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311"/>
      <c r="Q29" s="1808" t="str">
        <f t="shared" si="11"/>
        <v>成新率</v>
      </c>
      <c r="R29" s="772" t="s">
        <v>17</v>
      </c>
      <c r="S29" s="773" t="e">
        <f t="shared" si="12"/>
        <v>#N/A</v>
      </c>
      <c r="T29" s="772" t="s">
        <v>17</v>
      </c>
      <c r="U29" s="773" t="e">
        <f t="shared" si="13"/>
        <v>#N/A</v>
      </c>
      <c r="V29" s="772" t="s">
        <v>17</v>
      </c>
      <c r="W29" s="773" t="e">
        <f t="shared" si="14"/>
        <v>#N/A</v>
      </c>
      <c r="X29" s="1811"/>
      <c r="Y29" s="3311"/>
      <c r="Z29" s="1812" t="str">
        <f t="shared" si="15"/>
        <v>成新率</v>
      </c>
      <c r="AA29" s="1809" t="e">
        <f t="shared" si="3"/>
        <v>#N/A</v>
      </c>
      <c r="AB29" s="1809" t="e">
        <f t="shared" si="4"/>
        <v>#N/A</v>
      </c>
      <c r="AC29" s="1809"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311"/>
      <c r="Q30" s="1808" t="str">
        <f t="shared" si="11"/>
        <v>物业等级</v>
      </c>
      <c r="R30" s="772" t="s">
        <v>17</v>
      </c>
      <c r="S30" s="773">
        <f t="shared" si="12"/>
        <v>100</v>
      </c>
      <c r="T30" s="772" t="s">
        <v>17</v>
      </c>
      <c r="U30" s="773">
        <f t="shared" si="13"/>
        <v>100</v>
      </c>
      <c r="V30" s="772" t="s">
        <v>17</v>
      </c>
      <c r="W30" s="773">
        <f t="shared" si="14"/>
        <v>100</v>
      </c>
      <c r="X30" s="1811"/>
      <c r="Y30" s="3311"/>
      <c r="Z30" s="1812" t="str">
        <f t="shared" si="15"/>
        <v>物业等级</v>
      </c>
      <c r="AA30" s="1809">
        <f t="shared" si="3"/>
        <v>1</v>
      </c>
      <c r="AB30" s="1809">
        <f t="shared" si="4"/>
        <v>1</v>
      </c>
      <c r="AC30" s="1809">
        <f t="shared" si="5"/>
        <v>1</v>
      </c>
    </row>
    <row r="31" spans="1:29" s="115"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311"/>
      <c r="Q31" s="1793" t="str">
        <f t="shared" si="11"/>
        <v>停车位面积</v>
      </c>
      <c r="R31" s="768" t="s">
        <v>17</v>
      </c>
      <c r="S31" s="769" t="e">
        <f t="shared" si="12"/>
        <v>#N/A</v>
      </c>
      <c r="T31" s="768" t="s">
        <v>17</v>
      </c>
      <c r="U31" s="769" t="e">
        <f t="shared" si="13"/>
        <v>#N/A</v>
      </c>
      <c r="V31" s="768" t="s">
        <v>17</v>
      </c>
      <c r="W31" s="769" t="e">
        <f t="shared" si="14"/>
        <v>#N/A</v>
      </c>
      <c r="X31" s="770"/>
      <c r="Y31" s="3311"/>
      <c r="Z31" s="55" t="str">
        <f t="shared" si="15"/>
        <v>停车位面积</v>
      </c>
      <c r="AA31" s="771" t="e">
        <f t="shared" si="3"/>
        <v>#N/A</v>
      </c>
      <c r="AB31" s="771" t="e">
        <f t="shared" si="4"/>
        <v>#N/A</v>
      </c>
      <c r="AC31" s="771"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311" t="s">
        <v>2559</v>
      </c>
      <c r="Q32" s="1808" t="str">
        <f t="shared" si="11"/>
        <v>车位类型</v>
      </c>
      <c r="R32" s="772" t="s">
        <v>17</v>
      </c>
      <c r="S32" s="773">
        <f t="shared" si="12"/>
        <v>100</v>
      </c>
      <c r="T32" s="772" t="s">
        <v>17</v>
      </c>
      <c r="U32" s="773">
        <f t="shared" si="13"/>
        <v>100</v>
      </c>
      <c r="V32" s="772" t="s">
        <v>17</v>
      </c>
      <c r="W32" s="773">
        <f t="shared" si="14"/>
        <v>100</v>
      </c>
      <c r="X32" s="1811"/>
      <c r="Y32" s="3311" t="s">
        <v>2559</v>
      </c>
      <c r="Z32" s="1812" t="str">
        <f t="shared" si="15"/>
        <v>车位类型</v>
      </c>
      <c r="AA32" s="1809">
        <f t="shared" si="3"/>
        <v>1</v>
      </c>
      <c r="AB32" s="1809">
        <f t="shared" si="4"/>
        <v>1</v>
      </c>
      <c r="AC32" s="1809">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311"/>
      <c r="Q33" s="1808" t="str">
        <f t="shared" si="11"/>
        <v>是否直接入户</v>
      </c>
      <c r="R33" s="772" t="s">
        <v>17</v>
      </c>
      <c r="S33" s="773">
        <f t="shared" si="12"/>
        <v>100</v>
      </c>
      <c r="T33" s="772" t="s">
        <v>17</v>
      </c>
      <c r="U33" s="773">
        <f t="shared" si="13"/>
        <v>100</v>
      </c>
      <c r="V33" s="772" t="s">
        <v>17</v>
      </c>
      <c r="W33" s="773">
        <f t="shared" si="14"/>
        <v>100</v>
      </c>
      <c r="X33" s="1811"/>
      <c r="Y33" s="3311"/>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311"/>
      <c r="Q34" s="1808">
        <f t="shared" si="11"/>
        <v>111</v>
      </c>
      <c r="R34" s="772" t="s">
        <v>17</v>
      </c>
      <c r="S34" s="773">
        <f t="shared" si="12"/>
        <v>100</v>
      </c>
      <c r="T34" s="772" t="s">
        <v>17</v>
      </c>
      <c r="U34" s="773">
        <f t="shared" si="13"/>
        <v>100</v>
      </c>
      <c r="V34" s="772" t="s">
        <v>17</v>
      </c>
      <c r="W34" s="773">
        <f t="shared" si="14"/>
        <v>100</v>
      </c>
      <c r="X34" s="1811"/>
      <c r="Y34" s="3311"/>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311"/>
      <c r="Q35" s="774">
        <f t="shared" si="11"/>
        <v>111</v>
      </c>
      <c r="R35" s="775" t="s">
        <v>17</v>
      </c>
      <c r="S35" s="776">
        <f t="shared" si="12"/>
        <v>100</v>
      </c>
      <c r="T35" s="775" t="s">
        <v>17</v>
      </c>
      <c r="U35" s="776">
        <f t="shared" si="13"/>
        <v>100</v>
      </c>
      <c r="V35" s="775" t="s">
        <v>17</v>
      </c>
      <c r="W35" s="776">
        <f t="shared" si="14"/>
        <v>100</v>
      </c>
      <c r="X35" s="777"/>
      <c r="Y35" s="3311"/>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311"/>
      <c r="Q36" s="1808">
        <f t="shared" si="11"/>
        <v>111</v>
      </c>
      <c r="R36" s="772" t="s">
        <v>17</v>
      </c>
      <c r="S36" s="773">
        <f t="shared" si="12"/>
        <v>100</v>
      </c>
      <c r="T36" s="772" t="s">
        <v>17</v>
      </c>
      <c r="U36" s="773">
        <f t="shared" si="13"/>
        <v>100</v>
      </c>
      <c r="V36" s="772" t="s">
        <v>17</v>
      </c>
      <c r="W36" s="773">
        <f t="shared" si="14"/>
        <v>100</v>
      </c>
      <c r="X36" s="1811"/>
      <c r="Y36" s="3311"/>
      <c r="Z36" s="1812">
        <f t="shared" si="15"/>
        <v>111</v>
      </c>
      <c r="AA36" s="1809">
        <f t="shared" si="3"/>
        <v>1</v>
      </c>
      <c r="AB36" s="1809">
        <f t="shared" si="4"/>
        <v>1</v>
      </c>
      <c r="AC36" s="1809">
        <f t="shared" si="5"/>
        <v>1</v>
      </c>
    </row>
    <row r="37" spans="1:29" ht="15">
      <c r="A37" s="477" t="s">
        <v>2714</v>
      </c>
      <c r="B37" s="2689" t="s">
        <v>2715</v>
      </c>
      <c r="C37" s="1405" t="s">
        <v>1</v>
      </c>
      <c r="D37" s="1406"/>
      <c r="E37" s="1407"/>
      <c r="F37" s="1408"/>
      <c r="G37" s="1409"/>
      <c r="H37" s="1410"/>
      <c r="I37" s="1407"/>
      <c r="J37" s="1410"/>
      <c r="K37" s="617"/>
      <c r="L37" s="1141"/>
      <c r="M37" s="1142"/>
      <c r="N37" s="1129"/>
      <c r="O37" s="1142"/>
      <c r="P37" s="3293" t="str">
        <f>A37</f>
        <v>成交单价</v>
      </c>
      <c r="Q37" s="3293"/>
      <c r="R37" s="3372">
        <f>E37</f>
        <v>0</v>
      </c>
      <c r="S37" s="3372"/>
      <c r="T37" s="3372">
        <f>G37</f>
        <v>0</v>
      </c>
      <c r="U37" s="3372"/>
      <c r="V37" s="3372">
        <f>I37</f>
        <v>0</v>
      </c>
      <c r="W37" s="3372"/>
      <c r="X37" s="757"/>
      <c r="Y37" s="779"/>
      <c r="Z37" s="757"/>
      <c r="AA37" s="757"/>
      <c r="AB37" s="757"/>
      <c r="AC37" s="757"/>
    </row>
    <row r="38" spans="1:29" ht="15.75" thickBot="1">
      <c r="A38" s="484" t="s">
        <v>2716</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93" t="str">
        <f>A38</f>
        <v>比较价值（元/平方米）</v>
      </c>
      <c r="Q38" s="3293"/>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757"/>
      <c r="Y38" s="757"/>
      <c r="Z38" s="757"/>
      <c r="AA38" s="757"/>
      <c r="AB38" s="757"/>
      <c r="AC38" s="757"/>
    </row>
    <row r="39" spans="1:29" ht="15.75" thickBot="1">
      <c r="A39" s="490" t="s">
        <v>2717</v>
      </c>
      <c r="B39" s="491"/>
      <c r="C39" s="1415" t="e">
        <f>R39</f>
        <v>#DIV/0!</v>
      </c>
      <c r="D39" s="1415"/>
      <c r="E39" s="1415"/>
      <c r="F39" s="1415"/>
      <c r="G39" s="1415"/>
      <c r="H39" s="1415"/>
      <c r="I39" s="1415"/>
      <c r="J39" s="1415"/>
      <c r="K39" s="619"/>
      <c r="L39" s="1141"/>
      <c r="M39" s="1142"/>
      <c r="N39" s="1142"/>
      <c r="O39" s="1142"/>
      <c r="P39" s="3313" t="str">
        <f>A39</f>
        <v>估价对象XX用房的比较价值（楼面单价，元/平方米）</v>
      </c>
      <c r="Q39" s="3314"/>
      <c r="R39" s="3371" t="e">
        <f>IF(F1="售价",ROUND(AVERAGE(R38:V38),0),ROUND(AVERAGE(R38:V38),1))</f>
        <v>#DIV/0!</v>
      </c>
      <c r="S39" s="3371"/>
      <c r="T39" s="3371"/>
      <c r="U39" s="3371"/>
      <c r="V39" s="3371"/>
      <c r="W39" s="337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2722</v>
      </c>
      <c r="B48" s="504"/>
      <c r="C48" s="1572" t="str">
        <f>YEAR(C7)&amp;"-"&amp;MONTH(C7)</f>
        <v>2018-4</v>
      </c>
      <c r="D48" s="1573">
        <f>EDATE(C48,-1)</f>
        <v>43160</v>
      </c>
      <c r="E48" s="1573">
        <f t="shared" ref="E48:O48" si="16">EDATE(D48,-1)</f>
        <v>43132</v>
      </c>
      <c r="F48" s="1573">
        <f t="shared" si="16"/>
        <v>43101</v>
      </c>
      <c r="G48" s="1573">
        <f t="shared" si="16"/>
        <v>43070</v>
      </c>
      <c r="H48" s="1573">
        <f t="shared" si="16"/>
        <v>43040</v>
      </c>
      <c r="I48" s="1573">
        <f t="shared" si="16"/>
        <v>43009</v>
      </c>
      <c r="J48" s="1573">
        <f t="shared" si="16"/>
        <v>42979</v>
      </c>
      <c r="K48" s="1573">
        <f t="shared" si="16"/>
        <v>42948</v>
      </c>
      <c r="L48" s="1573">
        <f t="shared" si="16"/>
        <v>42917</v>
      </c>
      <c r="M48" s="1573">
        <f t="shared" si="16"/>
        <v>42887</v>
      </c>
      <c r="N48" s="1573">
        <f t="shared" si="16"/>
        <v>42856</v>
      </c>
      <c r="O48" s="1573">
        <f t="shared" si="16"/>
        <v>42826</v>
      </c>
      <c r="P48" s="1436"/>
      <c r="Q48" s="1437"/>
      <c r="R48" s="1437"/>
      <c r="S48" s="1437"/>
      <c r="T48" s="1437"/>
      <c r="U48" s="1437"/>
      <c r="V48" s="1437"/>
      <c r="W48" s="1437"/>
      <c r="X48" s="1437"/>
      <c r="Y48" s="1437"/>
      <c r="Z48" s="1437"/>
      <c r="AA48" s="1437"/>
      <c r="AB48" s="1437"/>
      <c r="AC48" s="1437"/>
    </row>
    <row r="49" spans="1:29" s="115"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5" customFormat="1" ht="15.75" thickBot="1">
      <c r="A50" s="513" t="s">
        <v>2579</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5" customFormat="1" ht="15">
      <c r="A51" s="519" t="s">
        <v>2544</v>
      </c>
      <c r="B51" s="508"/>
      <c r="C51" s="520" t="s">
        <v>2646</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5"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2582</v>
      </c>
      <c r="B53" s="526" t="s">
        <v>2548</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2597</v>
      </c>
      <c r="C65" s="576" t="s">
        <v>2591</v>
      </c>
      <c r="D65" s="576" t="s">
        <v>2592</v>
      </c>
      <c r="E65" s="576" t="s">
        <v>2593</v>
      </c>
      <c r="F65" s="576" t="s">
        <v>2594</v>
      </c>
      <c r="G65" s="576" t="s">
        <v>2595</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2683</v>
      </c>
      <c r="C67" s="658" t="s">
        <v>2669</v>
      </c>
      <c r="D67" s="658" t="s">
        <v>2670</v>
      </c>
      <c r="E67" s="658" t="s">
        <v>2671</v>
      </c>
      <c r="F67" s="658" t="s">
        <v>2672</v>
      </c>
      <c r="G67" s="658" t="s">
        <v>2673</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2603</v>
      </c>
      <c r="C69" s="576" t="s">
        <v>2591</v>
      </c>
      <c r="D69" s="576" t="s">
        <v>2592</v>
      </c>
      <c r="E69" s="576" t="s">
        <v>2593</v>
      </c>
      <c r="F69" s="576" t="s">
        <v>2594</v>
      </c>
      <c r="G69" s="576" t="s">
        <v>2595</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2723</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5"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5"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5"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2557</v>
      </c>
      <c r="B79" s="526" t="s">
        <v>2724</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2725</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2610</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2727</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2729</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2730</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IF(C2="——",ROUND(C37*D3/10000,0),ROUND(C37*D3/10000,0)-D2)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2638</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275" t="s">
        <v>2642</v>
      </c>
      <c r="AC4" s="3274" t="s">
        <v>2643</v>
      </c>
    </row>
    <row r="5" spans="1:29" ht="15">
      <c r="A5" s="402"/>
      <c r="B5" s="403"/>
      <c r="C5" s="3285" t="s">
        <v>2536</v>
      </c>
      <c r="D5" s="3286"/>
      <c r="E5" s="3369" t="s">
        <v>2537</v>
      </c>
      <c r="F5" s="3284"/>
      <c r="G5" s="3285" t="s">
        <v>2538</v>
      </c>
      <c r="H5" s="3286"/>
      <c r="I5" s="3285" t="s">
        <v>2539</v>
      </c>
      <c r="J5" s="3286"/>
      <c r="K5" s="608"/>
      <c r="L5" s="1128"/>
      <c r="M5" s="1129"/>
      <c r="N5" s="1129"/>
      <c r="O5" s="1129"/>
      <c r="P5" s="3300"/>
      <c r="Q5" s="3301"/>
      <c r="R5" s="3281"/>
      <c r="S5" s="3282"/>
      <c r="T5" s="3281"/>
      <c r="U5" s="3282"/>
      <c r="V5" s="3306"/>
      <c r="W5" s="3306"/>
      <c r="X5" s="1811"/>
      <c r="Y5" s="3281"/>
      <c r="Z5" s="3282"/>
      <c r="AA5" s="3275"/>
      <c r="AB5" s="3275"/>
      <c r="AC5" s="3275"/>
    </row>
    <row r="6" spans="1:29" ht="15.75" thickBot="1">
      <c r="A6" s="404"/>
      <c r="B6" s="405"/>
      <c r="C6" s="3287" t="s">
        <v>2540</v>
      </c>
      <c r="D6" s="3288"/>
      <c r="E6" s="3370" t="s">
        <v>2540</v>
      </c>
      <c r="F6" s="3291"/>
      <c r="G6" s="3287" t="s">
        <v>2540</v>
      </c>
      <c r="H6" s="3288"/>
      <c r="I6" s="3287" t="s">
        <v>2540</v>
      </c>
      <c r="J6" s="3288"/>
      <c r="K6" s="608" t="s">
        <v>2541</v>
      </c>
      <c r="L6" s="1128"/>
      <c r="M6" s="1129"/>
      <c r="N6" s="1129"/>
      <c r="O6" s="1129"/>
      <c r="P6" s="3302"/>
      <c r="Q6" s="3303"/>
      <c r="R6" s="3281"/>
      <c r="S6" s="3282"/>
      <c r="T6" s="3304"/>
      <c r="U6" s="3305"/>
      <c r="V6" s="3306"/>
      <c r="W6" s="3306"/>
      <c r="X6" s="1811"/>
      <c r="Y6" s="3304"/>
      <c r="Z6" s="3305"/>
      <c r="AA6" s="3276"/>
      <c r="AB6" s="3276"/>
      <c r="AC6" s="3276"/>
    </row>
    <row r="7" spans="1:29" s="115" customFormat="1" ht="15.75" thickBot="1">
      <c r="A7" s="406" t="s">
        <v>2542</v>
      </c>
      <c r="B7" s="407"/>
      <c r="C7" s="408">
        <f>'数据-取费表'!B2</f>
        <v>43202</v>
      </c>
      <c r="D7" s="409">
        <v>100</v>
      </c>
      <c r="E7" s="410"/>
      <c r="F7" s="411">
        <f>SUMIF(46:46,YEAR(E7)&amp;"-"&amp;MONTH(E7),47:47)</f>
        <v>0</v>
      </c>
      <c r="G7" s="2690"/>
      <c r="H7" s="409">
        <f>SUMIF(46:46,YEAR(G7)&amp;"-"&amp;MONTH(G7),47:47)</f>
        <v>0</v>
      </c>
      <c r="I7" s="410"/>
      <c r="J7" s="409">
        <f>SUMIF(46:46,YEAR(I7)&amp;"-"&amp;MONTH(I7),47:47)</f>
        <v>0</v>
      </c>
      <c r="K7" s="609"/>
      <c r="L7" s="1130"/>
      <c r="M7" s="1131"/>
      <c r="N7" s="1131"/>
      <c r="O7" s="1131"/>
      <c r="P7" s="3277" t="s">
        <v>2543</v>
      </c>
      <c r="Q7" s="3307"/>
      <c r="R7" s="768" t="s">
        <v>17</v>
      </c>
      <c r="S7" s="769">
        <f t="shared" ref="S7:S14" si="0">F7</f>
        <v>0</v>
      </c>
      <c r="T7" s="768" t="s">
        <v>17</v>
      </c>
      <c r="U7" s="769">
        <f t="shared" ref="U7:U14" si="1">H7</f>
        <v>0</v>
      </c>
      <c r="V7" s="768" t="s">
        <v>17</v>
      </c>
      <c r="W7" s="769">
        <f t="shared" ref="W7:W14"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34" si="3">D8/F8</f>
        <v>#DIV/0!</v>
      </c>
      <c r="AB8" s="771" t="e">
        <f t="shared" ref="AB8:AB34" si="4">D8/H8</f>
        <v>#DIV/0!</v>
      </c>
      <c r="AC8" s="771" t="e">
        <f t="shared" ref="AC8:AC34" si="5">D8/J8</f>
        <v>#DIV/0!</v>
      </c>
    </row>
    <row r="9" spans="1:29" s="115"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93" t="s">
        <v>2549</v>
      </c>
      <c r="Q9" s="1793" t="str">
        <f t="shared" ref="Q9:Q14" si="6">B9</f>
        <v>用途</v>
      </c>
      <c r="R9" s="768" t="s">
        <v>17</v>
      </c>
      <c r="S9" s="769">
        <f t="shared" si="0"/>
        <v>100</v>
      </c>
      <c r="T9" s="768" t="s">
        <v>17</v>
      </c>
      <c r="U9" s="769">
        <f t="shared" si="1"/>
        <v>100</v>
      </c>
      <c r="V9" s="768" t="s">
        <v>17</v>
      </c>
      <c r="W9" s="769">
        <f t="shared" si="2"/>
        <v>100</v>
      </c>
      <c r="X9" s="770"/>
      <c r="Y9" s="3151" t="s">
        <v>2550</v>
      </c>
      <c r="Z9" s="55" t="str">
        <f t="shared" ref="Z9:Z14" si="7">Q9</f>
        <v>用途</v>
      </c>
      <c r="AA9" s="771">
        <f t="shared" si="3"/>
        <v>1</v>
      </c>
      <c r="AB9" s="771">
        <f t="shared" si="4"/>
        <v>1</v>
      </c>
      <c r="AC9" s="771">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93"/>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93"/>
      <c r="Q11" s="1793">
        <f t="shared" si="6"/>
        <v>111</v>
      </c>
      <c r="R11" s="768" t="s">
        <v>17</v>
      </c>
      <c r="S11" s="769">
        <f t="shared" si="0"/>
        <v>100</v>
      </c>
      <c r="T11" s="768" t="s">
        <v>17</v>
      </c>
      <c r="U11" s="769">
        <f t="shared" si="1"/>
        <v>100</v>
      </c>
      <c r="V11" s="768" t="s">
        <v>17</v>
      </c>
      <c r="W11" s="769">
        <f t="shared" si="2"/>
        <v>100</v>
      </c>
      <c r="X11" s="770"/>
      <c r="Y11" s="3151"/>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93"/>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8"/>
      <c r="M13" s="1129"/>
      <c r="N13" s="1129"/>
      <c r="O13" s="1137"/>
      <c r="P13" s="3293"/>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
      <c r="A14" s="438" t="s">
        <v>2553</v>
      </c>
      <c r="B14" s="69" t="s">
        <v>2703</v>
      </c>
      <c r="C14" s="2687">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308" t="s">
        <v>2554</v>
      </c>
      <c r="Q14" s="1808" t="str">
        <f t="shared" si="6"/>
        <v>交通便捷度</v>
      </c>
      <c r="R14" s="772" t="s">
        <v>17</v>
      </c>
      <c r="S14" s="773">
        <f t="shared" si="0"/>
        <v>100</v>
      </c>
      <c r="T14" s="772" t="s">
        <v>17</v>
      </c>
      <c r="U14" s="773">
        <f t="shared" si="1"/>
        <v>100</v>
      </c>
      <c r="V14" s="772" t="s">
        <v>17</v>
      </c>
      <c r="W14" s="773">
        <f t="shared" si="2"/>
        <v>100</v>
      </c>
      <c r="X14" s="1811"/>
      <c r="Y14" s="3308" t="s">
        <v>2554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309"/>
      <c r="Q15" s="1808"/>
      <c r="R15" s="772"/>
      <c r="S15" s="773"/>
      <c r="T15" s="772"/>
      <c r="U15" s="773"/>
      <c r="V15" s="772"/>
      <c r="W15" s="773"/>
      <c r="X15" s="1811"/>
      <c r="Y15" s="3309"/>
      <c r="Z15" s="1812"/>
      <c r="AA15" s="1809">
        <v>1</v>
      </c>
      <c r="AB15" s="1809">
        <v>1</v>
      </c>
      <c r="AC15" s="1809">
        <v>1</v>
      </c>
    </row>
    <row r="16" spans="1:29" ht="15">
      <c r="A16" s="426"/>
      <c r="B16" s="449" t="s">
        <v>2682</v>
      </c>
      <c r="C16" s="2601">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309"/>
      <c r="Q16" s="1808" t="str">
        <f>B16</f>
        <v>公共配套设施</v>
      </c>
      <c r="R16" s="772" t="s">
        <v>17</v>
      </c>
      <c r="S16" s="773">
        <f>F16</f>
        <v>100</v>
      </c>
      <c r="T16" s="772" t="s">
        <v>17</v>
      </c>
      <c r="U16" s="773">
        <f>H16</f>
        <v>100</v>
      </c>
      <c r="V16" s="772" t="s">
        <v>17</v>
      </c>
      <c r="W16" s="773">
        <f>J16</f>
        <v>100</v>
      </c>
      <c r="X16" s="1811"/>
      <c r="Y16" s="3309"/>
      <c r="Z16" s="1812" t="str">
        <f>Q16</f>
        <v>公共配套设施</v>
      </c>
      <c r="AA16" s="1809">
        <f t="shared" si="3"/>
        <v>1</v>
      </c>
      <c r="AB16" s="1809">
        <f t="shared" si="4"/>
        <v>1</v>
      </c>
      <c r="AC16" s="1809">
        <f t="shared" si="5"/>
        <v>1</v>
      </c>
    </row>
    <row r="17" spans="1:29" ht="15">
      <c r="A17" s="426"/>
      <c r="B17" s="454"/>
      <c r="C17" s="2602"/>
      <c r="D17" s="446"/>
      <c r="E17" s="445"/>
      <c r="F17" s="447"/>
      <c r="G17" s="445"/>
      <c r="H17" s="446"/>
      <c r="I17" s="445"/>
      <c r="J17" s="446"/>
      <c r="K17" s="613"/>
      <c r="L17" s="1138"/>
      <c r="M17" s="1129"/>
      <c r="N17" s="1129"/>
      <c r="O17" s="1137"/>
      <c r="P17" s="3309"/>
      <c r="Q17" s="1808"/>
      <c r="R17" s="772"/>
      <c r="S17" s="773"/>
      <c r="T17" s="772"/>
      <c r="U17" s="773"/>
      <c r="V17" s="772"/>
      <c r="W17" s="773"/>
      <c r="X17" s="1811"/>
      <c r="Y17" s="3309"/>
      <c r="Z17" s="1812"/>
      <c r="AA17" s="1809">
        <v>1</v>
      </c>
      <c r="AB17" s="1809">
        <v>1</v>
      </c>
      <c r="AC17" s="1809">
        <v>1</v>
      </c>
    </row>
    <row r="18" spans="1:29" ht="15">
      <c r="A18" s="426"/>
      <c r="B18" s="1382" t="s">
        <v>2683</v>
      </c>
      <c r="C18" s="2601">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309"/>
      <c r="Q18" s="1808" t="str">
        <f>B18</f>
        <v>基础设施水平</v>
      </c>
      <c r="R18" s="772" t="s">
        <v>17</v>
      </c>
      <c r="S18" s="773">
        <f>F18</f>
        <v>100</v>
      </c>
      <c r="T18" s="772" t="s">
        <v>17</v>
      </c>
      <c r="U18" s="773">
        <f>H18</f>
        <v>100</v>
      </c>
      <c r="V18" s="772" t="s">
        <v>17</v>
      </c>
      <c r="W18" s="773">
        <f>J18</f>
        <v>100</v>
      </c>
      <c r="X18" s="1811"/>
      <c r="Y18" s="3309"/>
      <c r="Z18" s="1812" t="str">
        <f>Q18</f>
        <v>基础设施水平</v>
      </c>
      <c r="AA18" s="1809">
        <f t="shared" ref="AA18" si="8">D18/F18</f>
        <v>1</v>
      </c>
      <c r="AB18" s="1809">
        <f t="shared" ref="AB18" si="9">D18/H18</f>
        <v>1</v>
      </c>
      <c r="AC18" s="1809">
        <f t="shared" ref="AC18" si="10">D18/J18</f>
        <v>1</v>
      </c>
    </row>
    <row r="19" spans="1:29" ht="15">
      <c r="A19" s="426"/>
      <c r="B19" s="1382"/>
      <c r="C19" s="2602"/>
      <c r="D19" s="448"/>
      <c r="E19" s="2602"/>
      <c r="F19" s="451"/>
      <c r="G19" s="2602"/>
      <c r="H19" s="446"/>
      <c r="I19" s="445"/>
      <c r="J19" s="446"/>
      <c r="K19" s="1381"/>
      <c r="L19" s="1138"/>
      <c r="M19" s="1129"/>
      <c r="N19" s="1129"/>
      <c r="O19" s="1137"/>
      <c r="P19" s="3309"/>
      <c r="Q19" s="1808"/>
      <c r="R19" s="772"/>
      <c r="S19" s="773"/>
      <c r="T19" s="772"/>
      <c r="U19" s="773"/>
      <c r="V19" s="772"/>
      <c r="W19" s="773"/>
      <c r="X19" s="1811"/>
      <c r="Y19" s="3309"/>
      <c r="Z19" s="1812"/>
      <c r="AA19" s="1809">
        <v>1</v>
      </c>
      <c r="AB19" s="1809">
        <v>1</v>
      </c>
      <c r="AC19" s="1809">
        <v>1</v>
      </c>
    </row>
    <row r="20" spans="1:29" ht="15">
      <c r="A20" s="426"/>
      <c r="B20" s="449" t="s">
        <v>2704</v>
      </c>
      <c r="C20" s="2601">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309"/>
      <c r="Q20" s="1808" t="str">
        <f>B20</f>
        <v>自然及人文环境</v>
      </c>
      <c r="R20" s="772" t="s">
        <v>17</v>
      </c>
      <c r="S20" s="773">
        <f>F20</f>
        <v>100</v>
      </c>
      <c r="T20" s="772" t="s">
        <v>17</v>
      </c>
      <c r="U20" s="773">
        <f>H20</f>
        <v>100</v>
      </c>
      <c r="V20" s="772" t="s">
        <v>17</v>
      </c>
      <c r="W20" s="773">
        <f>J20</f>
        <v>100</v>
      </c>
      <c r="X20" s="1811"/>
      <c r="Y20" s="3309"/>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309"/>
      <c r="Q21" s="1808"/>
      <c r="R21" s="772"/>
      <c r="S21" s="773"/>
      <c r="T21" s="772"/>
      <c r="U21" s="773"/>
      <c r="V21" s="772"/>
      <c r="W21" s="773"/>
      <c r="X21" s="1811"/>
      <c r="Y21" s="3309"/>
      <c r="Z21" s="1812"/>
      <c r="AA21" s="1809">
        <v>1</v>
      </c>
      <c r="AB21" s="1809">
        <v>1</v>
      </c>
      <c r="AC21" s="1809">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309"/>
      <c r="Q22" s="1808" t="str">
        <f>B22</f>
        <v>楼层</v>
      </c>
      <c r="R22" s="772" t="s">
        <v>17</v>
      </c>
      <c r="S22" s="773">
        <f>F22</f>
        <v>100</v>
      </c>
      <c r="T22" s="772" t="s">
        <v>17</v>
      </c>
      <c r="U22" s="773">
        <f>H22</f>
        <v>100</v>
      </c>
      <c r="V22" s="772" t="s">
        <v>17</v>
      </c>
      <c r="W22" s="773">
        <f>J22</f>
        <v>100</v>
      </c>
      <c r="X22" s="1811"/>
      <c r="Y22" s="3309"/>
      <c r="Z22" s="1812" t="str">
        <f>Q22</f>
        <v>楼层</v>
      </c>
      <c r="AA22" s="1809">
        <f t="shared" si="3"/>
        <v>1</v>
      </c>
      <c r="AB22" s="1809">
        <f t="shared" si="4"/>
        <v>1</v>
      </c>
      <c r="AC22" s="1809">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309"/>
      <c r="Q23" s="1808">
        <f>B23</f>
        <v>111</v>
      </c>
      <c r="R23" s="772" t="s">
        <v>17</v>
      </c>
      <c r="S23" s="773">
        <f>F23</f>
        <v>100</v>
      </c>
      <c r="T23" s="772" t="s">
        <v>17</v>
      </c>
      <c r="U23" s="773">
        <f>H23</f>
        <v>100</v>
      </c>
      <c r="V23" s="772" t="s">
        <v>17</v>
      </c>
      <c r="W23" s="773">
        <f>J23</f>
        <v>100</v>
      </c>
      <c r="X23" s="1811"/>
      <c r="Y23" s="3309"/>
      <c r="Z23" s="1812">
        <f>Q23</f>
        <v>111</v>
      </c>
      <c r="AA23" s="1809">
        <f t="shared" si="3"/>
        <v>1</v>
      </c>
      <c r="AB23" s="1809">
        <f t="shared" si="4"/>
        <v>1</v>
      </c>
      <c r="AC23" s="1809">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309"/>
      <c r="Q24" s="1808">
        <f t="shared" ref="Q24:Q34" si="11">B24</f>
        <v>111</v>
      </c>
      <c r="R24" s="772" t="s">
        <v>17</v>
      </c>
      <c r="S24" s="773">
        <f>F24</f>
        <v>100</v>
      </c>
      <c r="T24" s="772" t="s">
        <v>17</v>
      </c>
      <c r="U24" s="773">
        <f>H24</f>
        <v>100</v>
      </c>
      <c r="V24" s="772" t="s">
        <v>17</v>
      </c>
      <c r="W24" s="773">
        <f>J24</f>
        <v>100</v>
      </c>
      <c r="X24" s="1811"/>
      <c r="Y24" s="3309"/>
      <c r="Z24" s="1812">
        <f>Q24</f>
        <v>111</v>
      </c>
      <c r="AA24" s="1809">
        <f t="shared" si="3"/>
        <v>1</v>
      </c>
      <c r="AB24" s="1809">
        <f t="shared" si="4"/>
        <v>1</v>
      </c>
      <c r="AC24" s="1809">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30"/>
      <c r="M25" s="1131"/>
      <c r="N25" s="1131"/>
      <c r="O25" s="1132"/>
      <c r="P25" s="3309"/>
      <c r="Q25" s="1793">
        <f t="shared" si="11"/>
        <v>111</v>
      </c>
      <c r="R25" s="768" t="s">
        <v>17</v>
      </c>
      <c r="S25" s="769">
        <f>F25</f>
        <v>100</v>
      </c>
      <c r="T25" s="768" t="s">
        <v>17</v>
      </c>
      <c r="U25" s="769">
        <f>H25</f>
        <v>100</v>
      </c>
      <c r="V25" s="768" t="s">
        <v>17</v>
      </c>
      <c r="W25" s="769">
        <f>J25</f>
        <v>100</v>
      </c>
      <c r="X25" s="770"/>
      <c r="Y25" s="3309"/>
      <c r="Z25" s="55">
        <f>Q25</f>
        <v>111</v>
      </c>
      <c r="AA25" s="1809">
        <f>D25/F25</f>
        <v>1</v>
      </c>
      <c r="AB25" s="1809">
        <f>D25/H25</f>
        <v>1</v>
      </c>
      <c r="AC25" s="1809">
        <f>D25/J25</f>
        <v>1</v>
      </c>
    </row>
    <row r="26" spans="1:29" ht="1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8"/>
      <c r="M26" s="1129"/>
      <c r="N26" s="1129"/>
      <c r="O26" s="1137"/>
      <c r="P26" s="3310"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11" t="s">
        <v>2559</v>
      </c>
      <c r="Z26" s="1812" t="str">
        <f t="shared" ref="Z26:Z34" si="15">Q26</f>
        <v>公共部分装修</v>
      </c>
      <c r="AA26" s="1809">
        <f t="shared" si="3"/>
        <v>1</v>
      </c>
      <c r="AB26" s="1809">
        <f t="shared" si="4"/>
        <v>1</v>
      </c>
      <c r="AC26" s="1809">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311"/>
      <c r="Q27" s="774" t="str">
        <f t="shared" si="11"/>
        <v>成新率</v>
      </c>
      <c r="R27" s="775" t="s">
        <v>17</v>
      </c>
      <c r="S27" s="776" t="e">
        <f t="shared" si="12"/>
        <v>#N/A</v>
      </c>
      <c r="T27" s="775" t="s">
        <v>17</v>
      </c>
      <c r="U27" s="776" t="e">
        <f t="shared" si="13"/>
        <v>#N/A</v>
      </c>
      <c r="V27" s="775" t="s">
        <v>17</v>
      </c>
      <c r="W27" s="776" t="e">
        <f t="shared" si="14"/>
        <v>#N/A</v>
      </c>
      <c r="X27" s="777"/>
      <c r="Y27" s="3311"/>
      <c r="Z27" s="778" t="str">
        <f t="shared" si="15"/>
        <v>成新率</v>
      </c>
      <c r="AA27" s="1809" t="e">
        <f t="shared" si="3"/>
        <v>#N/A</v>
      </c>
      <c r="AB27" s="1809" t="e">
        <f t="shared" si="4"/>
        <v>#N/A</v>
      </c>
      <c r="AC27" s="1809"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311"/>
      <c r="Q28" s="1808" t="str">
        <f t="shared" si="11"/>
        <v>物业等级</v>
      </c>
      <c r="R28" s="772" t="s">
        <v>17</v>
      </c>
      <c r="S28" s="773">
        <f t="shared" si="12"/>
        <v>100</v>
      </c>
      <c r="T28" s="772" t="s">
        <v>17</v>
      </c>
      <c r="U28" s="773">
        <f t="shared" si="13"/>
        <v>100</v>
      </c>
      <c r="V28" s="772" t="s">
        <v>17</v>
      </c>
      <c r="W28" s="773">
        <f t="shared" si="14"/>
        <v>100</v>
      </c>
      <c r="X28" s="1811"/>
      <c r="Y28" s="3311"/>
      <c r="Z28" s="1812" t="str">
        <f t="shared" si="15"/>
        <v>物业等级</v>
      </c>
      <c r="AA28" s="1809">
        <f t="shared" si="3"/>
        <v>1</v>
      </c>
      <c r="AB28" s="1809">
        <f t="shared" si="4"/>
        <v>1</v>
      </c>
      <c r="AC28" s="1809">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311"/>
      <c r="Q29" s="1808" t="str">
        <f t="shared" si="11"/>
        <v>有无电梯</v>
      </c>
      <c r="R29" s="772" t="s">
        <v>17</v>
      </c>
      <c r="S29" s="773">
        <f t="shared" si="12"/>
        <v>100</v>
      </c>
      <c r="T29" s="772" t="s">
        <v>17</v>
      </c>
      <c r="U29" s="773">
        <f t="shared" si="13"/>
        <v>100</v>
      </c>
      <c r="V29" s="772" t="s">
        <v>17</v>
      </c>
      <c r="W29" s="773">
        <f t="shared" si="14"/>
        <v>100</v>
      </c>
      <c r="X29" s="1811"/>
      <c r="Y29" s="3311"/>
      <c r="Z29" s="1812" t="str">
        <f t="shared" si="15"/>
        <v>有无电梯</v>
      </c>
      <c r="AA29" s="1809">
        <f t="shared" si="3"/>
        <v>1</v>
      </c>
      <c r="AB29" s="1809">
        <f t="shared" si="4"/>
        <v>1</v>
      </c>
      <c r="AC29" s="1809">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311"/>
      <c r="Q30" s="1808" t="str">
        <f t="shared" si="11"/>
        <v>建筑面积</v>
      </c>
      <c r="R30" s="772" t="s">
        <v>17</v>
      </c>
      <c r="S30" s="773" t="e">
        <f t="shared" si="12"/>
        <v>#N/A</v>
      </c>
      <c r="T30" s="772" t="s">
        <v>17</v>
      </c>
      <c r="U30" s="773" t="e">
        <f t="shared" si="13"/>
        <v>#N/A</v>
      </c>
      <c r="V30" s="772" t="s">
        <v>17</v>
      </c>
      <c r="W30" s="773" t="e">
        <f t="shared" si="14"/>
        <v>#N/A</v>
      </c>
      <c r="X30" s="1811"/>
      <c r="Y30" s="3311"/>
      <c r="Z30" s="1812" t="str">
        <f t="shared" si="15"/>
        <v>建筑面积</v>
      </c>
      <c r="AA30" s="1809" t="e">
        <f t="shared" si="3"/>
        <v>#N/A</v>
      </c>
      <c r="AB30" s="1809" t="e">
        <f t="shared" si="4"/>
        <v>#N/A</v>
      </c>
      <c r="AC30" s="1809" t="e">
        <f t="shared" si="5"/>
        <v>#N/A</v>
      </c>
    </row>
    <row r="31" spans="1:29" s="115"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311"/>
      <c r="Q31" s="1793" t="str">
        <f t="shared" si="11"/>
        <v>是否封闭</v>
      </c>
      <c r="R31" s="768" t="s">
        <v>17</v>
      </c>
      <c r="S31" s="769">
        <f t="shared" si="12"/>
        <v>100</v>
      </c>
      <c r="T31" s="768" t="s">
        <v>17</v>
      </c>
      <c r="U31" s="769">
        <f t="shared" si="13"/>
        <v>100</v>
      </c>
      <c r="V31" s="768" t="s">
        <v>17</v>
      </c>
      <c r="W31" s="769">
        <f t="shared" si="14"/>
        <v>100</v>
      </c>
      <c r="X31" s="770"/>
      <c r="Y31" s="3311"/>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311" t="s">
        <v>2559</v>
      </c>
      <c r="Q32" s="1808">
        <f t="shared" si="11"/>
        <v>111</v>
      </c>
      <c r="R32" s="772" t="s">
        <v>17</v>
      </c>
      <c r="S32" s="773">
        <f t="shared" si="12"/>
        <v>100</v>
      </c>
      <c r="T32" s="772" t="s">
        <v>17</v>
      </c>
      <c r="U32" s="773">
        <f t="shared" si="13"/>
        <v>100</v>
      </c>
      <c r="V32" s="772" t="s">
        <v>17</v>
      </c>
      <c r="W32" s="773">
        <f t="shared" si="14"/>
        <v>100</v>
      </c>
      <c r="X32" s="1811"/>
      <c r="Y32" s="3311" t="s">
        <v>2559</v>
      </c>
      <c r="Z32" s="1812">
        <f t="shared" si="15"/>
        <v>111</v>
      </c>
      <c r="AA32" s="1809">
        <f t="shared" si="3"/>
        <v>1</v>
      </c>
      <c r="AB32" s="1809">
        <f t="shared" si="4"/>
        <v>1</v>
      </c>
      <c r="AC32" s="1809">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311"/>
      <c r="Q33" s="1808">
        <f t="shared" si="11"/>
        <v>111</v>
      </c>
      <c r="R33" s="772" t="s">
        <v>17</v>
      </c>
      <c r="S33" s="773">
        <f t="shared" si="12"/>
        <v>100</v>
      </c>
      <c r="T33" s="772" t="s">
        <v>17</v>
      </c>
      <c r="U33" s="773">
        <f t="shared" si="13"/>
        <v>100</v>
      </c>
      <c r="V33" s="772" t="s">
        <v>17</v>
      </c>
      <c r="W33" s="773">
        <f t="shared" si="14"/>
        <v>100</v>
      </c>
      <c r="X33" s="1811"/>
      <c r="Y33" s="3311"/>
      <c r="Z33" s="1812">
        <f t="shared" si="15"/>
        <v>111</v>
      </c>
      <c r="AA33" s="1809">
        <f t="shared" si="3"/>
        <v>1</v>
      </c>
      <c r="AB33" s="1809">
        <f t="shared" si="4"/>
        <v>1</v>
      </c>
      <c r="AC33" s="1809">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8"/>
      <c r="M34" s="1129"/>
      <c r="N34" s="1129"/>
      <c r="O34" s="1137"/>
      <c r="P34" s="3311"/>
      <c r="Q34" s="1808">
        <f t="shared" si="11"/>
        <v>111</v>
      </c>
      <c r="R34" s="772" t="s">
        <v>17</v>
      </c>
      <c r="S34" s="773">
        <f t="shared" si="12"/>
        <v>100</v>
      </c>
      <c r="T34" s="772" t="s">
        <v>17</v>
      </c>
      <c r="U34" s="773">
        <f t="shared" si="13"/>
        <v>100</v>
      </c>
      <c r="V34" s="772" t="s">
        <v>17</v>
      </c>
      <c r="W34" s="773">
        <f t="shared" si="14"/>
        <v>100</v>
      </c>
      <c r="X34" s="1811"/>
      <c r="Y34" s="3311"/>
      <c r="Z34" s="1812">
        <f t="shared" si="15"/>
        <v>111</v>
      </c>
      <c r="AA34" s="1809">
        <f t="shared" si="3"/>
        <v>1</v>
      </c>
      <c r="AB34" s="1809">
        <f t="shared" si="4"/>
        <v>1</v>
      </c>
      <c r="AC34" s="1809">
        <f t="shared" si="5"/>
        <v>1</v>
      </c>
    </row>
    <row r="35" spans="1:29" ht="15">
      <c r="A35" s="477" t="s">
        <v>2571</v>
      </c>
      <c r="B35" s="478"/>
      <c r="C35" s="1405" t="s">
        <v>1</v>
      </c>
      <c r="D35" s="1406"/>
      <c r="E35" s="1407"/>
      <c r="F35" s="1408"/>
      <c r="G35" s="1409"/>
      <c r="H35" s="1410"/>
      <c r="I35" s="1407"/>
      <c r="J35" s="1410"/>
      <c r="K35" s="781"/>
      <c r="L35" s="1141"/>
      <c r="M35" s="1142"/>
      <c r="N35" s="1129"/>
      <c r="O35" s="1142"/>
      <c r="P35" s="3293" t="str">
        <f>A35</f>
        <v>成交单价（元/平方米）</v>
      </c>
      <c r="Q35" s="3293"/>
      <c r="R35" s="3372">
        <f>E35</f>
        <v>0</v>
      </c>
      <c r="S35" s="3372"/>
      <c r="T35" s="3372">
        <f>G35</f>
        <v>0</v>
      </c>
      <c r="U35" s="3372"/>
      <c r="V35" s="3372">
        <f>I35</f>
        <v>0</v>
      </c>
      <c r="W35" s="3372"/>
      <c r="X35" s="757"/>
      <c r="Y35" s="779"/>
      <c r="Z35" s="757"/>
      <c r="AA35" s="757"/>
      <c r="AB35" s="757"/>
      <c r="AC35" s="757"/>
    </row>
    <row r="36" spans="1:29" ht="15.75" thickBot="1">
      <c r="A36" s="484" t="s">
        <v>2663</v>
      </c>
      <c r="B36" s="485"/>
      <c r="C36" s="1411" t="e">
        <f>R37</f>
        <v>#DIV/0!</v>
      </c>
      <c r="D36" s="1412"/>
      <c r="E36" s="1413" t="e">
        <f>R36</f>
        <v>#DIV/0!</v>
      </c>
      <c r="F36" s="1413"/>
      <c r="G36" s="1411" t="e">
        <f>T36</f>
        <v>#DIV/0!</v>
      </c>
      <c r="H36" s="1412"/>
      <c r="I36" s="1413" t="e">
        <f>V36</f>
        <v>#DIV/0!</v>
      </c>
      <c r="J36" s="1412"/>
      <c r="K36" s="782"/>
      <c r="L36" s="1141"/>
      <c r="M36" s="1142"/>
      <c r="N36" s="1129"/>
      <c r="O36" s="1142"/>
      <c r="P36" s="3293" t="str">
        <f>A36</f>
        <v>比较价值（元/平方米）</v>
      </c>
      <c r="Q36" s="3293"/>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757"/>
      <c r="Y36" s="757"/>
      <c r="Z36" s="757"/>
      <c r="AA36" s="757"/>
      <c r="AB36" s="757"/>
      <c r="AC36" s="757"/>
    </row>
    <row r="37" spans="1:29" ht="15.75" thickBot="1">
      <c r="A37" s="490" t="s">
        <v>2664</v>
      </c>
      <c r="B37" s="491"/>
      <c r="C37" s="1415" t="e">
        <f>R37</f>
        <v>#DIV/0!</v>
      </c>
      <c r="D37" s="1415"/>
      <c r="E37" s="1415"/>
      <c r="F37" s="1415"/>
      <c r="G37" s="1415"/>
      <c r="H37" s="1415"/>
      <c r="I37" s="1415"/>
      <c r="J37" s="1415"/>
      <c r="K37" s="783"/>
      <c r="L37" s="1141"/>
      <c r="M37" s="1142"/>
      <c r="N37" s="1142"/>
      <c r="O37" s="1142"/>
      <c r="P37" s="3313" t="str">
        <f>A37</f>
        <v>估价对象XX用房的比较价值（楼面单价，元/平方米）</v>
      </c>
      <c r="Q37" s="3314"/>
      <c r="R37" s="3371" t="e">
        <f>IF(F1="售价",ROUND(AVERAGE(R36:V36),0),ROUND(AVERAGE(R36:V36),1))</f>
        <v>#DIV/0!</v>
      </c>
      <c r="S37" s="3371"/>
      <c r="T37" s="3371"/>
      <c r="U37" s="3371"/>
      <c r="V37" s="3371"/>
      <c r="W37" s="337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1"/>
      <c r="Q45" s="502"/>
    </row>
    <row r="46" spans="1:29" s="506" customFormat="1" ht="15">
      <c r="A46" s="503" t="s">
        <v>2542</v>
      </c>
      <c r="B46" s="504"/>
      <c r="C46" s="1572" t="str">
        <f>YEAR(C7)&amp;"-"&amp;MONTH(C7)</f>
        <v>2018-4</v>
      </c>
      <c r="D46" s="1573">
        <f>EDATE(C46,-1)</f>
        <v>43160</v>
      </c>
      <c r="E46" s="1573">
        <f t="shared" ref="E46:O46" si="16">EDATE(D46,-1)</f>
        <v>43132</v>
      </c>
      <c r="F46" s="1573">
        <f t="shared" si="16"/>
        <v>43101</v>
      </c>
      <c r="G46" s="1573">
        <f t="shared" si="16"/>
        <v>43070</v>
      </c>
      <c r="H46" s="1573">
        <f t="shared" si="16"/>
        <v>43040</v>
      </c>
      <c r="I46" s="1573">
        <f t="shared" si="16"/>
        <v>43009</v>
      </c>
      <c r="J46" s="1573">
        <f t="shared" si="16"/>
        <v>42979</v>
      </c>
      <c r="K46" s="1573">
        <f t="shared" si="16"/>
        <v>42948</v>
      </c>
      <c r="L46" s="1573">
        <f t="shared" si="16"/>
        <v>42917</v>
      </c>
      <c r="M46" s="1573">
        <f t="shared" si="16"/>
        <v>42887</v>
      </c>
      <c r="N46" s="1573">
        <f t="shared" si="16"/>
        <v>42856</v>
      </c>
      <c r="O46" s="1573">
        <f t="shared" si="16"/>
        <v>42826</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2579</v>
      </c>
      <c r="B48" s="514"/>
      <c r="C48" s="515"/>
      <c r="D48" s="516"/>
      <c r="E48" s="516"/>
      <c r="F48" s="516"/>
      <c r="G48" s="516"/>
      <c r="H48" s="516"/>
      <c r="I48" s="516"/>
      <c r="J48" s="516"/>
      <c r="K48" s="516"/>
      <c r="L48" s="516"/>
      <c r="M48" s="517"/>
      <c r="N48" s="516"/>
      <c r="O48" s="518"/>
      <c r="P48" s="502"/>
      <c r="Q48" s="502"/>
    </row>
    <row r="49" spans="1:17" s="115" customFormat="1" ht="15">
      <c r="A49" s="519" t="s">
        <v>2544</v>
      </c>
      <c r="B49" s="508"/>
      <c r="C49" s="520" t="s">
        <v>2646</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2582</v>
      </c>
      <c r="B51" s="526" t="s">
        <v>2548</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2723</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5" customFormat="1" ht="15.75" thickTop="1">
      <c r="A71" s="577"/>
      <c r="B71" s="536">
        <f>B23</f>
        <v>111</v>
      </c>
      <c r="C71" s="547"/>
      <c r="D71" s="547"/>
      <c r="E71" s="547"/>
      <c r="F71" s="547"/>
      <c r="G71" s="552"/>
      <c r="H71" s="552"/>
      <c r="I71" s="552"/>
      <c r="J71" s="552"/>
      <c r="K71" s="552"/>
      <c r="L71" s="578"/>
      <c r="M71" s="579"/>
      <c r="N71" s="1149"/>
      <c r="O71" s="1149"/>
      <c r="P71" s="45"/>
      <c r="Q71" s="502"/>
    </row>
    <row r="72" spans="1:17" s="115" customFormat="1" ht="15.75" thickBot="1">
      <c r="A72" s="577"/>
      <c r="B72" s="541"/>
      <c r="C72" s="558"/>
      <c r="D72" s="534"/>
      <c r="E72" s="534"/>
      <c r="F72" s="534"/>
      <c r="G72" s="534"/>
      <c r="H72" s="534"/>
      <c r="I72" s="534"/>
      <c r="J72" s="534"/>
      <c r="K72" s="534"/>
      <c r="L72" s="534"/>
      <c r="M72" s="535"/>
      <c r="N72" s="1151"/>
      <c r="O72" s="1151"/>
      <c r="P72" s="45"/>
      <c r="Q72" s="502"/>
    </row>
    <row r="73" spans="1:17" s="115" customFormat="1" ht="15.75" thickTop="1">
      <c r="A73" s="577"/>
      <c r="B73" s="536">
        <f>B24</f>
        <v>111</v>
      </c>
      <c r="C73" s="547"/>
      <c r="D73" s="547"/>
      <c r="E73" s="547"/>
      <c r="F73" s="547"/>
      <c r="G73" s="552"/>
      <c r="H73" s="552"/>
      <c r="I73" s="552"/>
      <c r="J73" s="552"/>
      <c r="K73" s="552"/>
      <c r="L73" s="552"/>
      <c r="M73" s="579"/>
      <c r="N73" s="1149"/>
      <c r="O73" s="1149"/>
      <c r="P73" s="45"/>
      <c r="Q73" s="502"/>
    </row>
    <row r="74" spans="1:17" s="115"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2557</v>
      </c>
      <c r="B77" s="526" t="s">
        <v>2610</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2727</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2735</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2737</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4" t="s">
        <v>2640</v>
      </c>
      <c r="D4" s="3295"/>
      <c r="E4" s="3296" t="s">
        <v>2641</v>
      </c>
      <c r="F4" s="3297"/>
      <c r="G4" s="3294" t="s">
        <v>2642</v>
      </c>
      <c r="H4" s="3295"/>
      <c r="I4" s="3294" t="s">
        <v>2643</v>
      </c>
      <c r="J4" s="3295"/>
      <c r="K4" s="608" t="s">
        <v>2644</v>
      </c>
      <c r="L4" s="1128"/>
      <c r="M4" s="1129"/>
      <c r="N4" s="1129"/>
      <c r="O4" s="1129"/>
      <c r="P4" s="3298" t="s">
        <v>2645</v>
      </c>
      <c r="Q4" s="3299"/>
      <c r="R4" s="3279" t="s">
        <v>2641</v>
      </c>
      <c r="S4" s="3280"/>
      <c r="T4" s="3279" t="s">
        <v>2642</v>
      </c>
      <c r="U4" s="3280"/>
      <c r="V4" s="3306" t="s">
        <v>2643</v>
      </c>
      <c r="W4" s="3306"/>
      <c r="X4" s="1811"/>
      <c r="Y4" s="3279" t="s">
        <v>2645</v>
      </c>
      <c r="Z4" s="3280"/>
      <c r="AA4" s="3274" t="s">
        <v>2641</v>
      </c>
      <c r="AB4" s="3275" t="s">
        <v>2642</v>
      </c>
      <c r="AC4" s="3274" t="s">
        <v>2643</v>
      </c>
    </row>
    <row r="5" spans="1:29" ht="15">
      <c r="A5" s="402"/>
      <c r="B5" s="403"/>
      <c r="C5" s="3285" t="s">
        <v>2536</v>
      </c>
      <c r="D5" s="3286"/>
      <c r="E5" s="3369" t="s">
        <v>2537</v>
      </c>
      <c r="F5" s="3284"/>
      <c r="G5" s="3285" t="s">
        <v>2538</v>
      </c>
      <c r="H5" s="3286"/>
      <c r="I5" s="3285" t="s">
        <v>2539</v>
      </c>
      <c r="J5" s="3286"/>
      <c r="K5" s="608"/>
      <c r="L5" s="1128"/>
      <c r="M5" s="1129"/>
      <c r="N5" s="1129"/>
      <c r="O5" s="1129"/>
      <c r="P5" s="3300"/>
      <c r="Q5" s="3301"/>
      <c r="R5" s="3281"/>
      <c r="S5" s="3282"/>
      <c r="T5" s="3281"/>
      <c r="U5" s="3282"/>
      <c r="V5" s="3306"/>
      <c r="W5" s="3306"/>
      <c r="X5" s="1811"/>
      <c r="Y5" s="3281"/>
      <c r="Z5" s="3282"/>
      <c r="AA5" s="3275"/>
      <c r="AB5" s="3275"/>
      <c r="AC5" s="3275"/>
    </row>
    <row r="6" spans="1:29" ht="15.75" thickBot="1">
      <c r="A6" s="404"/>
      <c r="B6" s="405"/>
      <c r="C6" s="3394" t="s">
        <v>2790</v>
      </c>
      <c r="D6" s="3395"/>
      <c r="E6" s="3396" t="s">
        <v>2790</v>
      </c>
      <c r="F6" s="3397"/>
      <c r="G6" s="3394" t="s">
        <v>2790</v>
      </c>
      <c r="H6" s="3395"/>
      <c r="I6" s="3394" t="s">
        <v>2790</v>
      </c>
      <c r="J6" s="3395"/>
      <c r="K6" s="608" t="s">
        <v>2541</v>
      </c>
      <c r="L6" s="1128"/>
      <c r="M6" s="1129"/>
      <c r="N6" s="1129"/>
      <c r="O6" s="1129"/>
      <c r="P6" s="3302"/>
      <c r="Q6" s="3303"/>
      <c r="R6" s="3281"/>
      <c r="S6" s="3282"/>
      <c r="T6" s="3304"/>
      <c r="U6" s="3305"/>
      <c r="V6" s="3306"/>
      <c r="W6" s="3306"/>
      <c r="X6" s="1811"/>
      <c r="Y6" s="3304"/>
      <c r="Z6" s="3305"/>
      <c r="AA6" s="3276"/>
      <c r="AB6" s="3276"/>
      <c r="AC6" s="3276"/>
    </row>
    <row r="7" spans="1:29" s="115" customFormat="1" ht="15.75" thickBot="1">
      <c r="A7" s="406" t="s">
        <v>2542</v>
      </c>
      <c r="B7" s="407"/>
      <c r="C7" s="408">
        <f>'数据-取费表'!B2</f>
        <v>43202</v>
      </c>
      <c r="D7" s="409">
        <v>100</v>
      </c>
      <c r="E7" s="410"/>
      <c r="F7" s="411">
        <f>SUMIF(65:65,YEAR(E7)&amp;"-"&amp;INT((MONTH(E7)+2)/3),66:66)</f>
        <v>0</v>
      </c>
      <c r="G7" s="2690"/>
      <c r="H7" s="409">
        <f>SUMIF(65:65,YEAR(G7)&amp;"-"&amp;INT((MONTH(G7)+2)/3),66:66)</f>
        <v>0</v>
      </c>
      <c r="I7" s="2690"/>
      <c r="J7" s="409">
        <f>SUMIF(65:65,YEAR(I7)&amp;"-"&amp;INT((MONTH(I7)+2)/3),66:66)</f>
        <v>0</v>
      </c>
      <c r="K7" s="609"/>
      <c r="L7" s="1130"/>
      <c r="M7" s="1131"/>
      <c r="N7" s="1131"/>
      <c r="O7" s="1131"/>
      <c r="P7" s="3277" t="s">
        <v>2543</v>
      </c>
      <c r="Q7" s="3307"/>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0" si="3">D8/F8</f>
        <v>#DIV/0!</v>
      </c>
      <c r="AB8" s="771" t="e">
        <f t="shared" ref="AB8:AB40" si="4">D8/H8</f>
        <v>#DIV/0!</v>
      </c>
      <c r="AC8" s="771" t="e">
        <f t="shared" ref="AC8:AC40" si="5">D8/J8</f>
        <v>#DIV/0!</v>
      </c>
    </row>
    <row r="9" spans="1:29" s="115"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30"/>
      <c r="M9" s="1131"/>
      <c r="N9" s="1131"/>
      <c r="O9" s="1132"/>
      <c r="P9" s="3293"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30"/>
      <c r="D10" s="134">
        <v>100</v>
      </c>
      <c r="E10" s="430"/>
      <c r="F10" s="134">
        <f>ROUND(100/'数据-取费表'!G16,0)</f>
        <v>106</v>
      </c>
      <c r="G10" s="430"/>
      <c r="H10" s="134">
        <f>ROUND(100/'数据-取费表'!G16,0)</f>
        <v>106</v>
      </c>
      <c r="I10" s="430"/>
      <c r="J10" s="134">
        <f>ROUND(100/'数据-取费表'!G16,0)</f>
        <v>106</v>
      </c>
      <c r="K10" s="670"/>
      <c r="L10" s="1133"/>
      <c r="M10" s="1134"/>
      <c r="N10" s="1134"/>
      <c r="O10" s="1135"/>
      <c r="P10" s="3293"/>
      <c r="Q10" s="1793" t="str">
        <f t="shared" si="6"/>
        <v>土地使用年限（年）</v>
      </c>
      <c r="R10" s="768" t="s">
        <v>17</v>
      </c>
      <c r="S10" s="769">
        <f t="shared" si="0"/>
        <v>106</v>
      </c>
      <c r="T10" s="768" t="s">
        <v>17</v>
      </c>
      <c r="U10" s="769">
        <f t="shared" si="1"/>
        <v>106</v>
      </c>
      <c r="V10" s="768" t="s">
        <v>17</v>
      </c>
      <c r="W10" s="769">
        <f t="shared" si="2"/>
        <v>106</v>
      </c>
      <c r="X10" s="770"/>
      <c r="Y10" s="3151"/>
      <c r="Z10" s="55" t="str">
        <f t="shared" si="7"/>
        <v>土地使用年限（年）</v>
      </c>
      <c r="AA10" s="771">
        <f t="shared" si="3"/>
        <v>0.94339622641509435</v>
      </c>
      <c r="AB10" s="771">
        <f t="shared" si="4"/>
        <v>0.94339622641509435</v>
      </c>
      <c r="AC10" s="771">
        <f t="shared" si="5"/>
        <v>0.94339622641509435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93"/>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93"/>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93"/>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93"/>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27" t="s">
        <v>2791</v>
      </c>
      <c r="C15" s="268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308" t="s">
        <v>2554</v>
      </c>
      <c r="Q15" s="1808" t="str">
        <f t="shared" si="6"/>
        <v>产业集聚程度</v>
      </c>
      <c r="R15" s="772" t="s">
        <v>17</v>
      </c>
      <c r="S15" s="773">
        <f t="shared" si="0"/>
        <v>100</v>
      </c>
      <c r="T15" s="772" t="s">
        <v>17</v>
      </c>
      <c r="U15" s="773">
        <f t="shared" si="1"/>
        <v>100</v>
      </c>
      <c r="V15" s="772" t="s">
        <v>17</v>
      </c>
      <c r="W15" s="773">
        <f t="shared" si="2"/>
        <v>100</v>
      </c>
      <c r="X15" s="1811"/>
      <c r="Y15" s="3308" t="s">
        <v>2554</v>
      </c>
      <c r="Z15" s="1812" t="str">
        <f t="shared" si="7"/>
        <v>产业集聚程度</v>
      </c>
      <c r="AA15" s="1809">
        <f t="shared" si="3"/>
        <v>1</v>
      </c>
      <c r="AB15" s="1809">
        <f t="shared" si="4"/>
        <v>1</v>
      </c>
      <c r="AC15" s="1809">
        <f t="shared" si="5"/>
        <v>1</v>
      </c>
    </row>
    <row r="16" spans="1:29" ht="15">
      <c r="A16" s="426"/>
      <c r="B16" s="628"/>
      <c r="C16" s="445"/>
      <c r="D16" s="446"/>
      <c r="E16" s="2605"/>
      <c r="F16" s="446"/>
      <c r="G16" s="2605"/>
      <c r="H16" s="448"/>
      <c r="I16" s="2605"/>
      <c r="J16" s="446"/>
      <c r="K16" s="670"/>
      <c r="L16" s="1138"/>
      <c r="M16" s="1129"/>
      <c r="N16" s="1129"/>
      <c r="O16" s="1137"/>
      <c r="P16" s="3309"/>
      <c r="Q16" s="1808"/>
      <c r="R16" s="772"/>
      <c r="S16" s="773"/>
      <c r="T16" s="772"/>
      <c r="U16" s="773"/>
      <c r="V16" s="772"/>
      <c r="W16" s="773"/>
      <c r="X16" s="1811"/>
      <c r="Y16" s="3309"/>
      <c r="Z16" s="1812"/>
      <c r="AA16" s="1809">
        <v>1</v>
      </c>
      <c r="AB16" s="1809">
        <v>1</v>
      </c>
      <c r="AC16" s="1809">
        <v>1</v>
      </c>
    </row>
    <row r="17" spans="1:29" ht="15">
      <c r="A17" s="426"/>
      <c r="B17" s="629" t="s">
        <v>2703</v>
      </c>
      <c r="C17" s="260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309"/>
      <c r="Q17" s="1808" t="str">
        <f>B17</f>
        <v>交通便捷度</v>
      </c>
      <c r="R17" s="772" t="s">
        <v>17</v>
      </c>
      <c r="S17" s="773">
        <f>F17</f>
        <v>100</v>
      </c>
      <c r="T17" s="772" t="s">
        <v>17</v>
      </c>
      <c r="U17" s="773">
        <f>H17</f>
        <v>100</v>
      </c>
      <c r="V17" s="772" t="s">
        <v>17</v>
      </c>
      <c r="W17" s="773">
        <f>J17</f>
        <v>100</v>
      </c>
      <c r="X17" s="1811"/>
      <c r="Y17" s="3309"/>
      <c r="Z17" s="1812" t="str">
        <f>Q17</f>
        <v>交通便捷度</v>
      </c>
      <c r="AA17" s="1809">
        <f t="shared" si="3"/>
        <v>1</v>
      </c>
      <c r="AB17" s="1809">
        <f t="shared" si="4"/>
        <v>1</v>
      </c>
      <c r="AC17" s="1809">
        <f t="shared" si="5"/>
        <v>1</v>
      </c>
    </row>
    <row r="18" spans="1:29" ht="15">
      <c r="A18" s="426"/>
      <c r="B18" s="630"/>
      <c r="C18" s="445"/>
      <c r="D18" s="446"/>
      <c r="E18" s="2599"/>
      <c r="F18" s="446"/>
      <c r="G18" s="2599"/>
      <c r="H18" s="446"/>
      <c r="I18" s="2598"/>
      <c r="J18" s="446"/>
      <c r="K18" s="670"/>
      <c r="L18" s="1138"/>
      <c r="M18" s="1129"/>
      <c r="N18" s="1129"/>
      <c r="O18" s="1137"/>
      <c r="P18" s="3309"/>
      <c r="Q18" s="1808"/>
      <c r="R18" s="772"/>
      <c r="S18" s="773"/>
      <c r="T18" s="772"/>
      <c r="U18" s="773"/>
      <c r="V18" s="772"/>
      <c r="W18" s="773"/>
      <c r="X18" s="1811"/>
      <c r="Y18" s="3309"/>
      <c r="Z18" s="1812"/>
      <c r="AA18" s="1809">
        <v>1</v>
      </c>
      <c r="AB18" s="1809">
        <v>1</v>
      </c>
      <c r="AC18" s="1809">
        <v>1</v>
      </c>
    </row>
    <row r="19" spans="1:29" ht="15">
      <c r="A19" s="426"/>
      <c r="B19" s="629" t="s">
        <v>2741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309"/>
      <c r="Q19" s="1808" t="str">
        <f t="shared" ref="Q19:Q33" si="8">B19</f>
        <v>区域土地利用方向</v>
      </c>
      <c r="R19" s="772" t="s">
        <v>17</v>
      </c>
      <c r="S19" s="773">
        <f>F19</f>
        <v>100</v>
      </c>
      <c r="T19" s="772" t="s">
        <v>17</v>
      </c>
      <c r="U19" s="773">
        <f>H19</f>
        <v>100</v>
      </c>
      <c r="V19" s="772" t="s">
        <v>17</v>
      </c>
      <c r="W19" s="773">
        <f>J19</f>
        <v>100</v>
      </c>
      <c r="X19" s="1811"/>
      <c r="Y19" s="3309"/>
      <c r="Z19" s="1812" t="str">
        <f>Q19</f>
        <v>区域土地利用方向</v>
      </c>
      <c r="AA19" s="1809">
        <f t="shared" si="3"/>
        <v>1</v>
      </c>
      <c r="AB19" s="1809">
        <f t="shared" si="4"/>
        <v>1</v>
      </c>
      <c r="AC19" s="1809">
        <f t="shared" si="5"/>
        <v>1</v>
      </c>
    </row>
    <row r="20" spans="1:29" ht="15">
      <c r="A20" s="402"/>
      <c r="B20" s="630"/>
      <c r="C20" s="445"/>
      <c r="D20" s="446"/>
      <c r="E20" s="2599"/>
      <c r="F20" s="446"/>
      <c r="G20" s="2599"/>
      <c r="H20" s="446"/>
      <c r="I20" s="2599"/>
      <c r="J20" s="446"/>
      <c r="K20" s="807"/>
      <c r="L20" s="1138"/>
      <c r="M20" s="1129"/>
      <c r="N20" s="1129"/>
      <c r="O20" s="1137"/>
      <c r="P20" s="3309"/>
      <c r="Q20" s="1808"/>
      <c r="R20" s="772"/>
      <c r="S20" s="773"/>
      <c r="T20" s="772"/>
      <c r="U20" s="773"/>
      <c r="V20" s="772"/>
      <c r="W20" s="773"/>
      <c r="X20" s="1811"/>
      <c r="Y20" s="3309"/>
      <c r="Z20" s="1812"/>
      <c r="AA20" s="1809"/>
      <c r="AB20" s="1809"/>
      <c r="AC20" s="1809"/>
    </row>
    <row r="21" spans="1:29" ht="15">
      <c r="A21" s="402"/>
      <c r="B21" s="629" t="s">
        <v>2792</v>
      </c>
      <c r="C21" s="260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309"/>
      <c r="Q21" s="1808" t="str">
        <f t="shared" si="8"/>
        <v>环境状况</v>
      </c>
      <c r="R21" s="772" t="s">
        <v>17</v>
      </c>
      <c r="S21" s="773">
        <f>F21</f>
        <v>100</v>
      </c>
      <c r="T21" s="772" t="s">
        <v>17</v>
      </c>
      <c r="U21" s="773">
        <f>H21</f>
        <v>100</v>
      </c>
      <c r="V21" s="772" t="s">
        <v>17</v>
      </c>
      <c r="W21" s="773">
        <f>J21</f>
        <v>100</v>
      </c>
      <c r="X21" s="1811"/>
      <c r="Y21" s="3309"/>
      <c r="Z21" s="1812" t="str">
        <f>Q21</f>
        <v>环境状况</v>
      </c>
      <c r="AA21" s="1809">
        <f t="shared" si="3"/>
        <v>1</v>
      </c>
      <c r="AB21" s="1809">
        <f t="shared" si="4"/>
        <v>1</v>
      </c>
      <c r="AC21" s="1809">
        <f t="shared" si="5"/>
        <v>1</v>
      </c>
    </row>
    <row r="22" spans="1:29" ht="15">
      <c r="A22" s="402"/>
      <c r="B22" s="630"/>
      <c r="C22" s="445"/>
      <c r="D22" s="446"/>
      <c r="E22" s="2605"/>
      <c r="F22" s="446"/>
      <c r="G22" s="2605"/>
      <c r="H22" s="446"/>
      <c r="I22" s="445"/>
      <c r="J22" s="446"/>
      <c r="K22" s="670"/>
      <c r="L22" s="1138"/>
      <c r="M22" s="1129"/>
      <c r="N22" s="1129"/>
      <c r="O22" s="1137"/>
      <c r="P22" s="3309"/>
      <c r="Q22" s="1808"/>
      <c r="R22" s="772"/>
      <c r="S22" s="773"/>
      <c r="T22" s="772"/>
      <c r="U22" s="773"/>
      <c r="V22" s="772"/>
      <c r="W22" s="773"/>
      <c r="X22" s="1811"/>
      <c r="Y22" s="3309"/>
      <c r="Z22" s="1812"/>
      <c r="AA22" s="1809">
        <v>1</v>
      </c>
      <c r="AB22" s="1809">
        <v>1</v>
      </c>
      <c r="AC22" s="1809">
        <v>1</v>
      </c>
    </row>
    <row r="23" spans="1:29" s="115" customFormat="1" ht="15">
      <c r="A23" s="647"/>
      <c r="B23" s="631" t="s">
        <v>2648</v>
      </c>
      <c r="C23" s="260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309"/>
      <c r="Q23" s="1793" t="str">
        <f t="shared" si="8"/>
        <v>公共配套设施</v>
      </c>
      <c r="R23" s="768" t="s">
        <v>17</v>
      </c>
      <c r="S23" s="769">
        <f>F23</f>
        <v>100</v>
      </c>
      <c r="T23" s="768" t="s">
        <v>17</v>
      </c>
      <c r="U23" s="769">
        <f>H23</f>
        <v>100</v>
      </c>
      <c r="V23" s="768" t="s">
        <v>17</v>
      </c>
      <c r="W23" s="769">
        <f>J23</f>
        <v>100</v>
      </c>
      <c r="X23" s="770"/>
      <c r="Y23" s="3309"/>
      <c r="Z23" s="55" t="str">
        <f>Q23</f>
        <v>公共配套设施</v>
      </c>
      <c r="AA23" s="1809">
        <f>D23/F23</f>
        <v>1</v>
      </c>
      <c r="AB23" s="1809">
        <f>D23/H23</f>
        <v>1</v>
      </c>
      <c r="AC23" s="1809">
        <f>D23/J23</f>
        <v>1</v>
      </c>
    </row>
    <row r="24" spans="1:29" s="115" customFormat="1" ht="15">
      <c r="A24" s="647"/>
      <c r="B24" s="630"/>
      <c r="C24" s="2694"/>
      <c r="D24" s="446"/>
      <c r="E24" s="2605"/>
      <c r="F24" s="446"/>
      <c r="G24" s="2605"/>
      <c r="H24" s="446"/>
      <c r="I24" s="445"/>
      <c r="J24" s="446"/>
      <c r="K24" s="670"/>
      <c r="L24" s="1130"/>
      <c r="M24" s="1131"/>
      <c r="N24" s="1131"/>
      <c r="O24" s="1132"/>
      <c r="P24" s="3309"/>
      <c r="Q24" s="1793"/>
      <c r="R24" s="768"/>
      <c r="S24" s="769"/>
      <c r="T24" s="768"/>
      <c r="U24" s="769"/>
      <c r="V24" s="768"/>
      <c r="W24" s="769"/>
      <c r="X24" s="770"/>
      <c r="Y24" s="3309"/>
      <c r="Z24" s="55"/>
      <c r="AA24" s="771">
        <v>1</v>
      </c>
      <c r="AB24" s="771">
        <v>1</v>
      </c>
      <c r="AC24" s="771">
        <v>1</v>
      </c>
    </row>
    <row r="25" spans="1:29" s="115" customFormat="1" ht="15">
      <c r="A25" s="647"/>
      <c r="B25" s="631" t="s">
        <v>2649</v>
      </c>
      <c r="C25" s="260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309"/>
      <c r="Q25" s="1793" t="str">
        <f t="shared" ref="Q25" si="9">B25</f>
        <v>基础设施水平</v>
      </c>
      <c r="R25" s="768" t="s">
        <v>17</v>
      </c>
      <c r="S25" s="769">
        <f>F25</f>
        <v>100</v>
      </c>
      <c r="T25" s="768" t="s">
        <v>17</v>
      </c>
      <c r="U25" s="769">
        <f>H25</f>
        <v>100</v>
      </c>
      <c r="V25" s="768" t="s">
        <v>17</v>
      </c>
      <c r="W25" s="769">
        <f>J25</f>
        <v>100</v>
      </c>
      <c r="X25" s="770"/>
      <c r="Y25" s="3309"/>
      <c r="Z25" s="55" t="str">
        <f>Q25</f>
        <v>基础设施水平</v>
      </c>
      <c r="AA25" s="1809">
        <f>D25/F25</f>
        <v>1</v>
      </c>
      <c r="AB25" s="1809">
        <f>D25/H25</f>
        <v>1</v>
      </c>
      <c r="AC25" s="1809">
        <f>D25/J25</f>
        <v>1</v>
      </c>
    </row>
    <row r="26" spans="1:29" s="115" customFormat="1" ht="15">
      <c r="A26" s="647"/>
      <c r="B26" s="630"/>
      <c r="C26" s="2694"/>
      <c r="D26" s="446"/>
      <c r="E26" s="2695"/>
      <c r="F26" s="446"/>
      <c r="G26" s="2695"/>
      <c r="H26" s="446"/>
      <c r="I26" s="2695"/>
      <c r="J26" s="446"/>
      <c r="K26" s="670"/>
      <c r="L26" s="1130"/>
      <c r="M26" s="1131"/>
      <c r="N26" s="1131"/>
      <c r="O26" s="1132"/>
      <c r="P26" s="3309"/>
      <c r="Q26" s="1793"/>
      <c r="R26" s="768"/>
      <c r="S26" s="769"/>
      <c r="T26" s="768"/>
      <c r="U26" s="769"/>
      <c r="V26" s="768"/>
      <c r="W26" s="769"/>
      <c r="X26" s="770"/>
      <c r="Y26" s="3309"/>
      <c r="Z26" s="55"/>
      <c r="AA26" s="771">
        <v>1</v>
      </c>
      <c r="AB26" s="771">
        <v>1</v>
      </c>
      <c r="AC26" s="771">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30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09"/>
      <c r="Z27" s="1812" t="str">
        <f t="shared" ref="Z27:Z40" si="13">Q27</f>
        <v>临街状况</v>
      </c>
      <c r="AA27" s="1809">
        <f t="shared" si="3"/>
        <v>1</v>
      </c>
      <c r="AB27" s="1809">
        <f t="shared" si="4"/>
        <v>1</v>
      </c>
      <c r="AC27" s="1809">
        <f t="shared" si="5"/>
        <v>1</v>
      </c>
    </row>
    <row r="28" spans="1:29" ht="27">
      <c r="A28" s="426"/>
      <c r="B28" s="631" t="s">
        <v>2685</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309"/>
      <c r="Q28" s="1808" t="str">
        <f t="shared" si="8"/>
        <v>毗邻道路的类型与等级</v>
      </c>
      <c r="R28" s="772" t="s">
        <v>17</v>
      </c>
      <c r="S28" s="773">
        <f t="shared" si="10"/>
        <v>100</v>
      </c>
      <c r="T28" s="772" t="s">
        <v>17</v>
      </c>
      <c r="U28" s="773">
        <f t="shared" si="11"/>
        <v>100</v>
      </c>
      <c r="V28" s="772" t="s">
        <v>17</v>
      </c>
      <c r="W28" s="773">
        <f t="shared" si="12"/>
        <v>100</v>
      </c>
      <c r="X28" s="1811"/>
      <c r="Y28" s="3309"/>
      <c r="Z28" s="1812" t="str">
        <f t="shared" si="13"/>
        <v>毗邻道路的类型与等级</v>
      </c>
      <c r="AA28" s="1809">
        <f t="shared" si="3"/>
        <v>1</v>
      </c>
      <c r="AB28" s="1809">
        <f t="shared" si="4"/>
        <v>1</v>
      </c>
      <c r="AC28" s="1809">
        <f t="shared" si="5"/>
        <v>1</v>
      </c>
    </row>
    <row r="29" spans="1:29" ht="15">
      <c r="A29" s="426"/>
      <c r="B29" s="630"/>
      <c r="C29" s="445"/>
      <c r="D29" s="446"/>
      <c r="E29" s="2605"/>
      <c r="F29" s="446"/>
      <c r="G29" s="2605"/>
      <c r="H29" s="446"/>
      <c r="I29" s="2605"/>
      <c r="J29" s="446"/>
      <c r="K29" s="611"/>
      <c r="L29" s="1138"/>
      <c r="M29" s="1129"/>
      <c r="N29" s="1129"/>
      <c r="O29" s="1137"/>
      <c r="P29" s="3309"/>
      <c r="Q29" s="1808"/>
      <c r="R29" s="772"/>
      <c r="S29" s="773"/>
      <c r="T29" s="772"/>
      <c r="U29" s="773"/>
      <c r="V29" s="772"/>
      <c r="W29" s="773"/>
      <c r="X29" s="1811"/>
      <c r="Y29" s="3309"/>
      <c r="Z29" s="1812"/>
      <c r="AA29" s="1809">
        <v>1</v>
      </c>
      <c r="AB29" s="1809">
        <v>1</v>
      </c>
      <c r="AC29" s="1809">
        <v>1</v>
      </c>
    </row>
    <row r="30" spans="1:29" ht="15">
      <c r="A30" s="426"/>
      <c r="B30" s="652" t="s">
        <v>2743</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309"/>
      <c r="Q30" s="1808" t="str">
        <f t="shared" si="8"/>
        <v>土地级别</v>
      </c>
      <c r="R30" s="772" t="s">
        <v>17</v>
      </c>
      <c r="S30" s="773">
        <f t="shared" si="10"/>
        <v>100</v>
      </c>
      <c r="T30" s="772" t="s">
        <v>17</v>
      </c>
      <c r="U30" s="773">
        <f t="shared" si="11"/>
        <v>100</v>
      </c>
      <c r="V30" s="772" t="s">
        <v>17</v>
      </c>
      <c r="W30" s="773">
        <f t="shared" si="12"/>
        <v>100</v>
      </c>
      <c r="X30" s="1811"/>
      <c r="Y30" s="3309"/>
      <c r="Z30" s="1812" t="str">
        <f t="shared" si="13"/>
        <v>土地级别</v>
      </c>
      <c r="AA30" s="1809">
        <f t="shared" si="3"/>
        <v>1</v>
      </c>
      <c r="AB30" s="1809">
        <f t="shared" si="4"/>
        <v>1</v>
      </c>
      <c r="AC30" s="1809">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309"/>
      <c r="Q31" s="1808">
        <f t="shared" si="8"/>
        <v>111</v>
      </c>
      <c r="R31" s="772" t="s">
        <v>17</v>
      </c>
      <c r="S31" s="773">
        <f t="shared" si="10"/>
        <v>100</v>
      </c>
      <c r="T31" s="772" t="s">
        <v>17</v>
      </c>
      <c r="U31" s="773">
        <f t="shared" si="11"/>
        <v>100</v>
      </c>
      <c r="V31" s="772" t="s">
        <v>17</v>
      </c>
      <c r="W31" s="773">
        <f t="shared" si="12"/>
        <v>100</v>
      </c>
      <c r="X31" s="1811"/>
      <c r="Y31" s="3309"/>
      <c r="Z31" s="1812">
        <f t="shared" si="13"/>
        <v>111</v>
      </c>
      <c r="AA31" s="1809">
        <f t="shared" si="3"/>
        <v>1</v>
      </c>
      <c r="AB31" s="1809">
        <f t="shared" si="4"/>
        <v>1</v>
      </c>
      <c r="AC31" s="1809">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310" t="s">
        <v>2559</v>
      </c>
      <c r="Q32" s="1808">
        <f t="shared" si="8"/>
        <v>111</v>
      </c>
      <c r="R32" s="772" t="s">
        <v>17</v>
      </c>
      <c r="S32" s="773">
        <f t="shared" si="10"/>
        <v>100</v>
      </c>
      <c r="T32" s="772" t="s">
        <v>17</v>
      </c>
      <c r="U32" s="773">
        <f t="shared" si="11"/>
        <v>100</v>
      </c>
      <c r="V32" s="772" t="s">
        <v>17</v>
      </c>
      <c r="W32" s="773">
        <f t="shared" si="12"/>
        <v>100</v>
      </c>
      <c r="X32" s="1811"/>
      <c r="Y32" s="3311" t="s">
        <v>2559</v>
      </c>
      <c r="Z32" s="1812">
        <f t="shared" si="13"/>
        <v>111</v>
      </c>
      <c r="AA32" s="1809">
        <f t="shared" si="3"/>
        <v>1</v>
      </c>
      <c r="AB32" s="1809">
        <f t="shared" si="4"/>
        <v>1</v>
      </c>
      <c r="AC32" s="1809">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311"/>
      <c r="Q33" s="1808">
        <f t="shared" si="8"/>
        <v>111</v>
      </c>
      <c r="R33" s="775" t="s">
        <v>17</v>
      </c>
      <c r="S33" s="776">
        <f t="shared" si="10"/>
        <v>100</v>
      </c>
      <c r="T33" s="775" t="s">
        <v>17</v>
      </c>
      <c r="U33" s="776">
        <f t="shared" si="11"/>
        <v>100</v>
      </c>
      <c r="V33" s="775" t="s">
        <v>17</v>
      </c>
      <c r="W33" s="776">
        <f t="shared" si="12"/>
        <v>100</v>
      </c>
      <c r="X33" s="777"/>
      <c r="Y33" s="3311"/>
      <c r="Z33" s="778">
        <f t="shared" si="13"/>
        <v>111</v>
      </c>
      <c r="AA33" s="1809">
        <f t="shared" si="3"/>
        <v>1</v>
      </c>
      <c r="AB33" s="1809">
        <f t="shared" si="4"/>
        <v>1</v>
      </c>
      <c r="AC33" s="1809">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311"/>
      <c r="Q34" s="1808" t="str">
        <f>B34</f>
        <v>宗地面积</v>
      </c>
      <c r="R34" s="772" t="s">
        <v>17</v>
      </c>
      <c r="S34" s="773" t="e">
        <f t="shared" si="10"/>
        <v>#N/A</v>
      </c>
      <c r="T34" s="772" t="s">
        <v>17</v>
      </c>
      <c r="U34" s="773" t="e">
        <f t="shared" si="11"/>
        <v>#N/A</v>
      </c>
      <c r="V34" s="772" t="s">
        <v>17</v>
      </c>
      <c r="W34" s="773" t="e">
        <f t="shared" si="12"/>
        <v>#N/A</v>
      </c>
      <c r="X34" s="1811"/>
      <c r="Y34" s="3311"/>
      <c r="Z34" s="1812" t="str">
        <f t="shared" si="13"/>
        <v>宗地面积</v>
      </c>
      <c r="AA34" s="1809" t="e">
        <f t="shared" si="3"/>
        <v>#N/A</v>
      </c>
      <c r="AB34" s="1809" t="e">
        <f t="shared" si="4"/>
        <v>#N/A</v>
      </c>
      <c r="AC34" s="1809"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8"/>
      <c r="M35" s="1129"/>
      <c r="N35" s="1129"/>
      <c r="O35" s="1137"/>
      <c r="P35" s="3311"/>
      <c r="Q35" s="1808" t="str">
        <f t="shared" ref="Q35:Q40" si="14">B35</f>
        <v>宗地形状</v>
      </c>
      <c r="R35" s="772" t="s">
        <v>17</v>
      </c>
      <c r="S35" s="773">
        <f t="shared" si="10"/>
        <v>100</v>
      </c>
      <c r="T35" s="772" t="s">
        <v>17</v>
      </c>
      <c r="U35" s="773">
        <f t="shared" si="11"/>
        <v>100</v>
      </c>
      <c r="V35" s="772" t="s">
        <v>17</v>
      </c>
      <c r="W35" s="773">
        <f t="shared" si="12"/>
        <v>100</v>
      </c>
      <c r="X35" s="1811"/>
      <c r="Y35" s="3311"/>
      <c r="Z35" s="1812" t="str">
        <f t="shared" si="13"/>
        <v>宗地形状</v>
      </c>
      <c r="AA35" s="1809">
        <f t="shared" si="3"/>
        <v>1</v>
      </c>
      <c r="AB35" s="1809">
        <f t="shared" si="4"/>
        <v>1</v>
      </c>
      <c r="AC35" s="1809">
        <f t="shared" si="5"/>
        <v>1</v>
      </c>
    </row>
    <row r="36" spans="1:29" s="115"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30"/>
      <c r="M36" s="1131"/>
      <c r="N36" s="1131"/>
      <c r="O36" s="1132"/>
      <c r="P36" s="3311"/>
      <c r="Q36" s="1808" t="str">
        <f t="shared" si="14"/>
        <v>宗地开发程度</v>
      </c>
      <c r="R36" s="768" t="s">
        <v>17</v>
      </c>
      <c r="S36" s="769">
        <f t="shared" si="10"/>
        <v>100</v>
      </c>
      <c r="T36" s="768" t="s">
        <v>17</v>
      </c>
      <c r="U36" s="769">
        <f t="shared" si="11"/>
        <v>100</v>
      </c>
      <c r="V36" s="768" t="s">
        <v>17</v>
      </c>
      <c r="W36" s="769">
        <f t="shared" si="12"/>
        <v>100</v>
      </c>
      <c r="X36" s="770"/>
      <c r="Y36" s="3311"/>
      <c r="Z36" s="55" t="str">
        <f t="shared" si="13"/>
        <v>宗地开发程度</v>
      </c>
      <c r="AA36" s="771">
        <f t="shared" si="3"/>
        <v>1</v>
      </c>
      <c r="AB36" s="771">
        <f t="shared" si="4"/>
        <v>1</v>
      </c>
      <c r="AC36" s="771">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8"/>
      <c r="M37" s="1129"/>
      <c r="N37" s="1129"/>
      <c r="O37" s="1137"/>
      <c r="P37" s="3311" t="s">
        <v>2559</v>
      </c>
      <c r="Q37" s="1808" t="str">
        <f t="shared" si="14"/>
        <v>工程地质条件</v>
      </c>
      <c r="R37" s="772" t="s">
        <v>17</v>
      </c>
      <c r="S37" s="773">
        <f t="shared" si="10"/>
        <v>100</v>
      </c>
      <c r="T37" s="772" t="s">
        <v>17</v>
      </c>
      <c r="U37" s="773">
        <f t="shared" si="11"/>
        <v>100</v>
      </c>
      <c r="V37" s="772" t="s">
        <v>17</v>
      </c>
      <c r="W37" s="773">
        <f t="shared" si="12"/>
        <v>100</v>
      </c>
      <c r="X37" s="1811"/>
      <c r="Y37" s="3311" t="s">
        <v>2559</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311"/>
      <c r="Q38" s="1808">
        <f t="shared" si="14"/>
        <v>111</v>
      </c>
      <c r="R38" s="772" t="s">
        <v>17</v>
      </c>
      <c r="S38" s="773">
        <f t="shared" si="10"/>
        <v>100</v>
      </c>
      <c r="T38" s="772" t="s">
        <v>17</v>
      </c>
      <c r="U38" s="773">
        <f t="shared" si="11"/>
        <v>100</v>
      </c>
      <c r="V38" s="772" t="s">
        <v>17</v>
      </c>
      <c r="W38" s="773">
        <f t="shared" si="12"/>
        <v>100</v>
      </c>
      <c r="X38" s="1811"/>
      <c r="Y38" s="3311"/>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311"/>
      <c r="Q39" s="1808">
        <f t="shared" si="14"/>
        <v>111</v>
      </c>
      <c r="R39" s="772" t="s">
        <v>17</v>
      </c>
      <c r="S39" s="773">
        <f t="shared" si="10"/>
        <v>100</v>
      </c>
      <c r="T39" s="772" t="s">
        <v>17</v>
      </c>
      <c r="U39" s="773">
        <f t="shared" si="11"/>
        <v>100</v>
      </c>
      <c r="V39" s="772" t="s">
        <v>17</v>
      </c>
      <c r="W39" s="773">
        <f t="shared" si="12"/>
        <v>100</v>
      </c>
      <c r="X39" s="1811"/>
      <c r="Y39" s="3311"/>
      <c r="Z39" s="1812">
        <f t="shared" si="13"/>
        <v>111</v>
      </c>
      <c r="AA39" s="1809">
        <f t="shared" si="3"/>
        <v>1</v>
      </c>
      <c r="AB39" s="1809">
        <f t="shared" si="4"/>
        <v>1</v>
      </c>
      <c r="AC39" s="1809">
        <f t="shared" si="5"/>
        <v>1</v>
      </c>
    </row>
    <row r="40" spans="1:29" s="469" customFormat="1" ht="15.75" thickBot="1">
      <c r="A40" s="466"/>
      <c r="B40" s="1385">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311"/>
      <c r="Q40" s="1808">
        <f t="shared" si="14"/>
        <v>111</v>
      </c>
      <c r="R40" s="775" t="s">
        <v>17</v>
      </c>
      <c r="S40" s="776">
        <f t="shared" si="10"/>
        <v>100</v>
      </c>
      <c r="T40" s="775" t="s">
        <v>17</v>
      </c>
      <c r="U40" s="776">
        <f t="shared" si="11"/>
        <v>100</v>
      </c>
      <c r="V40" s="775" t="s">
        <v>17</v>
      </c>
      <c r="W40" s="776">
        <f t="shared" si="12"/>
        <v>100</v>
      </c>
      <c r="X40" s="777"/>
      <c r="Y40" s="3311"/>
      <c r="Z40" s="778">
        <f t="shared" si="13"/>
        <v>111</v>
      </c>
      <c r="AA40" s="1809">
        <f t="shared" si="3"/>
        <v>1</v>
      </c>
      <c r="AB40" s="1809">
        <f t="shared" si="4"/>
        <v>1</v>
      </c>
      <c r="AC40" s="1809">
        <f t="shared" si="5"/>
        <v>1</v>
      </c>
    </row>
    <row r="41" spans="1:29" ht="15">
      <c r="A41" s="477" t="s">
        <v>2714</v>
      </c>
      <c r="B41" s="2698" t="s">
        <v>2793</v>
      </c>
      <c r="C41" s="680" t="s">
        <v>1</v>
      </c>
      <c r="D41" s="479"/>
      <c r="E41" s="480"/>
      <c r="F41" s="481"/>
      <c r="G41" s="482"/>
      <c r="H41" s="483"/>
      <c r="I41" s="480"/>
      <c r="J41" s="483"/>
      <c r="K41" s="781"/>
      <c r="L41" s="1141"/>
      <c r="M41" s="1129"/>
      <c r="N41" s="1129"/>
      <c r="O41" s="1142"/>
      <c r="P41" s="3293" t="str">
        <f>A41</f>
        <v>成交单价</v>
      </c>
      <c r="Q41" s="3293"/>
      <c r="R41" s="3306">
        <f>E41</f>
        <v>0</v>
      </c>
      <c r="S41" s="3306"/>
      <c r="T41" s="3306">
        <f>G41</f>
        <v>0</v>
      </c>
      <c r="U41" s="3306"/>
      <c r="V41" s="3306">
        <f>I41</f>
        <v>0</v>
      </c>
      <c r="W41" s="3306"/>
      <c r="X41" s="757"/>
      <c r="Y41" s="779"/>
      <c r="Z41" s="757"/>
      <c r="AA41" s="757"/>
      <c r="AB41" s="757"/>
      <c r="AC41" s="757"/>
    </row>
    <row r="42" spans="1:29" ht="15.75" thickBot="1">
      <c r="A42" s="484" t="s">
        <v>2663</v>
      </c>
      <c r="B42" s="681"/>
      <c r="C42" s="488" t="e">
        <f>R43</f>
        <v>#DIV/0!</v>
      </c>
      <c r="D42" s="487"/>
      <c r="E42" s="488" t="e">
        <f>R42</f>
        <v>#DIV/0!</v>
      </c>
      <c r="F42" s="489"/>
      <c r="G42" s="486" t="e">
        <f>T42</f>
        <v>#DIV/0!</v>
      </c>
      <c r="H42" s="487"/>
      <c r="I42" s="488" t="e">
        <f>V42</f>
        <v>#DIV/0!</v>
      </c>
      <c r="J42" s="487"/>
      <c r="K42" s="782"/>
      <c r="L42" s="1141"/>
      <c r="M42" s="1129"/>
      <c r="N42" s="1129"/>
      <c r="O42" s="1142"/>
      <c r="P42" s="3293" t="str">
        <f>A42</f>
        <v>比较价值（元/平方米）</v>
      </c>
      <c r="Q42" s="3293"/>
      <c r="R42" s="3312" t="e">
        <f>ROUND(PRODUCT(R41,AA7:AA40),0)</f>
        <v>#DIV/0!</v>
      </c>
      <c r="S42" s="3312"/>
      <c r="T42" s="3312" t="e">
        <f>ROUND(PRODUCT(T41,AB7:AB40),0)</f>
        <v>#DIV/0!</v>
      </c>
      <c r="U42" s="3312"/>
      <c r="V42" s="3312" t="e">
        <f>ROUND(PRODUCT(V41,AC7:AC40),0)</f>
        <v>#DIV/0!</v>
      </c>
      <c r="W42" s="3312"/>
      <c r="X42" s="757"/>
      <c r="Y42" s="757"/>
      <c r="Z42" s="757"/>
      <c r="AA42" s="757"/>
      <c r="AB42" s="757"/>
      <c r="AC42" s="757"/>
    </row>
    <row r="43" spans="1:29" ht="15.75" thickBot="1">
      <c r="A43" s="490" t="s">
        <v>2664</v>
      </c>
      <c r="B43" s="491"/>
      <c r="C43" s="492" t="e">
        <f>R43</f>
        <v>#DIV/0!</v>
      </c>
      <c r="D43" s="492"/>
      <c r="E43" s="492"/>
      <c r="F43" s="492"/>
      <c r="G43" s="492"/>
      <c r="H43" s="492"/>
      <c r="I43" s="492"/>
      <c r="J43" s="492"/>
      <c r="K43" s="783"/>
      <c r="L43" s="1141"/>
      <c r="M43" s="1129"/>
      <c r="N43" s="1129"/>
      <c r="O43" s="1142"/>
      <c r="P43" s="3313" t="str">
        <f>A43</f>
        <v>估价对象XX用房的比较价值（楼面单价，元/平方米）</v>
      </c>
      <c r="Q43" s="3314"/>
      <c r="R43" s="3315" t="e">
        <f>ROUND(AVERAGE(R42:V42),0)</f>
        <v>#DIV/0!</v>
      </c>
      <c r="S43" s="3315"/>
      <c r="T43" s="3315"/>
      <c r="U43" s="3315"/>
      <c r="V43" s="3315"/>
      <c r="W43" s="331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2751</v>
      </c>
      <c r="B50" s="683" t="s">
        <v>2752</v>
      </c>
      <c r="C50" s="2699" t="s">
        <v>2753</v>
      </c>
      <c r="D50" s="2700" t="s">
        <v>2754</v>
      </c>
      <c r="E50" s="684" t="s">
        <v>2755</v>
      </c>
      <c r="F50" s="685" t="s">
        <v>2756</v>
      </c>
      <c r="G50" s="3294" t="s">
        <v>2757</v>
      </c>
      <c r="H50" s="3316"/>
      <c r="I50" s="1812" t="s">
        <v>2794</v>
      </c>
      <c r="J50" s="1812" t="str">
        <f>项目基本情况!F35</f>
        <v>深圳市</v>
      </c>
      <c r="K50" s="2702" t="s">
        <v>2759</v>
      </c>
      <c r="L50" s="1104"/>
      <c r="M50" s="1142"/>
      <c r="N50" s="1142"/>
      <c r="O50" s="1142"/>
    </row>
    <row r="51" spans="1:17" s="690" customFormat="1">
      <c r="A51" s="686" t="s">
        <v>2760</v>
      </c>
      <c r="B51" s="687" t="e">
        <f>C43</f>
        <v>#DIV/0!</v>
      </c>
      <c r="C51" s="688">
        <v>1</v>
      </c>
      <c r="D51" s="1161">
        <v>1</v>
      </c>
      <c r="E51" s="688">
        <f>'数据-汇总表'!E8+'数据-汇总表'!E9</f>
        <v>50091</v>
      </c>
      <c r="F51" s="689" t="e">
        <f t="shared" ref="F51:F60" si="15">ROUND(B51*E51/10000,0)</f>
        <v>#DIV/0!</v>
      </c>
      <c r="G51" s="3317"/>
      <c r="H51" s="3293"/>
      <c r="I51" s="940">
        <v>1</v>
      </c>
      <c r="J51" s="940">
        <v>1</v>
      </c>
      <c r="K51" s="1143"/>
      <c r="L51" s="939"/>
      <c r="M51" s="939"/>
      <c r="N51" s="939"/>
      <c r="O51" s="939"/>
    </row>
    <row r="52" spans="1:17" s="690" customFormat="1">
      <c r="A52" s="691" t="s">
        <v>2761</v>
      </c>
      <c r="B52" s="260" t="e">
        <f>ROUND($C$43*C52*D52,0)</f>
        <v>#DIV/0!</v>
      </c>
      <c r="C52" s="198">
        <f t="shared" ref="C52:C60" si="16">IF($C$50="北京市系数",I52,J52)</f>
        <v>0</v>
      </c>
      <c r="D52" s="1162">
        <v>0.25</v>
      </c>
      <c r="E52" s="692"/>
      <c r="F52" s="689" t="e">
        <f t="shared" si="15"/>
        <v>#DIV/0!</v>
      </c>
      <c r="G52" s="3318" t="s">
        <v>2762</v>
      </c>
      <c r="H52" s="1102">
        <f>项目基本情况!B37</f>
        <v>0</v>
      </c>
      <c r="I52" s="940">
        <f>SUMIF(修正!A45:A56,H52,修正!B45:B56)</f>
        <v>0</v>
      </c>
      <c r="J52" s="941"/>
      <c r="K52" s="1142"/>
      <c r="L52" s="939"/>
      <c r="M52" s="939"/>
      <c r="N52" s="939"/>
      <c r="O52" s="939"/>
    </row>
    <row r="53" spans="1:17" s="690" customFormat="1">
      <c r="A53" s="691" t="s">
        <v>2763</v>
      </c>
      <c r="B53" s="260" t="e">
        <f t="shared" ref="B53:B60" si="17">ROUND($C$43*C53*D53,0)</f>
        <v>#DIV/0!</v>
      </c>
      <c r="C53" s="198">
        <f t="shared" si="16"/>
        <v>0</v>
      </c>
      <c r="D53" s="1162">
        <v>0.25</v>
      </c>
      <c r="E53" s="692"/>
      <c r="F53" s="689" t="e">
        <f t="shared" si="15"/>
        <v>#DIV/0!</v>
      </c>
      <c r="G53" s="3318"/>
      <c r="H53" s="1102">
        <f>项目基本情况!B37</f>
        <v>0</v>
      </c>
      <c r="I53" s="940">
        <f>SUMIF(修正!A45:A56,H53,修正!C45:C56)</f>
        <v>0</v>
      </c>
      <c r="J53" s="941"/>
      <c r="K53" s="1143"/>
      <c r="L53" s="939"/>
      <c r="M53" s="939"/>
      <c r="N53" s="939"/>
      <c r="O53" s="939"/>
    </row>
    <row r="54" spans="1:17" s="690" customFormat="1">
      <c r="A54" s="691" t="s">
        <v>2764</v>
      </c>
      <c r="B54" s="260" t="e">
        <f t="shared" si="17"/>
        <v>#DIV/0!</v>
      </c>
      <c r="C54" s="198">
        <f t="shared" si="16"/>
        <v>0</v>
      </c>
      <c r="D54" s="1162">
        <v>0.25</v>
      </c>
      <c r="E54" s="692"/>
      <c r="F54" s="689" t="e">
        <f t="shared" si="15"/>
        <v>#DIV/0!</v>
      </c>
      <c r="G54" s="3318"/>
      <c r="H54" s="1102">
        <f>项目基本情况!B37</f>
        <v>0</v>
      </c>
      <c r="I54" s="940">
        <f>SUMIF(修正!A45:A56,H54,修正!D45:D56)</f>
        <v>0</v>
      </c>
      <c r="J54" s="941"/>
      <c r="K54" s="1142"/>
      <c r="L54" s="939"/>
      <c r="M54" s="939"/>
      <c r="N54" s="939"/>
      <c r="O54" s="939"/>
    </row>
    <row r="55" spans="1:17" s="690" customFormat="1">
      <c r="A55" s="691" t="s">
        <v>2765</v>
      </c>
      <c r="B55" s="260" t="e">
        <f t="shared" si="17"/>
        <v>#DIV/0!</v>
      </c>
      <c r="C55" s="198">
        <f t="shared" si="16"/>
        <v>0</v>
      </c>
      <c r="D55" s="1162">
        <v>0.25</v>
      </c>
      <c r="E55" s="692"/>
      <c r="F55" s="689" t="e">
        <f t="shared" si="15"/>
        <v>#DIV/0!</v>
      </c>
      <c r="G55" s="3318"/>
      <c r="H55" s="1102">
        <f>项目基本情况!B37</f>
        <v>0</v>
      </c>
      <c r="I55" s="940">
        <f>SUMIF(修正!A45:A56,H55,修正!E45:E56)</f>
        <v>0</v>
      </c>
      <c r="J55" s="941"/>
      <c r="K55" s="1143"/>
      <c r="L55" s="939"/>
      <c r="M55" s="939"/>
      <c r="N55" s="939"/>
      <c r="O55" s="939"/>
    </row>
    <row r="56" spans="1:17" s="690" customFormat="1">
      <c r="A56" s="691" t="s">
        <v>2766</v>
      </c>
      <c r="B56" s="260" t="e">
        <f t="shared" si="17"/>
        <v>#DIV/0!</v>
      </c>
      <c r="C56" s="198">
        <f t="shared" si="16"/>
        <v>0</v>
      </c>
      <c r="D56" s="1162">
        <v>0.25</v>
      </c>
      <c r="E56" s="259">
        <f>'数据-汇总表'!E11</f>
        <v>0</v>
      </c>
      <c r="F56" s="689" t="e">
        <f t="shared" si="15"/>
        <v>#DIV/0!</v>
      </c>
      <c r="G56" s="2703" t="s">
        <v>2767</v>
      </c>
      <c r="H56" s="1102">
        <f>项目基本情况!C37</f>
        <v>0</v>
      </c>
      <c r="I56" s="940">
        <f>SUMIF(修正!A45:A56,H56,修正!F45:F56)</f>
        <v>0</v>
      </c>
      <c r="J56" s="941"/>
      <c r="K56" s="1142"/>
      <c r="L56" s="939"/>
      <c r="M56" s="939"/>
      <c r="N56" s="939"/>
      <c r="O56" s="939"/>
    </row>
    <row r="57" spans="1:17" s="690" customFormat="1">
      <c r="A57" s="691" t="s">
        <v>2768</v>
      </c>
      <c r="B57" s="260" t="e">
        <f t="shared" si="17"/>
        <v>#DIV/0!</v>
      </c>
      <c r="C57" s="198">
        <f t="shared" si="16"/>
        <v>0</v>
      </c>
      <c r="D57" s="1162">
        <v>0.25</v>
      </c>
      <c r="E57" s="259">
        <f>'数据-汇总表'!E12</f>
        <v>0</v>
      </c>
      <c r="F57" s="689"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2770</v>
      </c>
      <c r="B58" s="260" t="e">
        <f t="shared" si="17"/>
        <v>#DIV/0!</v>
      </c>
      <c r="C58" s="198">
        <f t="shared" si="16"/>
        <v>0</v>
      </c>
      <c r="D58" s="1162">
        <v>0.25</v>
      </c>
      <c r="E58" s="259">
        <f>'数据-汇总表'!E13</f>
        <v>0</v>
      </c>
      <c r="F58" s="689"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2772</v>
      </c>
      <c r="B59" s="260" t="e">
        <f t="shared" si="17"/>
        <v>#DIV/0!</v>
      </c>
      <c r="C59" s="198">
        <f t="shared" si="16"/>
        <v>0</v>
      </c>
      <c r="D59" s="1162">
        <v>0.25</v>
      </c>
      <c r="E59" s="259">
        <f>'数据-汇总表'!E14</f>
        <v>0</v>
      </c>
      <c r="F59" s="689" t="e">
        <f t="shared" si="15"/>
        <v>#DIV/0!</v>
      </c>
      <c r="G59" s="2703" t="s">
        <v>2762</v>
      </c>
      <c r="H59" s="1102">
        <f>项目基本情况!B37</f>
        <v>0</v>
      </c>
      <c r="I59" s="940">
        <f>SUMIF(修正!A45:A56,H59,修正!H45:H56)</f>
        <v>0</v>
      </c>
      <c r="J59" s="941"/>
      <c r="K59" s="1143"/>
      <c r="L59" s="939"/>
      <c r="M59" s="939"/>
      <c r="N59" s="939"/>
      <c r="O59" s="939"/>
    </row>
    <row r="60" spans="1:17" s="690" customFormat="1" ht="15" thickBot="1">
      <c r="A60" s="691" t="s">
        <v>2773</v>
      </c>
      <c r="B60" s="260" t="e">
        <f t="shared" si="17"/>
        <v>#DIV/0!</v>
      </c>
      <c r="C60" s="198">
        <f t="shared" si="16"/>
        <v>0</v>
      </c>
      <c r="D60" s="1162">
        <v>0.25</v>
      </c>
      <c r="E60" s="259">
        <f>'数据-汇总表'!E15</f>
        <v>0</v>
      </c>
      <c r="F60" s="689" t="e">
        <f t="shared" si="15"/>
        <v>#DIV/0!</v>
      </c>
      <c r="G60" s="2704" t="s">
        <v>2767</v>
      </c>
      <c r="H60" s="1112">
        <f>项目基本情况!C37</f>
        <v>0</v>
      </c>
      <c r="I60" s="940">
        <f>SUMIF(修正!A45:A56,H60,修正!H45:H56)</f>
        <v>0</v>
      </c>
      <c r="J60" s="941"/>
      <c r="K60" s="1142"/>
      <c r="L60" s="939"/>
      <c r="M60" s="939"/>
      <c r="N60" s="939"/>
      <c r="O60" s="939"/>
    </row>
    <row r="61" spans="1:17" s="690" customFormat="1" ht="15" thickBot="1">
      <c r="A61" s="693" t="s">
        <v>2774</v>
      </c>
      <c r="B61" s="694" t="s">
        <v>28</v>
      </c>
      <c r="C61" s="694" t="s">
        <v>29</v>
      </c>
      <c r="D61" s="694" t="s">
        <v>1029</v>
      </c>
      <c r="E61" s="694">
        <f>IF(B41="楼面地价",SUM(E51:E60),'数据-汇总表'!D3)</f>
        <v>7108.46</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2668</v>
      </c>
      <c r="B64" s="757"/>
      <c r="C64" s="762"/>
      <c r="D64" s="762"/>
      <c r="E64" s="762"/>
      <c r="F64" s="763"/>
      <c r="G64" s="763"/>
      <c r="H64" s="762"/>
      <c r="I64" s="762"/>
      <c r="J64" s="762"/>
      <c r="K64" s="764"/>
      <c r="L64" s="765"/>
      <c r="M64" s="762"/>
      <c r="N64" s="762"/>
      <c r="O64" s="1157"/>
      <c r="P64" s="501"/>
      <c r="Q64" s="502"/>
    </row>
    <row r="65" spans="1:17" s="506" customFormat="1" ht="15">
      <c r="A65" s="2705" t="s">
        <v>2775</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5"/>
    </row>
    <row r="66" spans="1:17" s="115" customFormat="1" ht="30.75" customHeight="1">
      <c r="A66" s="2710" t="s">
        <v>2795</v>
      </c>
      <c r="B66" s="330" t="str">
        <f>"北京市平均增长率"&amp;TEXT(基准地价修正!P24,"0.00%")</f>
        <v>北京市平均增长率1.24%</v>
      </c>
      <c r="C66" s="601">
        <v>100</v>
      </c>
      <c r="D66" s="593"/>
      <c r="E66" s="593"/>
      <c r="F66" s="593"/>
      <c r="G66" s="593"/>
      <c r="H66" s="593"/>
      <c r="I66" s="593"/>
      <c r="J66" s="593"/>
      <c r="K66" s="593"/>
      <c r="L66" s="593"/>
      <c r="M66" s="1565"/>
      <c r="N66" s="1565"/>
      <c r="O66" s="1567"/>
      <c r="P66" s="502"/>
    </row>
    <row r="67" spans="1:17" s="115" customFormat="1" ht="15.75" thickBot="1">
      <c r="A67" s="513" t="s">
        <v>2579</v>
      </c>
      <c r="B67" s="514"/>
      <c r="C67" s="515"/>
      <c r="D67" s="516"/>
      <c r="E67" s="516"/>
      <c r="F67" s="516"/>
      <c r="G67" s="516"/>
      <c r="H67" s="516"/>
      <c r="I67" s="516"/>
      <c r="J67" s="516"/>
      <c r="K67" s="516"/>
      <c r="L67" s="516"/>
      <c r="M67" s="517"/>
      <c r="N67" s="517"/>
      <c r="O67" s="518"/>
      <c r="P67" s="502"/>
      <c r="Q67" s="502"/>
    </row>
    <row r="68" spans="1:17" s="115" customFormat="1" ht="15">
      <c r="A68" s="519" t="s">
        <v>2544</v>
      </c>
      <c r="B68" s="508"/>
      <c r="C68" s="520" t="s">
        <v>2646</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2582</v>
      </c>
      <c r="B70" s="526" t="s">
        <v>2548</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2551</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5" customFormat="1" ht="15.75" thickTop="1">
      <c r="A87" s="577"/>
      <c r="B87" s="536" t="s">
        <v>2778</v>
      </c>
      <c r="C87" s="571" t="s">
        <v>2591</v>
      </c>
      <c r="D87" s="571" t="s">
        <v>2592</v>
      </c>
      <c r="E87" s="571" t="s">
        <v>2593</v>
      </c>
      <c r="F87" s="571" t="s">
        <v>2594</v>
      </c>
      <c r="G87" s="571" t="s">
        <v>2595</v>
      </c>
      <c r="H87" s="576"/>
      <c r="I87" s="576"/>
      <c r="J87" s="576"/>
      <c r="K87" s="576"/>
      <c r="L87" s="696"/>
      <c r="M87" s="620"/>
      <c r="N87" s="1149"/>
      <c r="O87" s="1149"/>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5" customFormat="1" ht="27.75" thickTop="1">
      <c r="A89" s="577"/>
      <c r="B89" s="536" t="s">
        <v>2779</v>
      </c>
      <c r="C89" s="571" t="s">
        <v>2591</v>
      </c>
      <c r="D89" s="571" t="s">
        <v>2592</v>
      </c>
      <c r="E89" s="571" t="s">
        <v>2593</v>
      </c>
      <c r="F89" s="571" t="s">
        <v>2594</v>
      </c>
      <c r="G89" s="571" t="s">
        <v>2595</v>
      </c>
      <c r="H89" s="576"/>
      <c r="I89" s="576"/>
      <c r="J89" s="576"/>
      <c r="K89" s="576"/>
      <c r="L89" s="576"/>
      <c r="M89" s="620"/>
      <c r="N89" s="1149"/>
      <c r="O89" s="1149"/>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2685</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2743</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2785</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2787</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2788</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8" t="s">
        <v>2797</v>
      </c>
      <c r="B1" s="239"/>
      <c r="C1" s="243" t="s">
        <v>2798</v>
      </c>
      <c r="D1" s="386">
        <f>SUM(D29:D30,D33:D39)</f>
        <v>0</v>
      </c>
      <c r="E1" s="2711"/>
      <c r="F1" s="2711"/>
      <c r="G1" s="2711"/>
      <c r="H1" s="2711"/>
      <c r="I1" s="2711"/>
      <c r="J1" s="2711"/>
      <c r="K1" s="1368"/>
      <c r="L1" s="2712" t="s">
        <v>2799</v>
      </c>
      <c r="M1" s="1078">
        <f>SUMPRODUCT((区片价!B5:B9=I2)*(区片价!C3:F3=E2)*(区片价!C5:F9))</f>
        <v>0</v>
      </c>
      <c r="N1" s="1081">
        <f>SUMPRODUCT((因素修正幅度!B5:B9=I2)*(因素修正幅度!C3:F3=E2)*(因素修正幅度!C5:F9))</f>
        <v>0</v>
      </c>
      <c r="O1" s="2713"/>
      <c r="P1" s="2713"/>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3" t="s">
        <v>2805</v>
      </c>
      <c r="B2" s="246" t="e">
        <f>C26</f>
        <v>#DIV/0!</v>
      </c>
      <c r="C2" s="2715" t="s">
        <v>2806</v>
      </c>
      <c r="D2" s="2716" t="s">
        <v>2807</v>
      </c>
      <c r="E2" s="2717"/>
      <c r="F2" s="2716" t="s">
        <v>2808</v>
      </c>
      <c r="G2" s="2718">
        <f>IF(E2="商业",项目基本情况!B37,IF(E2="办公",项目基本情况!C37,IF(E2="住宅",项目基本情况!D37,项目基本情况!E37)))</f>
        <v>0</v>
      </c>
      <c r="H2" s="2716" t="s">
        <v>2809</v>
      </c>
      <c r="I2" s="2718">
        <f>IF(E2="商业",项目基本情况!B38,IF(E2="办公",项目基本情况!C38,IF(E2="住宅",项目基本情况!D38,项目基本情况!E38)))</f>
        <v>0</v>
      </c>
      <c r="J2" s="2719"/>
      <c r="K2" s="1368"/>
      <c r="L2" s="2720"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2811</v>
      </c>
      <c r="B3" s="246" t="e">
        <f>ROUND(B2*10000/D1,0)</f>
        <v>#DIV/0!</v>
      </c>
      <c r="C3" s="2715" t="s">
        <v>2812</v>
      </c>
      <c r="D3" s="2716" t="s">
        <v>2813</v>
      </c>
      <c r="E3" s="2721"/>
      <c r="F3" s="2722" t="s">
        <v>2814</v>
      </c>
      <c r="G3" s="911">
        <f>IF(F3="宗地容积率",'数据-汇总表'!I4,IF(F3="估价对象容积率",'数据-汇总表'!I6,'数据-汇总表'!I7))</f>
        <v>5.51</v>
      </c>
      <c r="H3" s="196" t="s">
        <v>2815</v>
      </c>
      <c r="I3" s="942"/>
      <c r="J3" s="2719" t="s">
        <v>2816</v>
      </c>
      <c r="K3" s="1368"/>
      <c r="L3" s="2720"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12"/>
      <c r="B4" s="3413"/>
      <c r="C4" s="3413"/>
      <c r="D4" s="3414"/>
      <c r="E4" s="3414"/>
      <c r="F4" s="3414"/>
      <c r="G4" s="3414"/>
      <c r="H4" s="3414"/>
      <c r="I4" s="3414"/>
      <c r="J4" s="3415"/>
      <c r="K4" s="1368"/>
      <c r="L4" s="2720"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2819</v>
      </c>
      <c r="C5" s="912" t="e">
        <f>ROUND(IF(E2="商业",IF(F16="增加",C6*C7+C16,C6*C7-C16),IF(E2="住宅",IF(F16="增加",C6*C12+C16,C6*C12-C16),IF(F16="增加",C6+C16,C6-C16))),0)</f>
        <v>#DIV/0!</v>
      </c>
      <c r="D5" s="1785">
        <f>ROUND(IF(E2="商业",IF(F16="增加",C6+C16,C6-C16)),0)</f>
        <v>0</v>
      </c>
      <c r="E5" s="2725"/>
      <c r="F5" s="2725"/>
      <c r="G5" s="2726"/>
      <c r="H5" s="2726"/>
      <c r="I5" s="2726"/>
      <c r="J5" s="2727"/>
      <c r="K5" s="2728"/>
      <c r="L5" s="2720"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2821</v>
      </c>
      <c r="B6" s="2734" t="s">
        <v>2822</v>
      </c>
      <c r="C6" s="913">
        <f>SUMIF(L1:L12,G2,M1:M12)</f>
        <v>0</v>
      </c>
      <c r="D6" s="2735" t="s">
        <v>2823</v>
      </c>
      <c r="E6" s="2736"/>
      <c r="F6" s="2736"/>
      <c r="G6" s="2737"/>
      <c r="H6" s="2737"/>
      <c r="I6" s="2737"/>
      <c r="J6" s="2738"/>
      <c r="K6" s="1840"/>
      <c r="L6" s="2720"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398" t="str">
        <f>IF(E2="商业",IF(C8="不临58条商业街","",2),"")</f>
        <v/>
      </c>
      <c r="B7" s="2739" t="s">
        <v>2825</v>
      </c>
      <c r="C7" s="914" t="e">
        <f>IF(C8="不临58条商业街",1,ROUND(1+(1.6*E8+1.2*E9+0.8*E10+0.4*E11)*C9,4))</f>
        <v>#DIV/0!</v>
      </c>
      <c r="D7" s="2740" t="s">
        <v>2826</v>
      </c>
      <c r="E7" s="943"/>
      <c r="F7" s="2741"/>
      <c r="G7" s="2742"/>
      <c r="H7" s="2742"/>
      <c r="I7" s="2742"/>
      <c r="J7" s="2743"/>
      <c r="K7" s="1840"/>
      <c r="L7" s="2720"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5.51</v>
      </c>
      <c r="AA7" s="1604"/>
      <c r="AB7" s="1604"/>
      <c r="AC7" s="1605"/>
      <c r="AD7" s="1606"/>
      <c r="AE7" s="1606"/>
      <c r="AF7" s="1606"/>
      <c r="AG7" s="1606"/>
      <c r="AH7" s="1606"/>
      <c r="AI7" s="1606"/>
      <c r="AJ7" s="1607"/>
    </row>
    <row r="8" spans="1:36" ht="15">
      <c r="A8" s="3399"/>
      <c r="B8" s="196" t="s">
        <v>2830</v>
      </c>
      <c r="C8" s="2744"/>
      <c r="D8" s="915" t="s">
        <v>139</v>
      </c>
      <c r="E8" s="916" t="e">
        <f>ROUND(C11/E7,4)</f>
        <v>#DIV/0!</v>
      </c>
      <c r="F8" s="2745" t="s">
        <v>2831</v>
      </c>
      <c r="G8" s="2746"/>
      <c r="H8" s="2746"/>
      <c r="I8" s="2746"/>
      <c r="J8" s="2747"/>
      <c r="K8" s="1368"/>
      <c r="L8" s="2720"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09" t="s">
        <v>2833</v>
      </c>
      <c r="X8" s="3410"/>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99"/>
      <c r="B9" s="196" t="s">
        <v>2846</v>
      </c>
      <c r="C9" s="917">
        <f>SUMIF(修正!C59:C119,C8,修正!E59:E119)</f>
        <v>0</v>
      </c>
      <c r="D9" s="198" t="s">
        <v>140</v>
      </c>
      <c r="E9" s="198" t="e">
        <f>ROUND(C11/E7,4)</f>
        <v>#DIV/0!</v>
      </c>
      <c r="F9" s="2745" t="s">
        <v>2847</v>
      </c>
      <c r="G9" s="2746"/>
      <c r="H9" s="2746"/>
      <c r="I9" s="2746"/>
      <c r="J9" s="2747"/>
      <c r="K9" s="1368"/>
      <c r="L9" s="2720"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11"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99"/>
      <c r="B10" s="196" t="s">
        <v>2851</v>
      </c>
      <c r="C10" s="198">
        <f>SUMIF(修正!C59:C119,C8,修正!F59:F119)</f>
        <v>0</v>
      </c>
      <c r="D10" s="198" t="s">
        <v>141</v>
      </c>
      <c r="E10" s="198" t="e">
        <f>ROUND(C11/E7,4)</f>
        <v>#DIV/0!</v>
      </c>
      <c r="F10" s="2745" t="s">
        <v>2852</v>
      </c>
      <c r="G10" s="2746"/>
      <c r="H10" s="2746"/>
      <c r="I10" s="2746"/>
      <c r="J10" s="2747"/>
      <c r="K10" s="1368"/>
      <c r="L10" s="2720"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1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99"/>
      <c r="B11" s="2748" t="s">
        <v>2854</v>
      </c>
      <c r="C11" s="918">
        <f>C10/4</f>
        <v>0</v>
      </c>
      <c r="D11" s="918" t="s">
        <v>142</v>
      </c>
      <c r="E11" s="918" t="e">
        <f>ROUND(C11/E7,4)</f>
        <v>#DIV/0!</v>
      </c>
      <c r="F11" s="2749" t="s">
        <v>2855</v>
      </c>
      <c r="G11" s="2750"/>
      <c r="H11" s="2750"/>
      <c r="I11" s="2750"/>
      <c r="J11" s="2751"/>
      <c r="K11" s="1368"/>
      <c r="L11" s="2720"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11" t="s">
        <v>2857</v>
      </c>
      <c r="X11" s="1612" t="s">
        <v>2858</v>
      </c>
      <c r="Y11" s="1613">
        <f>$G$3</f>
        <v>5.51</v>
      </c>
      <c r="Z11" s="1613">
        <f t="shared" ref="Z11:AJ11" si="3">$G$3</f>
        <v>5.51</v>
      </c>
      <c r="AA11" s="1613">
        <f t="shared" si="3"/>
        <v>5.51</v>
      </c>
      <c r="AB11" s="1613">
        <f t="shared" si="3"/>
        <v>5.51</v>
      </c>
      <c r="AC11" s="1613">
        <f t="shared" si="3"/>
        <v>5.51</v>
      </c>
      <c r="AD11" s="1613">
        <f t="shared" si="3"/>
        <v>5.51</v>
      </c>
      <c r="AE11" s="1613">
        <f t="shared" si="3"/>
        <v>5.51</v>
      </c>
      <c r="AF11" s="1613">
        <f t="shared" si="3"/>
        <v>5.51</v>
      </c>
      <c r="AG11" s="1613">
        <f t="shared" si="3"/>
        <v>5.51</v>
      </c>
      <c r="AH11" s="1613">
        <f t="shared" si="3"/>
        <v>5.51</v>
      </c>
      <c r="AI11" s="1613">
        <f t="shared" si="3"/>
        <v>5.51</v>
      </c>
      <c r="AJ11" s="1613">
        <f t="shared" si="3"/>
        <v>5.51</v>
      </c>
    </row>
    <row r="12" spans="1:36" ht="25.5" thickBot="1">
      <c r="A12" s="3398" t="s">
        <v>2859</v>
      </c>
      <c r="B12" s="2752" t="s">
        <v>2860</v>
      </c>
      <c r="C12" s="914">
        <f>ROUND(C15*D15*E15*F15*G15*H15*I15*J15,4)</f>
        <v>1</v>
      </c>
      <c r="D12" s="2753" t="s">
        <v>2861</v>
      </c>
      <c r="E12" s="2754"/>
      <c r="F12" s="2754"/>
      <c r="G12" s="2755"/>
      <c r="H12" s="2755"/>
      <c r="I12" s="2755"/>
      <c r="J12" s="2756"/>
      <c r="K12" s="1368"/>
      <c r="L12" s="2757"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11"/>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16"/>
      <c r="B13" s="2758" t="s">
        <v>2864</v>
      </c>
      <c r="C13" s="2759" t="s">
        <v>2865</v>
      </c>
      <c r="D13" s="1806" t="s">
        <v>2866</v>
      </c>
      <c r="E13" s="1806" t="s">
        <v>2867</v>
      </c>
      <c r="F13" s="30" t="s">
        <v>2868</v>
      </c>
      <c r="G13" s="2760" t="s">
        <v>2869</v>
      </c>
      <c r="H13" s="2760" t="s">
        <v>2869</v>
      </c>
      <c r="I13" s="2760" t="s">
        <v>2869</v>
      </c>
      <c r="J13" s="2761" t="s">
        <v>2869</v>
      </c>
      <c r="K13" s="1368"/>
      <c r="L13" s="1368"/>
      <c r="M13" s="1368"/>
      <c r="N13" s="1368"/>
      <c r="O13" s="1368"/>
      <c r="P13" s="1368"/>
      <c r="Q13" s="1368"/>
      <c r="R13" s="1600">
        <v>12</v>
      </c>
      <c r="S13" s="1601"/>
      <c r="T13" s="1600" t="e">
        <f t="shared" si="0"/>
        <v>#DIV/0!</v>
      </c>
      <c r="U13" s="1601"/>
      <c r="V13" s="1600" t="e">
        <f t="shared" si="1"/>
        <v>#DIV/0!</v>
      </c>
      <c r="W13" s="3411"/>
      <c r="X13" s="1614"/>
      <c r="Y13" s="1611">
        <f>(-0.163*(Y12^2)-0.59*Y12+7617)*(10^(-4))/Y11</f>
        <v>0.13823956442831217</v>
      </c>
      <c r="Z13" s="1611">
        <f t="shared" ref="Z13:AJ13" si="5">(-0.163*(Z12^2)-0.59*Z12+7617)*(10^(-4))/Z11</f>
        <v>0.13823956442831217</v>
      </c>
      <c r="AA13" s="1611">
        <f t="shared" si="5"/>
        <v>0.13823956442831217</v>
      </c>
      <c r="AB13" s="1611">
        <f t="shared" si="5"/>
        <v>0.13823956442831217</v>
      </c>
      <c r="AC13" s="1611">
        <f t="shared" si="5"/>
        <v>0.13823956442831217</v>
      </c>
      <c r="AD13" s="1611">
        <f t="shared" si="5"/>
        <v>0.13823956442831217</v>
      </c>
      <c r="AE13" s="1611">
        <f t="shared" si="5"/>
        <v>0.13823956442831217</v>
      </c>
      <c r="AF13" s="1611">
        <f t="shared" si="5"/>
        <v>0.13823956442831217</v>
      </c>
      <c r="AG13" s="1611">
        <f t="shared" si="5"/>
        <v>0.13823956442831217</v>
      </c>
      <c r="AH13" s="1611">
        <f t="shared" si="5"/>
        <v>0.13823956442831217</v>
      </c>
      <c r="AI13" s="1611">
        <f t="shared" si="5"/>
        <v>0.13823956442831217</v>
      </c>
      <c r="AJ13" s="1611">
        <f t="shared" si="5"/>
        <v>0.13823956442831217</v>
      </c>
    </row>
    <row r="14" spans="1:36" ht="15">
      <c r="A14" s="3416"/>
      <c r="B14" s="2762"/>
      <c r="C14" s="2763"/>
      <c r="D14" s="2764"/>
      <c r="E14" s="2764"/>
      <c r="F14" s="2765"/>
      <c r="G14" s="2766" t="s">
        <v>2870</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17"/>
      <c r="B15" s="2770" t="s">
        <v>2871</v>
      </c>
      <c r="C15" s="227">
        <f>IF(C14="有",1.1,1)</f>
        <v>1</v>
      </c>
      <c r="D15" s="227">
        <f>IF(D14="有",1.1,1)</f>
        <v>1</v>
      </c>
      <c r="E15" s="227">
        <f>IF(E14="有",1.1,1)</f>
        <v>1</v>
      </c>
      <c r="F15" s="227">
        <f>IF(F14="500米范围内",1.2,IF(F14="500-1000米",1.1,1))</f>
        <v>1</v>
      </c>
      <c r="G15" s="944">
        <v>1</v>
      </c>
      <c r="H15" s="944">
        <v>1</v>
      </c>
      <c r="I15" s="944">
        <v>1</v>
      </c>
      <c r="J15" s="945">
        <v>1</v>
      </c>
      <c r="K15" s="1368"/>
      <c r="L15" s="2771" t="s">
        <v>2807</v>
      </c>
      <c r="M15" s="915" t="s">
        <v>2872</v>
      </c>
      <c r="N15" s="915" t="s">
        <v>2873</v>
      </c>
      <c r="O15" s="915" t="s">
        <v>2874</v>
      </c>
      <c r="P15" s="2772"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98" t="s">
        <v>2876</v>
      </c>
      <c r="B16" s="2739" t="s">
        <v>2877</v>
      </c>
      <c r="C16" s="1799" t="e">
        <f>ROUND(SUM(G17:J17)/C17,0)</f>
        <v>#DIV/0!</v>
      </c>
      <c r="D16" s="2773" t="s">
        <v>2878</v>
      </c>
      <c r="E16" s="2774"/>
      <c r="F16" s="2775"/>
      <c r="G16" s="2776"/>
      <c r="H16" s="2776"/>
      <c r="I16" s="2776"/>
      <c r="J16" s="2777"/>
      <c r="K16" s="1368"/>
      <c r="L16" s="2778"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99"/>
      <c r="B17" s="2779" t="s">
        <v>2880</v>
      </c>
      <c r="C17" s="919">
        <f>SUMPRODUCT((修正!A2:A5=E2)*(修正!B1:M1=G2)*(修正!B2:M5))</f>
        <v>0</v>
      </c>
      <c r="D17" s="2780"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1" t="s">
        <v>2883</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2884</v>
      </c>
      <c r="C18" s="921">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2885</v>
      </c>
      <c r="C19" s="922" t="e">
        <f>ROUND(IF(H19="按公示增长率计算",SUMPRODUCT((地价!A3:A22=YEAR(G19)&amp;"-"&amp;ROUNDUP(MONTH(G19)/3,0))*(地价!X2:AB2=E2)*(地价!X3:AB22)),IF(H19="地价指数",M20/M19,(1+I19)^O19)),4)</f>
        <v>#DIV/0!</v>
      </c>
      <c r="D19" s="2791" t="s">
        <v>2886</v>
      </c>
      <c r="E19" s="923">
        <v>41640</v>
      </c>
      <c r="F19" s="2791" t="s">
        <v>2887</v>
      </c>
      <c r="G19" s="924">
        <f>'数据-取费表'!B2</f>
        <v>43202</v>
      </c>
      <c r="H19" s="2792" t="s">
        <v>2888</v>
      </c>
      <c r="I19" s="925" t="str">
        <f>IF(H19="季度增幅（自定义）",SUMIF(N21:N24,E2,O21:O24),"")</f>
        <v/>
      </c>
      <c r="J19" s="2789"/>
      <c r="K19" s="1375"/>
      <c r="L19" s="2793" t="s">
        <v>2889</v>
      </c>
      <c r="M19" s="1732">
        <f>ROUND(SUMIF(地价!B2:F2,E2,地价!B22:F22),0)</f>
        <v>0</v>
      </c>
      <c r="N19" s="2794" t="s">
        <v>2890</v>
      </c>
      <c r="O19" s="926">
        <f>ROUNDDOWN(DATEDIF(E19,G19,"M")/3,0)</f>
        <v>17</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2891</v>
      </c>
      <c r="C20" s="927" t="e">
        <f>ROUND(POWER(1+G20,J20-I20)*(POWER(1+G20,I20)-1)/(POWER(1+G20,J20)-1),4)</f>
        <v>#DIV/0!</v>
      </c>
      <c r="D20" s="2800" t="s">
        <v>2892</v>
      </c>
      <c r="E20" s="1766">
        <f ca="1">存贷款利率!D4/100</f>
        <v>4.3499999999999997E-2</v>
      </c>
      <c r="F20" s="2800" t="s">
        <v>2883</v>
      </c>
      <c r="G20" s="932">
        <f>SUMIF(M15:P15,E2,M17:P17)</f>
        <v>0</v>
      </c>
      <c r="H20" s="2800" t="s">
        <v>2893</v>
      </c>
      <c r="I20" s="933" t="e">
        <f>SUMIF('数据-取费表'!C6:C15,E2,'数据-取费表'!F6:F15)/COUNTIF('数据-取费表'!C6:C15,E2)</f>
        <v>#DIV/0!</v>
      </c>
      <c r="J20" s="934">
        <f>IF(E2="住宅",70,IF(E2="商业",40,50))</f>
        <v>50</v>
      </c>
      <c r="K20" s="1375"/>
      <c r="L20" s="2801" t="s">
        <v>2894</v>
      </c>
      <c r="M20" s="1733">
        <f>ROUND(SUMPRODUCT((地价!A4:A22=YEAR(G19)&amp;"-"&amp;ROUNDUP(MONTH(G19)/3,0))*(地价!B2:F2=E2)*(地价!B4:F22)),0)</f>
        <v>0</v>
      </c>
      <c r="N20" s="2802" t="s">
        <v>2895</v>
      </c>
      <c r="O20" s="2803" t="s">
        <v>2896</v>
      </c>
      <c r="P20" s="2804" t="s">
        <v>2897</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2898</v>
      </c>
      <c r="C21" s="935">
        <f>IF(B21="容积率修正",IF(G3&lt;=10,D22,J22),C23)</f>
        <v>0</v>
      </c>
      <c r="D21" s="2807"/>
      <c r="E21" s="2807"/>
      <c r="F21" s="2807"/>
      <c r="G21" s="2807"/>
      <c r="H21" s="2807"/>
      <c r="I21" s="2807"/>
      <c r="J21" s="2808"/>
      <c r="K21" s="1375"/>
      <c r="N21" s="2809" t="s">
        <v>2899</v>
      </c>
      <c r="O21" s="1559"/>
      <c r="P21" s="1560">
        <f>SUMPRODUCT((地价!A3:A22=YEAR(G19)&amp;"-"&amp;ROUNDUP(MONTH(G19)/3,0))*(地价!AD2:AH2=N21)*(地价!AD3:AH22))</f>
        <v>1.46E-2</v>
      </c>
      <c r="R21" s="1374"/>
      <c r="S21" s="1374"/>
      <c r="T21" s="1369"/>
      <c r="U21" s="1369"/>
      <c r="V21" s="1369"/>
      <c r="W21" s="1368"/>
      <c r="X21" s="1368"/>
      <c r="Y21" s="1368"/>
      <c r="Z21" s="1375"/>
      <c r="AA21" s="1376"/>
      <c r="AB21" s="1376"/>
      <c r="AC21" s="1376"/>
      <c r="AD21" s="1376"/>
      <c r="AE21" s="1376"/>
      <c r="AF21" s="1376"/>
    </row>
    <row r="22" spans="1:37" s="2732" customFormat="1" ht="14.25">
      <c r="A22" s="2658" t="s">
        <v>2900</v>
      </c>
      <c r="B22" s="2810" t="s">
        <v>2901</v>
      </c>
      <c r="C22" s="1808" t="s">
        <v>2902</v>
      </c>
      <c r="D22" s="1808">
        <f>IF(E22=G22,F22,IF(G3&lt;=10,ROUND(F22+(H22-F22)*(G3-E22)/(G22-E22),4),"——"))</f>
        <v>0</v>
      </c>
      <c r="E22" s="911">
        <f>ROUNDDOWN(G3,1)</f>
        <v>5.5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5.6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2903</v>
      </c>
      <c r="O22" s="1559"/>
      <c r="P22" s="1560">
        <f>SUMPRODUCT((地价!A3:A22=YEAR(G19)&amp;"-"&amp;ROUNDUP(MONTH(G19)/3,0))*(地价!AD2:AH2=N22)*(地价!AD3:AH22))</f>
        <v>1.46E-2</v>
      </c>
      <c r="R22" s="1374"/>
      <c r="S22" s="1374"/>
      <c r="T22" s="1369"/>
      <c r="U22" s="1369"/>
      <c r="V22" s="1369"/>
      <c r="W22" s="1368"/>
      <c r="X22" s="1368"/>
      <c r="Y22" s="1368"/>
      <c r="Z22" s="1375"/>
      <c r="AA22" s="1376"/>
      <c r="AB22" s="1376"/>
      <c r="AC22" s="1376"/>
      <c r="AD22" s="1376"/>
      <c r="AE22" s="1376"/>
      <c r="AF22" s="1376"/>
    </row>
    <row r="23" spans="1:37" ht="27.75" thickBot="1">
      <c r="A23" s="2658" t="s">
        <v>2904</v>
      </c>
      <c r="B23" s="2811" t="s">
        <v>2905</v>
      </c>
      <c r="C23" s="1011">
        <f>ROUND(IF(G3&gt;1,IF(I3&lt;7,SUMPRODUCT((B93:B98=I3)*(C92:N92=G2)*(C93:N98)),SUMIF(C92:N92,G2,C100:N100)),IF(I3&lt;7,SUMPRODUCT((B102:B107=I3)*(C92:N92=G2)*(C102:N107)),SUMIF(C92:N92,G2,C109:N109))),4)</f>
        <v>0</v>
      </c>
      <c r="D23" s="2767"/>
      <c r="E23" s="2767"/>
      <c r="F23" s="2812"/>
      <c r="G23" s="2813"/>
      <c r="H23" s="2814"/>
      <c r="I23" s="2815"/>
      <c r="J23" s="2816"/>
      <c r="K23" s="1368"/>
      <c r="N23" s="2809" t="s">
        <v>2906</v>
      </c>
      <c r="O23" s="1559"/>
      <c r="P23" s="1560">
        <f>SUMPRODUCT((地价!A3:A22=YEAR(G19)&amp;"-"&amp;ROUNDUP(MONTH(G19)/3,0))*(地价!AD2:AH2=N23)*(地价!AD3:AH22))</f>
        <v>2.41E-2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2907</v>
      </c>
      <c r="C24" s="922">
        <f>SUMIF(A45:A88,E2,B45:B88)</f>
        <v>0</v>
      </c>
      <c r="D24" s="2787"/>
      <c r="E24" s="2817"/>
      <c r="F24" s="2817"/>
      <c r="G24" s="2817"/>
      <c r="H24" s="2817"/>
      <c r="I24" s="2817"/>
      <c r="J24" s="2818"/>
      <c r="K24" s="1375"/>
      <c r="N24" s="2819" t="s">
        <v>2908</v>
      </c>
      <c r="O24" s="1561"/>
      <c r="P24" s="1562">
        <f>SUMPRODUCT((地价!A3:A22=YEAR(G19)&amp;"-"&amp;ROUNDUP(MONTH(G19)/3,0))*(地价!AD2:AH2=N24)*(地价!AD3:AH22))</f>
        <v>1.24E-2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2909</v>
      </c>
      <c r="C25" s="928"/>
      <c r="D25" s="2742"/>
      <c r="E25" s="2742"/>
      <c r="F25" s="2821"/>
      <c r="G25" s="2742"/>
      <c r="H25" s="2742"/>
      <c r="I25" s="2742"/>
      <c r="J25" s="2743"/>
      <c r="K25" s="1368"/>
      <c r="N25" s="2822" t="s">
        <v>2910</v>
      </c>
      <c r="O25" s="1563"/>
      <c r="P25" s="1562">
        <f>SUMPRODUCT((地价!A3:A22=YEAR(G19)&amp;"-"&amp;ROUNDUP(MONTH(G19)/3,0))*(地价!AD2:AH2=N25)*(地价!AD3:AH22))</f>
        <v>2.1700000000000001E-2</v>
      </c>
      <c r="R25" s="1374"/>
      <c r="S25" s="1374"/>
      <c r="T25" s="1369"/>
      <c r="U25" s="1369"/>
      <c r="V25" s="1369"/>
      <c r="W25" s="1368"/>
      <c r="X25" s="1368"/>
      <c r="Y25" s="1368"/>
      <c r="Z25" s="1375"/>
      <c r="AA25" s="1376"/>
      <c r="AB25" s="1376"/>
      <c r="AC25" s="1376"/>
      <c r="AD25" s="1376"/>
    </row>
    <row r="26" spans="1:37" ht="15">
      <c r="A26" s="2823"/>
      <c r="B26" s="2810" t="s">
        <v>2911</v>
      </c>
      <c r="C26" s="204"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2912</v>
      </c>
      <c r="C27" s="929"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2913</v>
      </c>
      <c r="C28" s="2834" t="s">
        <v>2914</v>
      </c>
      <c r="D28" s="2834" t="s">
        <v>2915</v>
      </c>
      <c r="E28" s="2835" t="s">
        <v>2916</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2917</v>
      </c>
      <c r="C29" s="204" t="e">
        <f>ROUND(C5*C18*C19*C20*C21*C24,0)</f>
        <v>#DIV/0!</v>
      </c>
      <c r="D29" s="2839"/>
      <c r="E29" s="940" t="e">
        <f>ROUND(C29*D29/10000,0)</f>
        <v>#DIV/0!</v>
      </c>
      <c r="F29" s="2840" t="s">
        <v>2918</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2919</v>
      </c>
      <c r="C30" s="227" t="e">
        <f>ROUND(IF(E2="工业",C29*M39,C29*M38),0)</f>
        <v>#DIV/0!</v>
      </c>
      <c r="D30" s="2845"/>
      <c r="E30" s="940" t="e">
        <f>ROUND(C30*D30/10000,0)</f>
        <v>#DIV/0!</v>
      </c>
      <c r="F30" s="2846" t="s">
        <v>2920</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2921</v>
      </c>
      <c r="C31" s="2851" t="s">
        <v>2922</v>
      </c>
      <c r="D31" s="2755"/>
      <c r="E31" s="2851"/>
      <c r="F31" s="2851"/>
      <c r="G31" s="2753" t="s">
        <v>2923</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9" t="s">
        <v>2914</v>
      </c>
      <c r="D32" s="496" t="s">
        <v>2915</v>
      </c>
      <c r="E32" s="496" t="s">
        <v>2916</v>
      </c>
      <c r="F32" s="386" t="s">
        <v>2924</v>
      </c>
      <c r="G32" s="2854" t="s">
        <v>2914</v>
      </c>
      <c r="H32" s="2854" t="s">
        <v>2915</v>
      </c>
      <c r="I32" s="2854"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406" t="s">
        <v>2925</v>
      </c>
      <c r="B33" s="2855" t="s">
        <v>2926</v>
      </c>
      <c r="C33" s="204" t="e">
        <f>ROUND(D5*C19*C20*C24*F33,0)</f>
        <v>#DIV/0!</v>
      </c>
      <c r="D33" s="2839"/>
      <c r="E33" s="198" t="e">
        <f>ROUND(C33*D33/10000,0)</f>
        <v>#DIV/0!</v>
      </c>
      <c r="F33" s="198">
        <f>SUMIF(修正!A45:A56,G2,修正!B45:B56)</f>
        <v>0</v>
      </c>
      <c r="G33" s="198" t="e">
        <f t="shared" ref="G33:G39" si="6">ROUND(IF(E2="工业",C33*$M$39,C33*$M$38),0)</f>
        <v>#DIV/0!</v>
      </c>
      <c r="H33" s="198">
        <f>D33</f>
        <v>0</v>
      </c>
      <c r="I33" s="198"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07"/>
      <c r="B34" s="2759" t="s">
        <v>2927</v>
      </c>
      <c r="C34" s="204" t="e">
        <f>ROUND(D5*C19*C20*C24*F34,0)</f>
        <v>#DIV/0!</v>
      </c>
      <c r="D34" s="283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07"/>
      <c r="B35" s="2759" t="s">
        <v>2928</v>
      </c>
      <c r="C35" s="204" t="e">
        <f>ROUND(D5*C19*C20*C24*F35,0)</f>
        <v>#DIV/0!</v>
      </c>
      <c r="D35" s="2839"/>
      <c r="E35" s="198" t="e">
        <f t="shared" si="7"/>
        <v>#DIV/0!</v>
      </c>
      <c r="F35" s="198">
        <f>SUMIF(修正!A45:A56,G2,修正!D45:D56)</f>
        <v>0</v>
      </c>
      <c r="G35" s="198" t="e">
        <f t="shared" si="6"/>
        <v>#DIV/0!</v>
      </c>
      <c r="H35" s="198">
        <f t="shared" si="8"/>
        <v>0</v>
      </c>
      <c r="I35" s="198"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408"/>
      <c r="B36" s="2759" t="s">
        <v>2929</v>
      </c>
      <c r="C36" s="204" t="e">
        <f>ROUND(D5*C19*C20*C24*F36,0)</f>
        <v>#DIV/0!</v>
      </c>
      <c r="D36" s="2839"/>
      <c r="E36" s="198" t="e">
        <f t="shared" si="7"/>
        <v>#DIV/0!</v>
      </c>
      <c r="F36" s="198">
        <f>SUMIF(修正!A45:A56,G2,修正!E45:E56)</f>
        <v>0</v>
      </c>
      <c r="G36" s="198" t="e">
        <f t="shared" si="6"/>
        <v>#DIV/0!</v>
      </c>
      <c r="H36" s="198">
        <f t="shared" si="8"/>
        <v>0</v>
      </c>
      <c r="I36" s="198"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2930</v>
      </c>
      <c r="C37" s="198" t="e">
        <f>ROUND(C5*C19*C20*C24*F37,0)</f>
        <v>#DIV/0!</v>
      </c>
      <c r="D37" s="2839"/>
      <c r="E37" s="198" t="e">
        <f t="shared" si="7"/>
        <v>#DIV/0!</v>
      </c>
      <c r="F37" s="204">
        <f>SUMIF(修正!A45:A56,G2,修正!F45:F56)</f>
        <v>0</v>
      </c>
      <c r="G37" s="198" t="e">
        <f t="shared" si="6"/>
        <v>#DIV/0!</v>
      </c>
      <c r="H37" s="198">
        <f t="shared" si="8"/>
        <v>0</v>
      </c>
      <c r="I37" s="198" t="e">
        <f t="shared" si="9"/>
        <v>#DIV/0!</v>
      </c>
      <c r="J37" s="2856"/>
      <c r="K37" s="1368"/>
      <c r="L37" s="2858" t="s">
        <v>2931</v>
      </c>
      <c r="M37" s="2859"/>
      <c r="N37" s="1368"/>
      <c r="O37" s="1368"/>
      <c r="P37" s="1368"/>
      <c r="Q37" s="1368"/>
      <c r="R37" s="1368"/>
      <c r="S37" s="1368"/>
      <c r="T37" s="1368"/>
      <c r="U37" s="1368"/>
      <c r="V37" s="1368"/>
      <c r="W37" s="1368"/>
      <c r="X37" s="1368"/>
      <c r="Y37" s="1368"/>
      <c r="Z37" s="1369"/>
    </row>
    <row r="38" spans="1:37">
      <c r="A38" s="2857"/>
      <c r="B38" s="2759" t="s">
        <v>2932</v>
      </c>
      <c r="C38" s="198" t="e">
        <f>ROUND(C5*C19*C20*C24*F38,0)</f>
        <v>#DIV/0!</v>
      </c>
      <c r="D38" s="2839"/>
      <c r="E38" s="198" t="e">
        <f t="shared" si="7"/>
        <v>#DIV/0!</v>
      </c>
      <c r="F38" s="204">
        <f>SUMIF(修正!A45:A56,G2,修正!G45:G56)</f>
        <v>0</v>
      </c>
      <c r="G38" s="198" t="e">
        <f t="shared" si="6"/>
        <v>#DIV/0!</v>
      </c>
      <c r="H38" s="198">
        <f t="shared" si="8"/>
        <v>0</v>
      </c>
      <c r="I38" s="198" t="e">
        <f t="shared" si="9"/>
        <v>#DIV/0!</v>
      </c>
      <c r="J38" s="2856"/>
      <c r="K38" s="1368"/>
      <c r="L38" s="1885" t="s">
        <v>2933</v>
      </c>
      <c r="M38" s="2860">
        <v>0.25</v>
      </c>
      <c r="N38" s="1368"/>
      <c r="O38" s="1368"/>
      <c r="P38" s="1368"/>
      <c r="Q38" s="1368"/>
      <c r="R38" s="1368"/>
      <c r="S38" s="1368"/>
      <c r="T38" s="1368"/>
      <c r="U38" s="1368"/>
      <c r="V38" s="1368"/>
      <c r="W38" s="1368"/>
      <c r="X38" s="1368"/>
      <c r="Y38" s="1368"/>
      <c r="Z38" s="1369"/>
    </row>
    <row r="39" spans="1:37" ht="13.5" thickBot="1">
      <c r="A39" s="2843"/>
      <c r="B39" s="2861" t="s">
        <v>2934</v>
      </c>
      <c r="C39" s="227" t="e">
        <f>ROUND(C5*C19*C20*C24*F39,0)</f>
        <v>#DIV/0!</v>
      </c>
      <c r="D39" s="2845"/>
      <c r="E39" s="227" t="e">
        <f t="shared" si="7"/>
        <v>#DIV/0!</v>
      </c>
      <c r="F39" s="930">
        <f>SUMIF(修正!A45:A56,G2,修正!H45:H56)</f>
        <v>0</v>
      </c>
      <c r="G39" s="227" t="e">
        <f t="shared" si="6"/>
        <v>#DIV/0!</v>
      </c>
      <c r="H39" s="227">
        <f t="shared" si="8"/>
        <v>0</v>
      </c>
      <c r="I39" s="227" t="e">
        <f t="shared" si="9"/>
        <v>#DIV/0!</v>
      </c>
      <c r="J39" s="2862"/>
      <c r="K39" s="1368"/>
      <c r="L39" s="2863" t="s">
        <v>2875</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2935</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2936</v>
      </c>
      <c r="B46" s="2869">
        <f>1+E48</f>
        <v>1</v>
      </c>
      <c r="C46" s="2870"/>
      <c r="D46" s="809"/>
      <c r="E46" s="810"/>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2937</v>
      </c>
      <c r="B47" s="1807" t="s">
        <v>2938</v>
      </c>
      <c r="C47" s="1807" t="s">
        <v>2939</v>
      </c>
      <c r="D47" s="1807" t="s">
        <v>2940</v>
      </c>
      <c r="E47" s="814" t="s">
        <v>2941</v>
      </c>
      <c r="F47" s="2873" t="s">
        <v>2942</v>
      </c>
      <c r="G47" s="1807" t="s">
        <v>754</v>
      </c>
      <c r="H47" s="2874" t="s">
        <v>2943</v>
      </c>
      <c r="I47" s="1807" t="s">
        <v>2944</v>
      </c>
      <c r="J47" s="601" t="s">
        <v>2591</v>
      </c>
      <c r="K47" s="601" t="s">
        <v>2592</v>
      </c>
      <c r="L47" s="601" t="s">
        <v>2593</v>
      </c>
      <c r="M47" s="601" t="s">
        <v>2594</v>
      </c>
      <c r="N47" s="601" t="s">
        <v>2595</v>
      </c>
      <c r="AA47" s="1369"/>
      <c r="AB47" s="1369"/>
      <c r="AC47" s="1369"/>
      <c r="AD47" s="1369"/>
      <c r="AE47" s="1369"/>
      <c r="AF47" s="1369"/>
      <c r="AG47" s="1369"/>
      <c r="AH47" s="1369"/>
      <c r="AI47" s="1369"/>
      <c r="AJ47" s="1369"/>
      <c r="AK47" s="1369"/>
    </row>
    <row r="48" spans="1:37" s="1368" customFormat="1" ht="24.75">
      <c r="A48" s="2872" t="s">
        <v>2945</v>
      </c>
      <c r="B48" s="2875">
        <f>估价对象房地状况!C4</f>
        <v>0</v>
      </c>
      <c r="C48" s="2764"/>
      <c r="D48" s="1284">
        <f t="shared" ref="D48:D56" si="10">SUMIF($J$47:$N$47,C48,J48:N48)</f>
        <v>0</v>
      </c>
      <c r="E48" s="816">
        <f>ROUND(SUM(D48:D56),4)</f>
        <v>0</v>
      </c>
      <c r="F48" s="2495"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2946</v>
      </c>
      <c r="B49" s="2876">
        <f>估价对象房地状况!C18</f>
        <v>0</v>
      </c>
      <c r="C49" s="2764"/>
      <c r="D49" s="1284">
        <f t="shared" si="10"/>
        <v>0</v>
      </c>
      <c r="E49" s="817"/>
      <c r="F49" s="2495"/>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2947</v>
      </c>
      <c r="B50" s="2876">
        <f>估价对象房地状况!C19</f>
        <v>0</v>
      </c>
      <c r="C50" s="2764"/>
      <c r="D50" s="1284">
        <f t="shared" si="10"/>
        <v>0</v>
      </c>
      <c r="E50" s="817"/>
      <c r="F50" s="2495"/>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2948</v>
      </c>
      <c r="B51" s="2877" t="s">
        <v>2949</v>
      </c>
      <c r="C51" s="2764"/>
      <c r="D51" s="1284">
        <f t="shared" si="10"/>
        <v>0</v>
      </c>
      <c r="E51" s="817"/>
      <c r="F51" s="2495"/>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2950</v>
      </c>
      <c r="B52" s="2876">
        <f>估价对象房地状况!C24</f>
        <v>0</v>
      </c>
      <c r="C52" s="2764"/>
      <c r="D52" s="1284">
        <f t="shared" si="10"/>
        <v>0</v>
      </c>
      <c r="E52" s="817"/>
      <c r="F52" s="2495"/>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2951</v>
      </c>
      <c r="B53" s="2878" t="s">
        <v>2952</v>
      </c>
      <c r="C53" s="2764"/>
      <c r="D53" s="1284">
        <f t="shared" si="10"/>
        <v>0</v>
      </c>
      <c r="E53" s="817"/>
      <c r="F53" s="2495"/>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2953</v>
      </c>
      <c r="B54" s="1723">
        <f>估价对象房地状况!C21</f>
        <v>0</v>
      </c>
      <c r="C54" s="2764"/>
      <c r="D54" s="1284">
        <f t="shared" si="10"/>
        <v>0</v>
      </c>
      <c r="E54" s="817"/>
      <c r="F54" s="2495"/>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2954</v>
      </c>
      <c r="B55" s="2876">
        <f>估价对象房地状况!C22</f>
        <v>0</v>
      </c>
      <c r="C55" s="2764"/>
      <c r="D55" s="1284">
        <f t="shared" si="10"/>
        <v>0</v>
      </c>
      <c r="E55" s="817"/>
      <c r="F55" s="2495"/>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2955</v>
      </c>
      <c r="B56" s="2881">
        <f>估价对象房地状况!C20</f>
        <v>0</v>
      </c>
      <c r="C56" s="2764"/>
      <c r="D56" s="1284">
        <f t="shared" si="10"/>
        <v>0</v>
      </c>
      <c r="E56" s="820"/>
      <c r="F56" s="2495"/>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2956</v>
      </c>
      <c r="B57" s="2869">
        <f>1+E59</f>
        <v>1</v>
      </c>
      <c r="C57" s="809"/>
      <c r="D57" s="809"/>
      <c r="E57" s="810"/>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2937</v>
      </c>
      <c r="B58" s="1807"/>
      <c r="C58" s="1807" t="s">
        <v>2939</v>
      </c>
      <c r="D58" s="1807" t="s">
        <v>2940</v>
      </c>
      <c r="E58" s="814" t="s">
        <v>2941</v>
      </c>
      <c r="F58" s="2873" t="s">
        <v>2957</v>
      </c>
      <c r="G58" s="1807" t="s">
        <v>754</v>
      </c>
      <c r="H58" s="2874" t="s">
        <v>2943</v>
      </c>
      <c r="I58" s="1807" t="s">
        <v>2944</v>
      </c>
      <c r="J58" s="601" t="s">
        <v>2591</v>
      </c>
      <c r="K58" s="601" t="s">
        <v>2592</v>
      </c>
      <c r="L58" s="601" t="s">
        <v>2593</v>
      </c>
      <c r="M58" s="601" t="s">
        <v>2594</v>
      </c>
      <c r="N58" s="601" t="s">
        <v>2595</v>
      </c>
      <c r="AA58" s="1369"/>
      <c r="AB58" s="1369"/>
      <c r="AC58" s="1369"/>
      <c r="AD58" s="1369"/>
      <c r="AE58" s="1369"/>
      <c r="AF58" s="1369"/>
      <c r="AG58" s="1369"/>
      <c r="AH58" s="1369"/>
      <c r="AI58" s="1369"/>
      <c r="AJ58" s="1369"/>
      <c r="AK58" s="1369"/>
    </row>
    <row r="59" spans="1:37" s="1368" customFormat="1" ht="24">
      <c r="A59" s="2872" t="s">
        <v>2958</v>
      </c>
      <c r="B59" s="2875">
        <f>估价对象房地状况!C17</f>
        <v>0</v>
      </c>
      <c r="C59" s="2764"/>
      <c r="D59" s="1284">
        <f t="shared" ref="D59:D67" si="15">SUMIF($J$58:$N$58,C59,J59:N59)</f>
        <v>0</v>
      </c>
      <c r="E59" s="816">
        <f>ROUND(SUM(D59:D67),4)</f>
        <v>0</v>
      </c>
      <c r="F59" s="2495"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2946</v>
      </c>
      <c r="B60" s="2876">
        <f>估价对象房地状况!C18</f>
        <v>0</v>
      </c>
      <c r="C60" s="2764"/>
      <c r="D60" s="1284">
        <f t="shared" si="15"/>
        <v>0</v>
      </c>
      <c r="E60" s="817"/>
      <c r="F60" s="2495"/>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2947</v>
      </c>
      <c r="B61" s="2876">
        <f>估价对象房地状况!C19</f>
        <v>0</v>
      </c>
      <c r="C61" s="2764"/>
      <c r="D61" s="1284">
        <f t="shared" si="15"/>
        <v>0</v>
      </c>
      <c r="E61" s="817"/>
      <c r="F61" s="2495"/>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2948</v>
      </c>
      <c r="B62" s="2877" t="s">
        <v>2949</v>
      </c>
      <c r="C62" s="2764"/>
      <c r="D62" s="1284">
        <f t="shared" si="15"/>
        <v>0</v>
      </c>
      <c r="E62" s="817"/>
      <c r="F62" s="2495"/>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2950</v>
      </c>
      <c r="B63" s="2876">
        <f>估价对象房地状况!C24</f>
        <v>0</v>
      </c>
      <c r="C63" s="2764"/>
      <c r="D63" s="1284">
        <f t="shared" si="15"/>
        <v>0</v>
      </c>
      <c r="E63" s="817"/>
      <c r="F63" s="2495"/>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2951</v>
      </c>
      <c r="B64" s="2878" t="s">
        <v>2952</v>
      </c>
      <c r="C64" s="2764"/>
      <c r="D64" s="1284">
        <f t="shared" si="15"/>
        <v>0</v>
      </c>
      <c r="E64" s="817"/>
      <c r="F64" s="2495"/>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2953</v>
      </c>
      <c r="B65" s="1723">
        <f>估价对象房地状况!C21</f>
        <v>0</v>
      </c>
      <c r="C65" s="2764"/>
      <c r="D65" s="1284">
        <f t="shared" si="15"/>
        <v>0</v>
      </c>
      <c r="E65" s="817"/>
      <c r="F65" s="2495"/>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2954</v>
      </c>
      <c r="B66" s="1723">
        <f>估价对象房地状况!C22</f>
        <v>0</v>
      </c>
      <c r="C66" s="2764"/>
      <c r="D66" s="1284">
        <f t="shared" si="15"/>
        <v>0</v>
      </c>
      <c r="E66" s="817"/>
      <c r="F66" s="2495"/>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2955</v>
      </c>
      <c r="B67" s="2882">
        <f>估价对象房地状况!C20</f>
        <v>0</v>
      </c>
      <c r="C67" s="2764"/>
      <c r="D67" s="1284">
        <f t="shared" si="15"/>
        <v>0</v>
      </c>
      <c r="E67" s="820"/>
      <c r="F67" s="2495"/>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2959</v>
      </c>
      <c r="B68" s="2869">
        <f>1+E70</f>
        <v>1</v>
      </c>
      <c r="C68" s="809"/>
      <c r="D68" s="809"/>
      <c r="E68" s="810"/>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2937</v>
      </c>
      <c r="B69" s="1807"/>
      <c r="C69" s="1807" t="s">
        <v>2939</v>
      </c>
      <c r="D69" s="1807" t="s">
        <v>2940</v>
      </c>
      <c r="E69" s="814" t="s">
        <v>2941</v>
      </c>
      <c r="F69" s="2873" t="s">
        <v>2957</v>
      </c>
      <c r="G69" s="1807" t="s">
        <v>754</v>
      </c>
      <c r="H69" s="2874" t="s">
        <v>2943</v>
      </c>
      <c r="I69" s="1807" t="s">
        <v>2944</v>
      </c>
      <c r="J69" s="601" t="s">
        <v>2591</v>
      </c>
      <c r="K69" s="601" t="s">
        <v>2592</v>
      </c>
      <c r="L69" s="601" t="s">
        <v>2593</v>
      </c>
      <c r="M69" s="601" t="s">
        <v>2594</v>
      </c>
      <c r="N69" s="601" t="s">
        <v>2595</v>
      </c>
      <c r="AA69" s="1369"/>
      <c r="AB69" s="1369"/>
      <c r="AC69" s="1369"/>
      <c r="AD69" s="1369"/>
      <c r="AE69" s="1369"/>
      <c r="AF69" s="1369"/>
      <c r="AG69" s="1369"/>
      <c r="AH69" s="1369"/>
      <c r="AI69" s="1369"/>
      <c r="AJ69" s="1369"/>
      <c r="AK69" s="1369"/>
    </row>
    <row r="70" spans="1:37" s="1368" customFormat="1" ht="24">
      <c r="A70" s="2872" t="s">
        <v>2960</v>
      </c>
      <c r="B70" s="2875">
        <f>估价对象房地状况!C15</f>
        <v>0</v>
      </c>
      <c r="C70" s="2764"/>
      <c r="D70" s="1284">
        <f t="shared" ref="D70:D78" si="20">SUMIF($J$69:$N$69,C70,J70:N70)</f>
        <v>0</v>
      </c>
      <c r="E70" s="816">
        <f>ROUND(SUM(D70:D78),4)</f>
        <v>0</v>
      </c>
      <c r="F70" s="2495"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2946</v>
      </c>
      <c r="B71" s="2876">
        <f>估价对象房地状况!C18</f>
        <v>0</v>
      </c>
      <c r="C71" s="2764"/>
      <c r="D71" s="1284">
        <f t="shared" si="20"/>
        <v>0</v>
      </c>
      <c r="E71" s="821"/>
      <c r="F71" s="2495"/>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2947</v>
      </c>
      <c r="B72" s="2876">
        <f>估价对象房地状况!C19</f>
        <v>0</v>
      </c>
      <c r="C72" s="2764"/>
      <c r="D72" s="1284">
        <f t="shared" si="20"/>
        <v>0</v>
      </c>
      <c r="E72" s="821"/>
      <c r="F72" s="2495"/>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2961</v>
      </c>
      <c r="B73" s="2876">
        <f>估价对象房地状况!C24</f>
        <v>0</v>
      </c>
      <c r="C73" s="2764"/>
      <c r="D73" s="1284">
        <f t="shared" si="20"/>
        <v>0</v>
      </c>
      <c r="E73" s="821"/>
      <c r="F73" s="2495"/>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2953</v>
      </c>
      <c r="B74" s="1723">
        <f>估价对象房地状况!C21</f>
        <v>0</v>
      </c>
      <c r="C74" s="2764"/>
      <c r="D74" s="1284">
        <f t="shared" si="20"/>
        <v>0</v>
      </c>
      <c r="E74" s="821"/>
      <c r="F74" s="2495"/>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2954</v>
      </c>
      <c r="B75" s="1723">
        <f>估价对象房地状况!C22</f>
        <v>0</v>
      </c>
      <c r="C75" s="2764"/>
      <c r="D75" s="1284">
        <f t="shared" si="20"/>
        <v>0</v>
      </c>
      <c r="E75" s="821"/>
      <c r="F75" s="2495"/>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2951</v>
      </c>
      <c r="B76" s="2878" t="s">
        <v>2952</v>
      </c>
      <c r="C76" s="2764"/>
      <c r="D76" s="1284">
        <f t="shared" si="20"/>
        <v>0</v>
      </c>
      <c r="E76" s="821"/>
      <c r="F76" s="2495"/>
      <c r="G76" s="1282"/>
      <c r="H76" s="1286" t="str">
        <f t="shared" si="21"/>
        <v>——</v>
      </c>
      <c r="I76" s="815">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2955</v>
      </c>
      <c r="B77" s="2875">
        <f>估价对象房地状况!C20</f>
        <v>0</v>
      </c>
      <c r="C77" s="2764"/>
      <c r="D77" s="1284">
        <f t="shared" si="20"/>
        <v>0</v>
      </c>
      <c r="E77" s="821"/>
      <c r="F77" s="2495"/>
      <c r="G77" s="1282"/>
      <c r="H77" s="1286" t="str">
        <f t="shared" si="21"/>
        <v>——</v>
      </c>
      <c r="I77" s="815">
        <v>0.15</v>
      </c>
      <c r="J77" s="1283">
        <f t="shared" si="22"/>
        <v>0</v>
      </c>
      <c r="K77" s="1283">
        <f t="shared" si="23"/>
        <v>0</v>
      </c>
      <c r="L77" s="1283">
        <v>0</v>
      </c>
      <c r="M77" s="1283">
        <f t="shared" si="24"/>
        <v>0</v>
      </c>
      <c r="N77" s="1283">
        <f t="shared" si="24"/>
        <v>0</v>
      </c>
      <c r="Z77" s="2714"/>
      <c r="AA77" s="2790"/>
      <c r="AG77" s="1370"/>
      <c r="AK77" s="2790"/>
    </row>
    <row r="78" spans="1:37" ht="24.75" thickBot="1">
      <c r="A78" s="2880" t="s">
        <v>2962</v>
      </c>
      <c r="B78" s="2884"/>
      <c r="C78" s="2764"/>
      <c r="D78" s="1284">
        <f t="shared" si="20"/>
        <v>0</v>
      </c>
      <c r="E78" s="822"/>
      <c r="F78" s="2495"/>
      <c r="G78" s="1282"/>
      <c r="H78" s="1286" t="str">
        <f t="shared" si="21"/>
        <v>——</v>
      </c>
      <c r="I78" s="819">
        <v>0.04</v>
      </c>
      <c r="J78" s="1283">
        <f t="shared" si="22"/>
        <v>0</v>
      </c>
      <c r="K78" s="1283">
        <f t="shared" si="23"/>
        <v>0</v>
      </c>
      <c r="L78" s="1283">
        <v>0</v>
      </c>
      <c r="M78" s="1283">
        <f t="shared" si="24"/>
        <v>0</v>
      </c>
      <c r="N78" s="1283">
        <f t="shared" si="24"/>
        <v>0</v>
      </c>
      <c r="Z78" s="2714"/>
      <c r="AA78" s="2790"/>
      <c r="AG78" s="1370"/>
      <c r="AK78" s="2790"/>
    </row>
    <row r="79" spans="1:37" ht="15">
      <c r="A79" s="2868" t="s">
        <v>2963</v>
      </c>
      <c r="B79" s="2869">
        <f>1+E81</f>
        <v>1</v>
      </c>
      <c r="C79" s="809"/>
      <c r="D79" s="809"/>
      <c r="E79" s="810"/>
      <c r="F79" s="2871"/>
      <c r="G79" s="6"/>
      <c r="H79" s="6"/>
      <c r="I79" s="6"/>
      <c r="J79" s="7"/>
      <c r="K79" s="7"/>
      <c r="L79" s="7"/>
      <c r="M79" s="7"/>
      <c r="N79" s="7"/>
      <c r="Z79" s="2714"/>
      <c r="AA79" s="2790"/>
      <c r="AG79" s="1370"/>
      <c r="AK79" s="2790"/>
    </row>
    <row r="80" spans="1:37" ht="24.75">
      <c r="A80" s="2872" t="s">
        <v>2937</v>
      </c>
      <c r="B80" s="1807"/>
      <c r="C80" s="1807" t="s">
        <v>2939</v>
      </c>
      <c r="D80" s="1807" t="s">
        <v>2940</v>
      </c>
      <c r="E80" s="814" t="s">
        <v>2941</v>
      </c>
      <c r="F80" s="2873" t="s">
        <v>2957</v>
      </c>
      <c r="G80" s="1807" t="s">
        <v>754</v>
      </c>
      <c r="H80" s="2874" t="s">
        <v>2943</v>
      </c>
      <c r="I80" s="1807" t="s">
        <v>2944</v>
      </c>
      <c r="J80" s="601" t="s">
        <v>2591</v>
      </c>
      <c r="K80" s="601" t="s">
        <v>2592</v>
      </c>
      <c r="L80" s="601" t="s">
        <v>2593</v>
      </c>
      <c r="M80" s="601" t="s">
        <v>2594</v>
      </c>
      <c r="N80" s="601" t="s">
        <v>2595</v>
      </c>
      <c r="Z80" s="2714"/>
      <c r="AA80" s="2790"/>
      <c r="AG80" s="1370"/>
      <c r="AK80" s="2790"/>
    </row>
    <row r="81" spans="1:37" ht="24">
      <c r="A81" s="2872" t="s">
        <v>2964</v>
      </c>
      <c r="B81" s="2876">
        <f>估价对象房地状况!G15</f>
        <v>0</v>
      </c>
      <c r="C81" s="2764"/>
      <c r="D81" s="1284">
        <f t="shared" ref="D81:D88" si="25">SUMIF($J$80:$N$80,C81,J81:N81)</f>
        <v>0</v>
      </c>
      <c r="E81" s="816">
        <f>ROUND(SUM(D81:D88),4)</f>
        <v>0</v>
      </c>
      <c r="F81" s="2495"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14.25">
      <c r="A82" s="2872" t="s">
        <v>2946</v>
      </c>
      <c r="B82" s="2876">
        <f>估价对象房地状况!G16</f>
        <v>0</v>
      </c>
      <c r="C82" s="2764"/>
      <c r="D82" s="1284">
        <f t="shared" si="25"/>
        <v>0</v>
      </c>
      <c r="E82" s="821"/>
      <c r="F82" s="2495"/>
      <c r="G82" s="1282"/>
      <c r="H82" s="1286" t="str">
        <f t="shared" si="26"/>
        <v>——</v>
      </c>
      <c r="I82" s="815">
        <v>0.33</v>
      </c>
      <c r="J82" s="1283">
        <f t="shared" si="27"/>
        <v>0</v>
      </c>
      <c r="K82" s="1283">
        <f t="shared" si="28"/>
        <v>0</v>
      </c>
      <c r="L82" s="1283">
        <v>0</v>
      </c>
      <c r="M82" s="1283">
        <f t="shared" si="29"/>
        <v>0</v>
      </c>
      <c r="N82" s="1283">
        <f t="shared" si="29"/>
        <v>0</v>
      </c>
      <c r="Z82" s="2714"/>
      <c r="AA82" s="2790"/>
      <c r="AG82" s="1370"/>
      <c r="AK82" s="2790"/>
    </row>
    <row r="83" spans="1:37" ht="24">
      <c r="A83" s="2872" t="s">
        <v>2947</v>
      </c>
      <c r="B83" s="2876">
        <f>估价对象房地状况!G17</f>
        <v>0</v>
      </c>
      <c r="C83" s="2764"/>
      <c r="D83" s="1284">
        <f t="shared" si="25"/>
        <v>0</v>
      </c>
      <c r="E83" s="821"/>
      <c r="F83" s="2495"/>
      <c r="G83" s="1282"/>
      <c r="H83" s="1286" t="str">
        <f t="shared" si="26"/>
        <v>——</v>
      </c>
      <c r="I83" s="815">
        <v>0.05</v>
      </c>
      <c r="J83" s="1283">
        <f t="shared" si="27"/>
        <v>0</v>
      </c>
      <c r="K83" s="1283">
        <f t="shared" si="28"/>
        <v>0</v>
      </c>
      <c r="L83" s="1283">
        <v>0</v>
      </c>
      <c r="M83" s="1283">
        <f t="shared" si="29"/>
        <v>0</v>
      </c>
      <c r="N83" s="1283">
        <f t="shared" si="29"/>
        <v>0</v>
      </c>
      <c r="Z83" s="2714"/>
      <c r="AA83" s="2790"/>
      <c r="AG83" s="1370"/>
      <c r="AK83" s="2790"/>
    </row>
    <row r="84" spans="1:37" ht="14.25">
      <c r="A84" s="2872" t="s">
        <v>2961</v>
      </c>
      <c r="B84" s="2876">
        <f>估价对象房地状况!G22</f>
        <v>0</v>
      </c>
      <c r="C84" s="2764"/>
      <c r="D84" s="1284">
        <f t="shared" si="25"/>
        <v>0</v>
      </c>
      <c r="E84" s="821"/>
      <c r="F84" s="2495"/>
      <c r="G84" s="1282"/>
      <c r="H84" s="1286" t="str">
        <f t="shared" si="26"/>
        <v>——</v>
      </c>
      <c r="I84" s="815">
        <v>0.04</v>
      </c>
      <c r="J84" s="1283">
        <f t="shared" si="27"/>
        <v>0</v>
      </c>
      <c r="K84" s="1283">
        <f t="shared" si="28"/>
        <v>0</v>
      </c>
      <c r="L84" s="1283">
        <v>0</v>
      </c>
      <c r="M84" s="1283">
        <f t="shared" si="29"/>
        <v>0</v>
      </c>
      <c r="N84" s="1283">
        <f t="shared" si="29"/>
        <v>0</v>
      </c>
      <c r="Z84" s="2714"/>
      <c r="AA84" s="2790"/>
      <c r="AG84" s="1370"/>
      <c r="AK84" s="2790"/>
    </row>
    <row r="85" spans="1:37" ht="24">
      <c r="A85" s="2872" t="s">
        <v>2953</v>
      </c>
      <c r="B85" s="1723">
        <f>估价对象房地状况!G19</f>
        <v>0</v>
      </c>
      <c r="C85" s="2764"/>
      <c r="D85" s="1284">
        <f t="shared" si="25"/>
        <v>0</v>
      </c>
      <c r="E85" s="821"/>
      <c r="F85" s="2495"/>
      <c r="G85" s="1282"/>
      <c r="H85" s="1286" t="str">
        <f t="shared" si="26"/>
        <v>——</v>
      </c>
      <c r="I85" s="815">
        <v>0.06</v>
      </c>
      <c r="J85" s="1283">
        <f t="shared" si="27"/>
        <v>0</v>
      </c>
      <c r="K85" s="1283">
        <f t="shared" si="28"/>
        <v>0</v>
      </c>
      <c r="L85" s="1283">
        <v>0</v>
      </c>
      <c r="M85" s="1283">
        <f t="shared" si="29"/>
        <v>0</v>
      </c>
      <c r="N85" s="1283">
        <f t="shared" si="29"/>
        <v>0</v>
      </c>
      <c r="Z85" s="2714"/>
      <c r="AA85" s="2790"/>
      <c r="AG85" s="1370"/>
      <c r="AK85" s="2790"/>
    </row>
    <row r="86" spans="1:37" ht="24">
      <c r="A86" s="2872" t="s">
        <v>2954</v>
      </c>
      <c r="B86" s="1723">
        <f>估价对象房地状况!G20</f>
        <v>0</v>
      </c>
      <c r="C86" s="2764"/>
      <c r="D86" s="1284">
        <f t="shared" si="25"/>
        <v>0</v>
      </c>
      <c r="E86" s="821"/>
      <c r="F86" s="2495"/>
      <c r="G86" s="1282"/>
      <c r="H86" s="1286" t="str">
        <f t="shared" si="26"/>
        <v>——</v>
      </c>
      <c r="I86" s="815">
        <v>0.15</v>
      </c>
      <c r="J86" s="1283">
        <f t="shared" si="27"/>
        <v>0</v>
      </c>
      <c r="K86" s="1283">
        <f t="shared" si="28"/>
        <v>0</v>
      </c>
      <c r="L86" s="1283">
        <v>0</v>
      </c>
      <c r="M86" s="1283">
        <f t="shared" si="29"/>
        <v>0</v>
      </c>
      <c r="N86" s="1283">
        <f t="shared" si="29"/>
        <v>0</v>
      </c>
      <c r="Z86" s="2714"/>
      <c r="AA86" s="2790"/>
      <c r="AG86" s="1370"/>
      <c r="AK86" s="2790"/>
    </row>
    <row r="87" spans="1:37" ht="24">
      <c r="A87" s="2872" t="s">
        <v>2951</v>
      </c>
      <c r="B87" s="2878" t="s">
        <v>2965</v>
      </c>
      <c r="C87" s="2764"/>
      <c r="D87" s="1284">
        <f t="shared" si="25"/>
        <v>0</v>
      </c>
      <c r="E87" s="821"/>
      <c r="F87" s="2495"/>
      <c r="G87" s="1282"/>
      <c r="H87" s="1286" t="str">
        <f t="shared" si="26"/>
        <v>——</v>
      </c>
      <c r="I87" s="815">
        <v>0.05</v>
      </c>
      <c r="J87" s="1283">
        <f t="shared" si="27"/>
        <v>0</v>
      </c>
      <c r="K87" s="1283">
        <f t="shared" si="28"/>
        <v>0</v>
      </c>
      <c r="L87" s="1283">
        <v>0</v>
      </c>
      <c r="M87" s="1283">
        <f t="shared" si="29"/>
        <v>0</v>
      </c>
      <c r="N87" s="1283">
        <f t="shared" si="29"/>
        <v>0</v>
      </c>
      <c r="Z87" s="2714"/>
      <c r="AA87" s="2790"/>
      <c r="AG87" s="1370"/>
      <c r="AK87" s="2790"/>
    </row>
    <row r="88" spans="1:37" ht="15" thickBot="1">
      <c r="A88" s="2880" t="s">
        <v>2966</v>
      </c>
      <c r="B88" s="2885">
        <f>估价对象房地状况!G18</f>
        <v>0</v>
      </c>
      <c r="C88" s="2764"/>
      <c r="D88" s="1284">
        <f t="shared" si="25"/>
        <v>0</v>
      </c>
      <c r="E88" s="822"/>
      <c r="F88" s="2495"/>
      <c r="G88" s="1282"/>
      <c r="H88" s="1286" t="str">
        <f t="shared" si="26"/>
        <v>——</v>
      </c>
      <c r="I88" s="819">
        <v>0.06</v>
      </c>
      <c r="J88" s="1283">
        <f t="shared" si="27"/>
        <v>0</v>
      </c>
      <c r="K88" s="1283">
        <f t="shared" si="28"/>
        <v>0</v>
      </c>
      <c r="L88" s="1283">
        <v>0</v>
      </c>
      <c r="M88" s="1283">
        <f t="shared" si="29"/>
        <v>0</v>
      </c>
      <c r="N88" s="1283">
        <f t="shared" si="29"/>
        <v>0</v>
      </c>
      <c r="Z88" s="2714"/>
      <c r="AA88" s="2790"/>
      <c r="AG88" s="1370"/>
      <c r="AK88" s="2790"/>
    </row>
    <row r="90" spans="1:37">
      <c r="A90" s="3400" t="s">
        <v>2967</v>
      </c>
      <c r="B90" s="3400"/>
      <c r="C90" s="3400"/>
      <c r="D90" s="3400"/>
      <c r="E90" s="3400"/>
      <c r="F90" s="3400"/>
      <c r="G90" s="3400"/>
      <c r="H90" s="3400"/>
      <c r="I90" s="3400"/>
      <c r="J90" s="3400"/>
      <c r="K90" s="2886"/>
      <c r="L90" s="2886"/>
      <c r="M90" s="2886"/>
      <c r="N90" s="2886"/>
    </row>
    <row r="91" spans="1:37">
      <c r="A91" s="3402" t="s">
        <v>2968</v>
      </c>
      <c r="B91" s="3402" t="s">
        <v>2969</v>
      </c>
      <c r="C91" s="2840" t="s">
        <v>2970</v>
      </c>
      <c r="D91" s="2841"/>
      <c r="E91" s="2841"/>
      <c r="F91" s="2841"/>
      <c r="G91" s="2841"/>
      <c r="H91" s="2841"/>
      <c r="I91" s="2841"/>
      <c r="J91" s="2887"/>
      <c r="K91" s="2888"/>
      <c r="L91" s="2888"/>
      <c r="M91" s="2888"/>
      <c r="N91" s="2888"/>
    </row>
    <row r="92" spans="1:37">
      <c r="A92" s="3402"/>
      <c r="B92" s="3402"/>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403"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40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40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40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40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40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404"/>
      <c r="B99" s="2889" t="s">
        <v>2850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40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403" t="s">
        <v>2972</v>
      </c>
      <c r="B101" s="2893" t="s">
        <v>2973</v>
      </c>
      <c r="C101" s="2894">
        <f>$G$3</f>
        <v>5.51</v>
      </c>
      <c r="D101" s="2894">
        <f t="shared" ref="D101:N101" si="31">$G$3</f>
        <v>5.51</v>
      </c>
      <c r="E101" s="2894">
        <f t="shared" si="31"/>
        <v>5.51</v>
      </c>
      <c r="F101" s="2894">
        <f t="shared" si="31"/>
        <v>5.51</v>
      </c>
      <c r="G101" s="2894">
        <f t="shared" si="31"/>
        <v>5.51</v>
      </c>
      <c r="H101" s="2894">
        <f t="shared" si="31"/>
        <v>5.51</v>
      </c>
      <c r="I101" s="2894">
        <f t="shared" si="31"/>
        <v>5.51</v>
      </c>
      <c r="J101" s="2894">
        <f t="shared" si="31"/>
        <v>5.51</v>
      </c>
      <c r="K101" s="2894">
        <f t="shared" si="31"/>
        <v>5.51</v>
      </c>
      <c r="L101" s="2894">
        <f t="shared" si="31"/>
        <v>5.51</v>
      </c>
      <c r="M101" s="2894">
        <f t="shared" si="31"/>
        <v>5.51</v>
      </c>
      <c r="N101" s="2894">
        <f t="shared" si="31"/>
        <v>5.51</v>
      </c>
    </row>
    <row r="102" spans="1:14">
      <c r="A102" s="3404"/>
      <c r="B102" s="2889">
        <v>1</v>
      </c>
      <c r="C102" s="2890">
        <f>1.9362/C101</f>
        <v>0.35139745916515425</v>
      </c>
      <c r="D102" s="2890">
        <f>1.9362/D101</f>
        <v>0.35139745916515425</v>
      </c>
      <c r="E102" s="2890">
        <f>1.8629/E101</f>
        <v>0.33809437386569874</v>
      </c>
      <c r="F102" s="2890">
        <f>1.8629/F101</f>
        <v>0.33809437386569874</v>
      </c>
      <c r="G102" s="2890">
        <f>1.8629/G101</f>
        <v>0.33809437386569874</v>
      </c>
      <c r="H102" s="2890">
        <f>1.8629/H101</f>
        <v>0.33809437386569874</v>
      </c>
      <c r="I102" s="2890">
        <f>1.8629/I101</f>
        <v>0.33809437386569874</v>
      </c>
      <c r="J102" s="2890">
        <f>1.942/J101</f>
        <v>0.35245009074410166</v>
      </c>
      <c r="K102" s="2890">
        <f>1.942/K101</f>
        <v>0.35245009074410166</v>
      </c>
      <c r="L102" s="2890">
        <f>1.942/L101</f>
        <v>0.35245009074410166</v>
      </c>
      <c r="M102" s="2890">
        <f>1.942/M101</f>
        <v>0.35245009074410166</v>
      </c>
      <c r="N102" s="2890">
        <f>1.942/N101</f>
        <v>0.35245009074410166</v>
      </c>
    </row>
    <row r="103" spans="1:14">
      <c r="A103" s="3404"/>
      <c r="B103" s="2889">
        <v>2</v>
      </c>
      <c r="C103" s="2890">
        <f>1.4198/C101</f>
        <v>0.25767695099818511</v>
      </c>
      <c r="D103" s="2890">
        <f>1.4198/D101</f>
        <v>0.25767695099818511</v>
      </c>
      <c r="E103" s="2890">
        <f>1.3372/E101</f>
        <v>0.24268602540834847</v>
      </c>
      <c r="F103" s="2890">
        <f>1.3372/F101</f>
        <v>0.24268602540834847</v>
      </c>
      <c r="G103" s="2890">
        <f>1.3372/G101</f>
        <v>0.24268602540834847</v>
      </c>
      <c r="H103" s="2890">
        <f>1.3372/H101</f>
        <v>0.24268602540834847</v>
      </c>
      <c r="I103" s="2890">
        <f>1.3372/I101</f>
        <v>0.24268602540834847</v>
      </c>
      <c r="J103" s="2890">
        <f>1.2799/J101</f>
        <v>0.23228675136116153</v>
      </c>
      <c r="K103" s="2890">
        <f>1.2799/K101</f>
        <v>0.23228675136116153</v>
      </c>
      <c r="L103" s="2890">
        <f>1.2799/L101</f>
        <v>0.23228675136116153</v>
      </c>
      <c r="M103" s="2890">
        <f>1.2799/M101</f>
        <v>0.23228675136116153</v>
      </c>
      <c r="N103" s="2890">
        <f>1.2799/N101</f>
        <v>0.23228675136116153</v>
      </c>
    </row>
    <row r="104" spans="1:14">
      <c r="A104" s="3404"/>
      <c r="B104" s="2889">
        <v>3</v>
      </c>
      <c r="C104" s="2890">
        <f>1.1594/C101</f>
        <v>0.21041742286751361</v>
      </c>
      <c r="D104" s="2890">
        <f>1.1594/D101</f>
        <v>0.21041742286751361</v>
      </c>
      <c r="E104" s="2890">
        <f>1.0788/E101</f>
        <v>0.19578947368421054</v>
      </c>
      <c r="F104" s="2890">
        <f>1.0788/F101</f>
        <v>0.19578947368421054</v>
      </c>
      <c r="G104" s="2890">
        <f>1.0788/G101</f>
        <v>0.19578947368421054</v>
      </c>
      <c r="H104" s="2890">
        <f>1.0788/H101</f>
        <v>0.19578947368421054</v>
      </c>
      <c r="I104" s="2890">
        <f>1.0788/I101</f>
        <v>0.19578947368421054</v>
      </c>
      <c r="J104" s="2890">
        <f>1.0072/J101</f>
        <v>0.18279491833030856</v>
      </c>
      <c r="K104" s="2890">
        <f>1.0072/K101</f>
        <v>0.18279491833030856</v>
      </c>
      <c r="L104" s="2890">
        <f>1.0072/L101</f>
        <v>0.18279491833030856</v>
      </c>
      <c r="M104" s="2890">
        <f>1.0072/M101</f>
        <v>0.18279491833030856</v>
      </c>
      <c r="N104" s="2890">
        <f>1.0072/N101</f>
        <v>0.18279491833030856</v>
      </c>
    </row>
    <row r="105" spans="1:14">
      <c r="A105" s="3404"/>
      <c r="B105" s="2889">
        <v>4</v>
      </c>
      <c r="C105" s="2890">
        <f>0.9622/C101</f>
        <v>0.1746279491833031</v>
      </c>
      <c r="D105" s="2890">
        <f>0.9622/D101</f>
        <v>0.1746279491833031</v>
      </c>
      <c r="E105" s="2890">
        <f>0.8656/E101</f>
        <v>0.1570961887477314</v>
      </c>
      <c r="F105" s="2890">
        <f>0.8656/F101</f>
        <v>0.1570961887477314</v>
      </c>
      <c r="G105" s="2890">
        <f>0.8656/G101</f>
        <v>0.1570961887477314</v>
      </c>
      <c r="H105" s="2890">
        <f>0.8656/H101</f>
        <v>0.1570961887477314</v>
      </c>
      <c r="I105" s="2890">
        <f>0.8656/I101</f>
        <v>0.1570961887477314</v>
      </c>
      <c r="J105" s="2890">
        <f>0.7525/J101</f>
        <v>0.1365698729582577</v>
      </c>
      <c r="K105" s="2890">
        <f>0.7525/K101</f>
        <v>0.1365698729582577</v>
      </c>
      <c r="L105" s="2890">
        <f>0.7525/L101</f>
        <v>0.1365698729582577</v>
      </c>
      <c r="M105" s="2890">
        <f>0.7525/M101</f>
        <v>0.1365698729582577</v>
      </c>
      <c r="N105" s="2890">
        <f>0.7525/N101</f>
        <v>0.1365698729582577</v>
      </c>
    </row>
    <row r="106" spans="1:14">
      <c r="A106" s="3404"/>
      <c r="B106" s="2889">
        <v>5</v>
      </c>
      <c r="C106" s="2890">
        <f>0.8417/C101</f>
        <v>0.15275862068965518</v>
      </c>
      <c r="D106" s="2890">
        <f>0.8417/D101</f>
        <v>0.15275862068965518</v>
      </c>
      <c r="E106" s="2890">
        <f>0.7371/E101</f>
        <v>0.13377495462794919</v>
      </c>
      <c r="F106" s="2890">
        <f>0.7371/F101</f>
        <v>0.13377495462794919</v>
      </c>
      <c r="G106" s="2890">
        <f>0.7371/G101</f>
        <v>0.13377495462794919</v>
      </c>
      <c r="H106" s="2890">
        <f>0.7371/H101</f>
        <v>0.13377495462794919</v>
      </c>
      <c r="I106" s="2890">
        <f>0.7371/I101</f>
        <v>0.13377495462794919</v>
      </c>
      <c r="J106" s="2890">
        <f>0.5659/J101</f>
        <v>0.10270417422867513</v>
      </c>
      <c r="K106" s="2890">
        <f>0.5659/K101</f>
        <v>0.10270417422867513</v>
      </c>
      <c r="L106" s="2890">
        <f>0.5659/L101</f>
        <v>0.10270417422867513</v>
      </c>
      <c r="M106" s="2890">
        <f>0.5659/M101</f>
        <v>0.10270417422867513</v>
      </c>
      <c r="N106" s="2890">
        <f>0.5659/N101</f>
        <v>0.10270417422867513</v>
      </c>
    </row>
    <row r="107" spans="1:14">
      <c r="A107" s="3404"/>
      <c r="B107" s="2889">
        <v>6</v>
      </c>
      <c r="C107" s="2890">
        <f>0.7608/C101</f>
        <v>0.13807622504537206</v>
      </c>
      <c r="D107" s="2890">
        <f>0.7608/D101</f>
        <v>0.13807622504537206</v>
      </c>
      <c r="E107" s="2890">
        <f>0.6482/E101</f>
        <v>0.11764065335753177</v>
      </c>
      <c r="F107" s="2890">
        <f>0.6482/F101</f>
        <v>0.11764065335753177</v>
      </c>
      <c r="G107" s="2890">
        <f>0.6482/G101</f>
        <v>0.11764065335753177</v>
      </c>
      <c r="H107" s="2890">
        <f>0.6482/H101</f>
        <v>0.11764065335753177</v>
      </c>
      <c r="I107" s="2890">
        <f>0.6482/I101</f>
        <v>0.11764065335753177</v>
      </c>
      <c r="J107" s="2890">
        <f>0.4525/J101</f>
        <v>8.2123411978221428E-2</v>
      </c>
      <c r="K107" s="2890">
        <f>0.4525/K101</f>
        <v>8.2123411978221428E-2</v>
      </c>
      <c r="L107" s="2890">
        <f>0.4525/L101</f>
        <v>8.2123411978221428E-2</v>
      </c>
      <c r="M107" s="2890">
        <f>0.4525/M101</f>
        <v>8.2123411978221428E-2</v>
      </c>
      <c r="N107" s="2890">
        <f>0.4525/N101</f>
        <v>8.2123411978221428E-2</v>
      </c>
    </row>
    <row r="108" spans="1:14">
      <c r="A108" s="3404"/>
      <c r="B108" s="3205" t="s">
        <v>2974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405"/>
      <c r="B109" s="3206"/>
      <c r="C109" s="2892">
        <f>(-0.163*(C108^2)-0.59*C108+7617)*(10^(-4))/C101</f>
        <v>0.13823956442831217</v>
      </c>
      <c r="D109" s="2892">
        <f>(-0.163*(D108^2)-0.59*D108+7617)*(10^(-4))/D101</f>
        <v>0.13823956442831217</v>
      </c>
      <c r="E109" s="2892">
        <f>(-0.161*(E108^2)-7.509*E108+6533)*(10^(-4))/E101</f>
        <v>0.11856624319419239</v>
      </c>
      <c r="F109" s="2892">
        <f>(-0.161*(F108^2)-7.509*F108+6533)*(10^(-4))/F101</f>
        <v>0.11856624319419239</v>
      </c>
      <c r="G109" s="2892">
        <f>(-0.161*(G108^2)-7.509*G108+6533)*(10^(-4))/G101</f>
        <v>0.11856624319419239</v>
      </c>
      <c r="H109" s="2892">
        <f>(-0.161*(H108^2)-7.509*H108+6533)*(10^(-4))/H101</f>
        <v>0.11856624319419239</v>
      </c>
      <c r="I109" s="2892">
        <f>(-0.161*(I108^2)-7.509*I108+6533)*(10^(-4))/I101</f>
        <v>0.11856624319419239</v>
      </c>
      <c r="J109" s="2892">
        <f>(-0.214*(J108^2)-21.991*J108+4665)*(10^(-4))/J101</f>
        <v>8.4664246823956457E-2</v>
      </c>
      <c r="K109" s="2892">
        <f>(-0.214*(K108^2)-21.991*K108+4665)*(10^(-4))/K101</f>
        <v>8.4664246823956457E-2</v>
      </c>
      <c r="L109" s="2892">
        <f>(-0.214*(L108^2)-21.991*L108+4665)*(10^(-4))/L101</f>
        <v>8.4664246823956457E-2</v>
      </c>
      <c r="M109" s="2892">
        <f>(-0.214*(M108^2)-21.991*M108+4665)*(10^(-4))/M101</f>
        <v>8.4664246823956457E-2</v>
      </c>
      <c r="N109" s="2892">
        <f>(-0.214*(N108^2)-21.991*N108+4665)*(10^(-4))/N101</f>
        <v>8.4664246823956457E-2</v>
      </c>
    </row>
    <row r="110" spans="1:14">
      <c r="A110" s="3401" t="s">
        <v>2975</v>
      </c>
      <c r="B110" s="3401"/>
      <c r="C110" s="3401"/>
      <c r="D110" s="3401"/>
      <c r="E110" s="3401"/>
      <c r="F110" s="3401"/>
      <c r="G110" s="3401"/>
      <c r="H110" s="3401"/>
      <c r="I110" s="3401"/>
      <c r="J110" s="3401"/>
      <c r="K110" s="2895"/>
      <c r="L110" s="2895"/>
      <c r="M110" s="2895"/>
      <c r="N110" s="2895"/>
    </row>
    <row r="112" spans="1:14" ht="13.5" thickBot="1"/>
    <row r="113" spans="1:13" ht="25.5" thickBot="1">
      <c r="A113" s="898" t="s">
        <v>2976</v>
      </c>
      <c r="B113" s="1285">
        <f>G3</f>
        <v>5.51</v>
      </c>
      <c r="C113" s="899" t="s">
        <v>2977</v>
      </c>
      <c r="D113" s="900">
        <f>SUMPRODUCT((A115:A118=F113)*(B114:M114=H113)*B115:M118)</f>
        <v>0</v>
      </c>
      <c r="E113" s="2718" t="s">
        <v>2807</v>
      </c>
      <c r="F113" s="2897">
        <f>E2</f>
        <v>0</v>
      </c>
      <c r="G113" s="2718" t="s">
        <v>2808</v>
      </c>
      <c r="H113" s="2897">
        <f>G2</f>
        <v>0</v>
      </c>
      <c r="I113" s="2718"/>
      <c r="J113" s="2898"/>
      <c r="K113" s="2898"/>
      <c r="L113" s="2898"/>
      <c r="M113" s="2898"/>
    </row>
    <row r="114" spans="1:13">
      <c r="A114" s="903"/>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4" t="s">
        <v>2872</v>
      </c>
      <c r="B115" s="905">
        <f>ROUND(0.9335-0.0094*B113,4)</f>
        <v>0.88170000000000004</v>
      </c>
      <c r="C115" s="905">
        <f>B115</f>
        <v>0.88170000000000004</v>
      </c>
      <c r="D115" s="905">
        <f>ROUND(0.8331-0.0109*B113,4)</f>
        <v>0.77300000000000002</v>
      </c>
      <c r="E115" s="905">
        <f>D115</f>
        <v>0.77300000000000002</v>
      </c>
      <c r="F115" s="905">
        <f>E115</f>
        <v>0.77300000000000002</v>
      </c>
      <c r="G115" s="905">
        <f>F115</f>
        <v>0.77300000000000002</v>
      </c>
      <c r="H115" s="905">
        <f>G115</f>
        <v>0.77300000000000002</v>
      </c>
      <c r="I115" s="905">
        <f>ROUND(0.689-0.0155*B113,4)</f>
        <v>0.60360000000000003</v>
      </c>
      <c r="J115" s="905">
        <f t="shared" ref="J115:M118" si="33">I115</f>
        <v>0.60360000000000003</v>
      </c>
      <c r="K115" s="905">
        <f t="shared" si="33"/>
        <v>0.60360000000000003</v>
      </c>
      <c r="L115" s="905">
        <f t="shared" si="33"/>
        <v>0.60360000000000003</v>
      </c>
      <c r="M115" s="906">
        <f t="shared" si="33"/>
        <v>0.60360000000000003</v>
      </c>
    </row>
    <row r="116" spans="1:13">
      <c r="A116" s="904" t="s">
        <v>2873</v>
      </c>
      <c r="B116" s="905">
        <f>ROUND(0.949-0.012*B113,4)</f>
        <v>0.88290000000000002</v>
      </c>
      <c r="C116" s="905">
        <f>B116</f>
        <v>0.88290000000000002</v>
      </c>
      <c r="D116" s="905">
        <f>ROUND(0.8567-0.013*B113,4)</f>
        <v>0.78510000000000002</v>
      </c>
      <c r="E116" s="905">
        <f t="shared" ref="E116:H117" si="34">D116</f>
        <v>0.78510000000000002</v>
      </c>
      <c r="F116" s="905">
        <f t="shared" si="34"/>
        <v>0.78510000000000002</v>
      </c>
      <c r="G116" s="905">
        <f t="shared" si="34"/>
        <v>0.78510000000000002</v>
      </c>
      <c r="H116" s="905">
        <f t="shared" si="34"/>
        <v>0.78510000000000002</v>
      </c>
      <c r="I116" s="905">
        <f>ROUND(0.7694-0.014*B113,4)</f>
        <v>0.69230000000000003</v>
      </c>
      <c r="J116" s="905">
        <f t="shared" si="33"/>
        <v>0.69230000000000003</v>
      </c>
      <c r="K116" s="905">
        <f t="shared" si="33"/>
        <v>0.69230000000000003</v>
      </c>
      <c r="L116" s="905">
        <f t="shared" si="33"/>
        <v>0.69230000000000003</v>
      </c>
      <c r="M116" s="906">
        <f t="shared" si="33"/>
        <v>0.69230000000000003</v>
      </c>
    </row>
    <row r="117" spans="1:13">
      <c r="A117" s="904" t="s">
        <v>2874</v>
      </c>
      <c r="B117" s="905">
        <f>ROUND(0.8808-0.006*B113,4)</f>
        <v>0.84770000000000001</v>
      </c>
      <c r="C117" s="905">
        <f>B117</f>
        <v>0.84770000000000001</v>
      </c>
      <c r="D117" s="905">
        <f>ROUND(0.8748-0.008*B113,4)</f>
        <v>0.83069999999999999</v>
      </c>
      <c r="E117" s="905">
        <f t="shared" si="34"/>
        <v>0.83069999999999999</v>
      </c>
      <c r="F117" s="905">
        <f t="shared" si="34"/>
        <v>0.83069999999999999</v>
      </c>
      <c r="G117" s="905">
        <f t="shared" si="34"/>
        <v>0.83069999999999999</v>
      </c>
      <c r="H117" s="905">
        <f t="shared" si="34"/>
        <v>0.83069999999999999</v>
      </c>
      <c r="I117" s="905">
        <f>ROUND(0.7412-0.0095*B113,4)</f>
        <v>0.68889999999999996</v>
      </c>
      <c r="J117" s="905">
        <f t="shared" si="33"/>
        <v>0.68889999999999996</v>
      </c>
      <c r="K117" s="905">
        <f t="shared" si="33"/>
        <v>0.68889999999999996</v>
      </c>
      <c r="L117" s="905">
        <f t="shared" si="33"/>
        <v>0.68889999999999996</v>
      </c>
      <c r="M117" s="906">
        <f t="shared" si="33"/>
        <v>0.68889999999999996</v>
      </c>
    </row>
    <row r="118" spans="1:13" ht="13.5" thickBot="1">
      <c r="A118" s="712" t="s">
        <v>2875</v>
      </c>
      <c r="B118" s="907">
        <f>ROUND(0.7275-0.01*B113,4)</f>
        <v>0.6724</v>
      </c>
      <c r="C118" s="907">
        <f>B118</f>
        <v>0.6724</v>
      </c>
      <c r="D118" s="907">
        <f>ROUND(0.7043-0.012*B113,4)</f>
        <v>0.63819999999999999</v>
      </c>
      <c r="E118" s="907">
        <f>D118</f>
        <v>0.63819999999999999</v>
      </c>
      <c r="F118" s="907">
        <f>E118</f>
        <v>0.63819999999999999</v>
      </c>
      <c r="G118" s="907">
        <f>ROUND(0.6299-0.0122*B113,4)</f>
        <v>0.56269999999999998</v>
      </c>
      <c r="H118" s="907">
        <f>G118</f>
        <v>0.56269999999999998</v>
      </c>
      <c r="I118" s="907">
        <f>ROUND(0.5667-0.0136*B113,4)</f>
        <v>0.49180000000000001</v>
      </c>
      <c r="J118" s="907">
        <f t="shared" si="33"/>
        <v>0.49180000000000001</v>
      </c>
      <c r="K118" s="907">
        <f t="shared" si="33"/>
        <v>0.49180000000000001</v>
      </c>
      <c r="L118" s="907">
        <f t="shared" si="33"/>
        <v>0.49180000000000001</v>
      </c>
      <c r="M118" s="908">
        <f t="shared" si="33"/>
        <v>0.49180000000000001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59"/>
      <c r="B4" s="3089" t="s">
        <v>1630</v>
      </c>
      <c r="C4" s="3089"/>
      <c r="D4" s="3089"/>
      <c r="E4" s="1959"/>
    </row>
    <row r="5" spans="1:5" ht="16.5" thickTop="1">
      <c r="A5" s="1957"/>
      <c r="B5" s="3087" t="s">
        <v>1622</v>
      </c>
      <c r="C5" s="1960" t="s">
        <v>1623</v>
      </c>
      <c r="D5" s="1038">
        <f ca="1">结果表!H101</f>
        <v>250099</v>
      </c>
      <c r="E5" s="1957"/>
    </row>
    <row r="6" spans="1:5" ht="15.75">
      <c r="A6" s="1957"/>
      <c r="B6" s="3087"/>
      <c r="C6" s="1960" t="s">
        <v>1624</v>
      </c>
      <c r="D6" s="1038" t="str">
        <f ca="1">NUMBERSTRING(INT(D5*10000),2)&amp;"元整"</f>
        <v>贰拾伍亿零玖拾玖万元整</v>
      </c>
      <c r="E6" s="1957"/>
    </row>
    <row r="7" spans="1:5" ht="15.75">
      <c r="A7" s="1957"/>
      <c r="B7" s="3092"/>
      <c r="C7" s="1961" t="s">
        <v>1625</v>
      </c>
      <c r="D7" s="1039">
        <f ca="1">结果表!H102</f>
        <v>49337</v>
      </c>
      <c r="E7" s="1957"/>
    </row>
    <row r="8" spans="1:5" ht="15.75">
      <c r="A8" s="1957"/>
      <c r="B8" s="3093" t="str">
        <f>结果表!E103</f>
        <v>2.估价师知悉的法定优先受偿款</v>
      </c>
      <c r="C8" s="1962" t="s">
        <v>1626</v>
      </c>
      <c r="D8" s="1039">
        <f>结果表!H103</f>
        <v>0</v>
      </c>
      <c r="E8" s="1957"/>
    </row>
    <row r="9" spans="1:5" ht="15.75">
      <c r="A9" s="1957"/>
      <c r="B9" s="309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86" t="str">
        <f>结果表!E107</f>
        <v>3.房地产抵押价值</v>
      </c>
      <c r="C13" s="1965" t="s">
        <v>1623</v>
      </c>
      <c r="D13" s="1041">
        <f ca="1">结果表!H107</f>
        <v>250099</v>
      </c>
      <c r="E13" s="1957"/>
    </row>
    <row r="14" spans="1:5" ht="15.75">
      <c r="A14" s="1957"/>
      <c r="B14" s="3087"/>
      <c r="C14" s="1960" t="s">
        <v>1624</v>
      </c>
      <c r="D14" s="1038" t="str">
        <f ca="1">NUMBERSTRING(INT(D13*10000),2)&amp;"元整"</f>
        <v>贰拾伍亿零玖拾玖万元整</v>
      </c>
      <c r="E14" s="1957"/>
    </row>
    <row r="15" spans="1:5" ht="15">
      <c r="A15" s="1957"/>
      <c r="B15" s="3092"/>
      <c r="C15" s="1961" t="s">
        <v>1634</v>
      </c>
      <c r="D15" s="1050">
        <f ca="1">结果表!H108</f>
        <v>49337</v>
      </c>
      <c r="E15" s="1957"/>
    </row>
    <row r="16" spans="1:5" ht="15">
      <c r="A16" s="1957"/>
      <c r="B16" s="3093" t="str">
        <f>结果表!E109</f>
        <v>——</v>
      </c>
      <c r="C16" s="1965" t="s">
        <v>1635</v>
      </c>
      <c r="D16" s="1966" t="str">
        <f>结果表!H109</f>
        <v>——</v>
      </c>
      <c r="E16" s="1957"/>
    </row>
    <row r="17" spans="1:5" ht="15.75">
      <c r="A17" s="1957"/>
      <c r="B17" s="3094"/>
      <c r="C17" s="1960" t="s">
        <v>1636</v>
      </c>
      <c r="D17" s="1038" t="e">
        <f>NUMBERSTRING(INT(D16*10000),2)&amp;"元整"</f>
        <v>#VALUE!</v>
      </c>
      <c r="E17" s="1957"/>
    </row>
    <row r="18" spans="1:5" ht="15">
      <c r="A18" s="1957"/>
      <c r="B18" s="3095"/>
      <c r="C18" s="1961" t="s">
        <v>1625</v>
      </c>
      <c r="D18" s="1050" t="str">
        <f>结果表!H110</f>
        <v>——</v>
      </c>
      <c r="E18" s="1957"/>
    </row>
    <row r="19" spans="1:5" ht="15.75">
      <c r="A19" s="1957"/>
      <c r="B19" s="3086" t="str">
        <f>结果表!E111</f>
        <v>——</v>
      </c>
      <c r="C19" s="1965" t="s">
        <v>1623</v>
      </c>
      <c r="D19" s="1039" t="str">
        <f>结果表!H111</f>
        <v>——</v>
      </c>
      <c r="E19" s="1957"/>
    </row>
    <row r="20" spans="1:5" ht="15.75">
      <c r="A20" s="1957"/>
      <c r="B20" s="3087"/>
      <c r="C20" s="1960" t="s">
        <v>1636</v>
      </c>
      <c r="D20" s="1038" t="e">
        <f>NUMBERSTRING(INT(D19*10000),2)&amp;"元整"</f>
        <v>#VALUE!</v>
      </c>
      <c r="E20" s="1957"/>
    </row>
    <row r="21" spans="1:5" ht="15.75" thickBot="1">
      <c r="A21" s="1957"/>
      <c r="B21" s="308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18" t="s">
        <v>183</v>
      </c>
      <c r="B18" s="877" t="s">
        <v>560</v>
      </c>
      <c r="C18" s="878" t="s">
        <v>561</v>
      </c>
      <c r="D18" s="879"/>
      <c r="E18" s="877">
        <v>1</v>
      </c>
      <c r="F18" s="880" t="s">
        <v>562</v>
      </c>
      <c r="G18" s="881"/>
      <c r="H18" s="873"/>
      <c r="I18" s="873"/>
    </row>
    <row r="19" spans="1:9" s="882" customFormat="1" ht="19.5" customHeight="1">
      <c r="A19" s="3418"/>
      <c r="B19" s="3418" t="s">
        <v>563</v>
      </c>
      <c r="C19" s="878" t="s">
        <v>564</v>
      </c>
      <c r="D19" s="879"/>
      <c r="E19" s="877">
        <v>0.9</v>
      </c>
      <c r="F19" s="880" t="s">
        <v>565</v>
      </c>
      <c r="G19" s="881"/>
      <c r="H19" s="873"/>
      <c r="I19" s="873"/>
    </row>
    <row r="20" spans="1:9" s="882" customFormat="1" ht="19.5" customHeight="1">
      <c r="A20" s="3418"/>
      <c r="B20" s="3418"/>
      <c r="C20" s="878" t="s">
        <v>566</v>
      </c>
      <c r="D20" s="879"/>
      <c r="E20" s="877">
        <v>1.1000000000000001</v>
      </c>
      <c r="F20" s="880" t="s">
        <v>567</v>
      </c>
      <c r="G20" s="881"/>
      <c r="H20" s="873"/>
      <c r="I20" s="873"/>
    </row>
    <row r="21" spans="1:9" s="882" customFormat="1" ht="19.5" customHeight="1">
      <c r="A21" s="3418"/>
      <c r="B21" s="3418"/>
      <c r="C21" s="878" t="s">
        <v>568</v>
      </c>
      <c r="D21" s="879"/>
      <c r="E21" s="877">
        <v>0.8</v>
      </c>
      <c r="F21" s="880" t="s">
        <v>569</v>
      </c>
      <c r="G21" s="881"/>
      <c r="H21" s="873"/>
      <c r="I21" s="873"/>
    </row>
    <row r="22" spans="1:9" s="882" customFormat="1" ht="19.5" customHeight="1">
      <c r="A22" s="3418"/>
      <c r="B22" s="3418"/>
      <c r="C22" s="878" t="s">
        <v>570</v>
      </c>
      <c r="D22" s="879"/>
      <c r="E22" s="877">
        <v>0.5</v>
      </c>
      <c r="F22" s="880"/>
      <c r="G22" s="881"/>
      <c r="H22" s="873"/>
      <c r="I22" s="873"/>
    </row>
    <row r="23" spans="1:9" s="882" customFormat="1" ht="19.5" customHeight="1">
      <c r="A23" s="3418" t="s">
        <v>184</v>
      </c>
      <c r="B23" s="877" t="s">
        <v>560</v>
      </c>
      <c r="C23" s="878" t="s">
        <v>571</v>
      </c>
      <c r="D23" s="879"/>
      <c r="E23" s="877">
        <v>1</v>
      </c>
      <c r="F23" s="880" t="s">
        <v>572</v>
      </c>
      <c r="G23" s="881"/>
      <c r="H23" s="873"/>
      <c r="I23" s="873"/>
    </row>
    <row r="24" spans="1:9" s="882" customFormat="1" ht="19.5" customHeight="1">
      <c r="A24" s="3418"/>
      <c r="B24" s="3418" t="s">
        <v>563</v>
      </c>
      <c r="C24" s="878" t="s">
        <v>573</v>
      </c>
      <c r="D24" s="879"/>
      <c r="E24" s="877">
        <v>0.5</v>
      </c>
      <c r="F24" s="880"/>
      <c r="G24" s="881"/>
      <c r="H24" s="873"/>
      <c r="I24" s="873"/>
    </row>
    <row r="25" spans="1:9" s="882" customFormat="1" ht="19.5" customHeight="1">
      <c r="A25" s="3418"/>
      <c r="B25" s="3418"/>
      <c r="C25" s="878" t="s">
        <v>574</v>
      </c>
      <c r="D25" s="879"/>
      <c r="E25" s="877">
        <v>1.1000000000000001</v>
      </c>
      <c r="F25" s="880"/>
      <c r="G25" s="881"/>
      <c r="H25" s="873"/>
      <c r="I25" s="873"/>
    </row>
    <row r="26" spans="1:9" s="882" customFormat="1" ht="19.5" customHeight="1">
      <c r="A26" s="3418"/>
      <c r="B26" s="3418"/>
      <c r="C26" s="878" t="s">
        <v>575</v>
      </c>
      <c r="D26" s="879"/>
      <c r="E26" s="877">
        <v>1.1000000000000001</v>
      </c>
      <c r="F26" s="880"/>
      <c r="G26" s="881"/>
      <c r="H26" s="873"/>
      <c r="I26" s="873"/>
    </row>
    <row r="27" spans="1:9" s="882" customFormat="1" ht="19.5" customHeight="1">
      <c r="A27" s="3418"/>
      <c r="B27" s="3418"/>
      <c r="C27" s="878" t="s">
        <v>576</v>
      </c>
      <c r="D27" s="879"/>
      <c r="E27" s="877">
        <v>0.9</v>
      </c>
      <c r="F27" s="880" t="s">
        <v>577</v>
      </c>
      <c r="G27" s="881"/>
      <c r="H27" s="873"/>
      <c r="I27" s="873"/>
    </row>
    <row r="28" spans="1:9" s="882" customFormat="1" ht="19.5" customHeight="1">
      <c r="A28" s="3418"/>
      <c r="B28" s="3418"/>
      <c r="C28" s="878" t="s">
        <v>578</v>
      </c>
      <c r="D28" s="879"/>
      <c r="E28" s="877">
        <v>0.9</v>
      </c>
      <c r="F28" s="880" t="s">
        <v>579</v>
      </c>
      <c r="G28" s="881"/>
      <c r="H28" s="873"/>
      <c r="I28" s="873"/>
    </row>
    <row r="29" spans="1:9" s="882" customFormat="1" ht="19.5" customHeight="1">
      <c r="A29" s="3418"/>
      <c r="B29" s="3418"/>
      <c r="C29" s="878" t="s">
        <v>580</v>
      </c>
      <c r="D29" s="879"/>
      <c r="E29" s="877">
        <v>0.9</v>
      </c>
      <c r="F29" s="880" t="s">
        <v>581</v>
      </c>
      <c r="G29" s="881"/>
      <c r="H29" s="873"/>
      <c r="I29" s="873"/>
    </row>
    <row r="30" spans="1:9" s="882" customFormat="1" ht="19.5" customHeight="1">
      <c r="A30" s="3418"/>
      <c r="B30" s="3418"/>
      <c r="C30" s="878" t="s">
        <v>582</v>
      </c>
      <c r="D30" s="879"/>
      <c r="E30" s="877">
        <v>0.9</v>
      </c>
      <c r="F30" s="880" t="s">
        <v>583</v>
      </c>
      <c r="G30" s="881"/>
      <c r="H30" s="873"/>
      <c r="I30" s="873"/>
    </row>
    <row r="31" spans="1:9" s="882" customFormat="1" ht="19.5" customHeight="1">
      <c r="A31" s="3418"/>
      <c r="B31" s="3418"/>
      <c r="C31" s="878" t="s">
        <v>584</v>
      </c>
      <c r="D31" s="879"/>
      <c r="E31" s="877">
        <v>0.8</v>
      </c>
      <c r="F31" s="880" t="s">
        <v>585</v>
      </c>
      <c r="G31" s="881"/>
      <c r="H31" s="873"/>
      <c r="I31" s="873"/>
    </row>
    <row r="32" spans="1:9" s="882" customFormat="1" ht="19.5" customHeight="1">
      <c r="A32" s="3418"/>
      <c r="B32" s="3418"/>
      <c r="C32" s="878" t="s">
        <v>586</v>
      </c>
      <c r="D32" s="879"/>
      <c r="E32" s="877">
        <v>0.8</v>
      </c>
      <c r="F32" s="880" t="s">
        <v>587</v>
      </c>
      <c r="G32" s="881"/>
      <c r="H32" s="873"/>
      <c r="I32" s="873"/>
    </row>
    <row r="33" spans="1:9" s="882" customFormat="1" ht="19.5" customHeight="1">
      <c r="A33" s="3418" t="s">
        <v>185</v>
      </c>
      <c r="B33" s="877" t="s">
        <v>560</v>
      </c>
      <c r="C33" s="878" t="s">
        <v>588</v>
      </c>
      <c r="D33" s="879"/>
      <c r="E33" s="877">
        <v>1</v>
      </c>
      <c r="F33" s="880" t="s">
        <v>589</v>
      </c>
      <c r="G33" s="881"/>
      <c r="H33" s="873"/>
      <c r="I33" s="873"/>
    </row>
    <row r="34" spans="1:9" s="882" customFormat="1" ht="19.5" customHeight="1">
      <c r="A34" s="3418"/>
      <c r="B34" s="877" t="s">
        <v>563</v>
      </c>
      <c r="C34" s="878" t="s">
        <v>590</v>
      </c>
      <c r="D34" s="879"/>
      <c r="E34" s="877">
        <v>1.5</v>
      </c>
      <c r="F34" s="880" t="s">
        <v>591</v>
      </c>
      <c r="G34" s="881"/>
      <c r="H34" s="873"/>
      <c r="I34" s="873"/>
    </row>
    <row r="35" spans="1:9" s="882" customFormat="1" ht="19.5" customHeight="1">
      <c r="A35" s="3418" t="s">
        <v>186</v>
      </c>
      <c r="B35" s="877" t="s">
        <v>560</v>
      </c>
      <c r="C35" s="878" t="s">
        <v>592</v>
      </c>
      <c r="D35" s="879"/>
      <c r="E35" s="877">
        <v>1</v>
      </c>
      <c r="F35" s="880" t="s">
        <v>593</v>
      </c>
      <c r="G35" s="881"/>
      <c r="H35" s="873"/>
      <c r="I35" s="873"/>
    </row>
    <row r="36" spans="1:9" s="882" customFormat="1" ht="19.5" customHeight="1">
      <c r="A36" s="3418"/>
      <c r="B36" s="3418" t="s">
        <v>563</v>
      </c>
      <c r="C36" s="878" t="s">
        <v>594</v>
      </c>
      <c r="D36" s="879"/>
      <c r="E36" s="877">
        <v>1</v>
      </c>
      <c r="F36" s="880" t="s">
        <v>595</v>
      </c>
      <c r="G36" s="881"/>
      <c r="H36" s="873"/>
      <c r="I36" s="873"/>
    </row>
    <row r="37" spans="1:9" s="882" customFormat="1" ht="19.5" customHeight="1">
      <c r="A37" s="3418"/>
      <c r="B37" s="3418"/>
      <c r="C37" s="878" t="s">
        <v>596</v>
      </c>
      <c r="D37" s="879"/>
      <c r="E37" s="877">
        <v>1.5</v>
      </c>
      <c r="F37" s="880" t="s">
        <v>597</v>
      </c>
      <c r="G37" s="881"/>
      <c r="H37" s="873"/>
      <c r="I37" s="873"/>
    </row>
    <row r="38" spans="1:9" s="882" customFormat="1" ht="19.5" customHeight="1">
      <c r="A38" s="3418"/>
      <c r="B38" s="3418"/>
      <c r="C38" s="878" t="s">
        <v>598</v>
      </c>
      <c r="D38" s="879"/>
      <c r="E38" s="877">
        <v>1</v>
      </c>
      <c r="F38" s="880" t="s">
        <v>599</v>
      </c>
      <c r="G38" s="881"/>
      <c r="H38" s="873"/>
      <c r="I38" s="873"/>
    </row>
    <row r="39" spans="1:9" s="882" customFormat="1" ht="19.5" customHeight="1">
      <c r="A39" s="3418"/>
      <c r="B39" s="341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18" t="s">
        <v>614</v>
      </c>
      <c r="C61" s="813" t="s">
        <v>615</v>
      </c>
      <c r="D61" s="813" t="s">
        <v>616</v>
      </c>
      <c r="E61" s="890">
        <v>0.5</v>
      </c>
      <c r="F61" s="877">
        <v>80</v>
      </c>
    </row>
    <row r="62" spans="1:8" s="873" customFormat="1" ht="24">
      <c r="A62" s="877">
        <v>2</v>
      </c>
      <c r="B62" s="3418"/>
      <c r="C62" s="813" t="s">
        <v>617</v>
      </c>
      <c r="D62" s="813" t="s">
        <v>618</v>
      </c>
      <c r="E62" s="890">
        <v>0.5</v>
      </c>
      <c r="F62" s="877">
        <v>80</v>
      </c>
    </row>
    <row r="63" spans="1:8" s="873" customFormat="1" ht="36">
      <c r="A63" s="877">
        <v>3</v>
      </c>
      <c r="B63" s="3418"/>
      <c r="C63" s="813" t="s">
        <v>619</v>
      </c>
      <c r="D63" s="813" t="s">
        <v>620</v>
      </c>
      <c r="E63" s="890">
        <v>0.5</v>
      </c>
      <c r="F63" s="877">
        <v>80</v>
      </c>
    </row>
    <row r="64" spans="1:8" s="873" customFormat="1" ht="36">
      <c r="A64" s="877">
        <v>4</v>
      </c>
      <c r="B64" s="3418"/>
      <c r="C64" s="813" t="s">
        <v>621</v>
      </c>
      <c r="D64" s="813" t="s">
        <v>622</v>
      </c>
      <c r="E64" s="890">
        <v>0.4</v>
      </c>
      <c r="F64" s="877">
        <v>60</v>
      </c>
    </row>
    <row r="65" spans="1:6" s="873" customFormat="1" ht="36">
      <c r="A65" s="877">
        <v>5</v>
      </c>
      <c r="B65" s="3418"/>
      <c r="C65" s="813" t="s">
        <v>623</v>
      </c>
      <c r="D65" s="813" t="s">
        <v>624</v>
      </c>
      <c r="E65" s="890">
        <v>0.2</v>
      </c>
      <c r="F65" s="877">
        <v>30</v>
      </c>
    </row>
    <row r="66" spans="1:6" s="873" customFormat="1" ht="36">
      <c r="A66" s="877">
        <v>6</v>
      </c>
      <c r="B66" s="3418"/>
      <c r="C66" s="813" t="s">
        <v>625</v>
      </c>
      <c r="D66" s="813" t="s">
        <v>626</v>
      </c>
      <c r="E66" s="890">
        <v>0.3</v>
      </c>
      <c r="F66" s="877">
        <v>50</v>
      </c>
    </row>
    <row r="67" spans="1:6" s="873" customFormat="1" ht="36">
      <c r="A67" s="877">
        <v>7</v>
      </c>
      <c r="B67" s="3418"/>
      <c r="C67" s="813" t="s">
        <v>627</v>
      </c>
      <c r="D67" s="813" t="s">
        <v>628</v>
      </c>
      <c r="E67" s="890">
        <v>0.2</v>
      </c>
      <c r="F67" s="877">
        <v>30</v>
      </c>
    </row>
    <row r="68" spans="1:6" s="873" customFormat="1" ht="36">
      <c r="A68" s="877">
        <v>8</v>
      </c>
      <c r="B68" s="3418"/>
      <c r="C68" s="813" t="s">
        <v>629</v>
      </c>
      <c r="D68" s="813" t="s">
        <v>630</v>
      </c>
      <c r="E68" s="890">
        <v>0.2</v>
      </c>
      <c r="F68" s="877">
        <v>30</v>
      </c>
    </row>
    <row r="69" spans="1:6" s="873" customFormat="1" ht="36">
      <c r="A69" s="877">
        <v>9</v>
      </c>
      <c r="B69" s="3418"/>
      <c r="C69" s="813" t="s">
        <v>631</v>
      </c>
      <c r="D69" s="813" t="s">
        <v>632</v>
      </c>
      <c r="E69" s="890">
        <v>0.2</v>
      </c>
      <c r="F69" s="877">
        <v>30</v>
      </c>
    </row>
    <row r="70" spans="1:6" s="873" customFormat="1" ht="48">
      <c r="A70" s="877">
        <v>10</v>
      </c>
      <c r="B70" s="3418"/>
      <c r="C70" s="813" t="s">
        <v>633</v>
      </c>
      <c r="D70" s="813" t="s">
        <v>634</v>
      </c>
      <c r="E70" s="890">
        <v>0.2</v>
      </c>
      <c r="F70" s="877">
        <v>30</v>
      </c>
    </row>
    <row r="71" spans="1:6" s="873" customFormat="1" ht="48">
      <c r="A71" s="877">
        <v>11</v>
      </c>
      <c r="B71" s="3418"/>
      <c r="C71" s="813" t="s">
        <v>635</v>
      </c>
      <c r="D71" s="813" t="s">
        <v>636</v>
      </c>
      <c r="E71" s="890">
        <v>0.2</v>
      </c>
      <c r="F71" s="877">
        <v>30</v>
      </c>
    </row>
    <row r="72" spans="1:6" s="873" customFormat="1" ht="36">
      <c r="A72" s="877">
        <v>12</v>
      </c>
      <c r="B72" s="3418"/>
      <c r="C72" s="813" t="s">
        <v>637</v>
      </c>
      <c r="D72" s="813" t="s">
        <v>638</v>
      </c>
      <c r="E72" s="890">
        <v>0.5</v>
      </c>
      <c r="F72" s="877">
        <v>80</v>
      </c>
    </row>
    <row r="73" spans="1:6" s="873" customFormat="1" ht="24">
      <c r="A73" s="877">
        <v>13</v>
      </c>
      <c r="B73" s="3418"/>
      <c r="C73" s="813" t="s">
        <v>639</v>
      </c>
      <c r="D73" s="813" t="s">
        <v>640</v>
      </c>
      <c r="E73" s="890">
        <v>0.4</v>
      </c>
      <c r="F73" s="877">
        <v>60</v>
      </c>
    </row>
    <row r="74" spans="1:6" s="873" customFormat="1" ht="24">
      <c r="A74" s="877">
        <v>14</v>
      </c>
      <c r="B74" s="3418"/>
      <c r="C74" s="813" t="s">
        <v>641</v>
      </c>
      <c r="D74" s="813" t="s">
        <v>642</v>
      </c>
      <c r="E74" s="890">
        <v>0.2</v>
      </c>
      <c r="F74" s="877">
        <v>30</v>
      </c>
    </row>
    <row r="75" spans="1:6" s="873" customFormat="1" ht="24">
      <c r="A75" s="877">
        <v>15</v>
      </c>
      <c r="B75" s="3418"/>
      <c r="C75" s="813" t="s">
        <v>643</v>
      </c>
      <c r="D75" s="813" t="s">
        <v>644</v>
      </c>
      <c r="E75" s="890">
        <v>0.2</v>
      </c>
      <c r="F75" s="877">
        <v>30</v>
      </c>
    </row>
    <row r="76" spans="1:6" s="873" customFormat="1" ht="24">
      <c r="A76" s="877">
        <v>16</v>
      </c>
      <c r="B76" s="3418" t="s">
        <v>645</v>
      </c>
      <c r="C76" s="813" t="s">
        <v>646</v>
      </c>
      <c r="D76" s="813" t="s">
        <v>647</v>
      </c>
      <c r="E76" s="890">
        <v>0.5</v>
      </c>
      <c r="F76" s="877">
        <v>80</v>
      </c>
    </row>
    <row r="77" spans="1:6" s="873" customFormat="1" ht="24">
      <c r="A77" s="877">
        <v>17</v>
      </c>
      <c r="B77" s="3418"/>
      <c r="C77" s="813" t="s">
        <v>648</v>
      </c>
      <c r="D77" s="813" t="s">
        <v>649</v>
      </c>
      <c r="E77" s="890">
        <v>0.5</v>
      </c>
      <c r="F77" s="877">
        <v>80</v>
      </c>
    </row>
    <row r="78" spans="1:6" s="873" customFormat="1" ht="24">
      <c r="A78" s="877">
        <v>18</v>
      </c>
      <c r="B78" s="3418"/>
      <c r="C78" s="813" t="s">
        <v>650</v>
      </c>
      <c r="D78" s="813" t="s">
        <v>651</v>
      </c>
      <c r="E78" s="890">
        <v>0.2</v>
      </c>
      <c r="F78" s="877">
        <v>30</v>
      </c>
    </row>
    <row r="79" spans="1:6" s="873" customFormat="1" ht="24">
      <c r="A79" s="877">
        <v>19</v>
      </c>
      <c r="B79" s="3418"/>
      <c r="C79" s="813" t="s">
        <v>652</v>
      </c>
      <c r="D79" s="813" t="s">
        <v>653</v>
      </c>
      <c r="E79" s="890">
        <v>0.5</v>
      </c>
      <c r="F79" s="877">
        <v>80</v>
      </c>
    </row>
    <row r="80" spans="1:6" s="873" customFormat="1" ht="36">
      <c r="A80" s="877">
        <v>20</v>
      </c>
      <c r="B80" s="3418"/>
      <c r="C80" s="813" t="s">
        <v>654</v>
      </c>
      <c r="D80" s="813" t="s">
        <v>655</v>
      </c>
      <c r="E80" s="890">
        <v>0.2</v>
      </c>
      <c r="F80" s="877">
        <v>30</v>
      </c>
    </row>
    <row r="81" spans="1:6" s="873" customFormat="1" ht="36">
      <c r="A81" s="877">
        <v>21</v>
      </c>
      <c r="B81" s="3418"/>
      <c r="C81" s="813" t="s">
        <v>656</v>
      </c>
      <c r="D81" s="813" t="s">
        <v>657</v>
      </c>
      <c r="E81" s="890">
        <v>0.2</v>
      </c>
      <c r="F81" s="877">
        <v>30</v>
      </c>
    </row>
    <row r="82" spans="1:6" s="873" customFormat="1" ht="48">
      <c r="A82" s="877">
        <v>22</v>
      </c>
      <c r="B82" s="3418"/>
      <c r="C82" s="813" t="s">
        <v>658</v>
      </c>
      <c r="D82" s="813" t="s">
        <v>659</v>
      </c>
      <c r="E82" s="890">
        <v>0.2</v>
      </c>
      <c r="F82" s="877">
        <v>30</v>
      </c>
    </row>
    <row r="83" spans="1:6" s="873" customFormat="1" ht="48">
      <c r="A83" s="877">
        <v>23</v>
      </c>
      <c r="B83" s="3418"/>
      <c r="C83" s="813" t="s">
        <v>660</v>
      </c>
      <c r="D83" s="813" t="s">
        <v>661</v>
      </c>
      <c r="E83" s="890">
        <v>0.2</v>
      </c>
      <c r="F83" s="877">
        <v>30</v>
      </c>
    </row>
    <row r="84" spans="1:6" s="873" customFormat="1" ht="36">
      <c r="A84" s="877">
        <v>24</v>
      </c>
      <c r="B84" s="3418"/>
      <c r="C84" s="813" t="s">
        <v>662</v>
      </c>
      <c r="D84" s="813" t="s">
        <v>663</v>
      </c>
      <c r="E84" s="890">
        <v>0.2</v>
      </c>
      <c r="F84" s="877">
        <v>30</v>
      </c>
    </row>
    <row r="85" spans="1:6" s="873" customFormat="1" ht="36">
      <c r="A85" s="877">
        <v>25</v>
      </c>
      <c r="B85" s="3418"/>
      <c r="C85" s="813" t="s">
        <v>664</v>
      </c>
      <c r="D85" s="813" t="s">
        <v>665</v>
      </c>
      <c r="E85" s="890">
        <v>0.5</v>
      </c>
      <c r="F85" s="877">
        <v>80</v>
      </c>
    </row>
    <row r="86" spans="1:6" s="873" customFormat="1" ht="36">
      <c r="A86" s="877">
        <v>26</v>
      </c>
      <c r="B86" s="3418"/>
      <c r="C86" s="813" t="s">
        <v>666</v>
      </c>
      <c r="D86" s="813" t="s">
        <v>667</v>
      </c>
      <c r="E86" s="890">
        <v>0.2</v>
      </c>
      <c r="F86" s="877">
        <v>30</v>
      </c>
    </row>
    <row r="87" spans="1:6" s="873" customFormat="1" ht="36">
      <c r="A87" s="877">
        <v>27</v>
      </c>
      <c r="B87" s="3418"/>
      <c r="C87" s="813" t="s">
        <v>668</v>
      </c>
      <c r="D87" s="813" t="s">
        <v>669</v>
      </c>
      <c r="E87" s="890">
        <v>0.2</v>
      </c>
      <c r="F87" s="877">
        <v>30</v>
      </c>
    </row>
    <row r="88" spans="1:6" s="873" customFormat="1" ht="36">
      <c r="A88" s="877">
        <v>28</v>
      </c>
      <c r="B88" s="3418"/>
      <c r="C88" s="813" t="s">
        <v>670</v>
      </c>
      <c r="D88" s="813" t="s">
        <v>671</v>
      </c>
      <c r="E88" s="890">
        <v>0.2</v>
      </c>
      <c r="F88" s="877">
        <v>30</v>
      </c>
    </row>
    <row r="89" spans="1:6" s="873" customFormat="1" ht="24">
      <c r="A89" s="877">
        <v>29</v>
      </c>
      <c r="B89" s="3418"/>
      <c r="C89" s="813" t="s">
        <v>672</v>
      </c>
      <c r="D89" s="813" t="s">
        <v>673</v>
      </c>
      <c r="E89" s="890">
        <v>0.2</v>
      </c>
      <c r="F89" s="877">
        <v>30</v>
      </c>
    </row>
    <row r="90" spans="1:6" s="873" customFormat="1" ht="24">
      <c r="A90" s="877">
        <v>30</v>
      </c>
      <c r="B90" s="3418"/>
      <c r="C90" s="813" t="s">
        <v>674</v>
      </c>
      <c r="D90" s="813" t="s">
        <v>675</v>
      </c>
      <c r="E90" s="890">
        <v>0.2</v>
      </c>
      <c r="F90" s="877">
        <v>30</v>
      </c>
    </row>
    <row r="91" spans="1:6" s="873" customFormat="1" ht="36">
      <c r="A91" s="877">
        <v>31</v>
      </c>
      <c r="B91" s="3418"/>
      <c r="C91" s="813" t="s">
        <v>676</v>
      </c>
      <c r="D91" s="813" t="s">
        <v>677</v>
      </c>
      <c r="E91" s="890">
        <v>0.2</v>
      </c>
      <c r="F91" s="877">
        <v>30</v>
      </c>
    </row>
    <row r="92" spans="1:6" s="873" customFormat="1" ht="24">
      <c r="A92" s="877">
        <v>32</v>
      </c>
      <c r="B92" s="3418" t="s">
        <v>678</v>
      </c>
      <c r="C92" s="877" t="s">
        <v>679</v>
      </c>
      <c r="D92" s="813" t="s">
        <v>680</v>
      </c>
      <c r="E92" s="890">
        <v>0.2</v>
      </c>
      <c r="F92" s="877">
        <v>30</v>
      </c>
    </row>
    <row r="93" spans="1:6" s="873" customFormat="1" ht="36">
      <c r="A93" s="877">
        <v>33</v>
      </c>
      <c r="B93" s="3418"/>
      <c r="C93" s="877" t="s">
        <v>681</v>
      </c>
      <c r="D93" s="813" t="s">
        <v>682</v>
      </c>
      <c r="E93" s="890">
        <v>0.2</v>
      </c>
      <c r="F93" s="877">
        <v>30</v>
      </c>
    </row>
    <row r="94" spans="1:6" s="873" customFormat="1" ht="48">
      <c r="A94" s="877">
        <v>34</v>
      </c>
      <c r="B94" s="3418"/>
      <c r="C94" s="877" t="s">
        <v>683</v>
      </c>
      <c r="D94" s="813" t="s">
        <v>684</v>
      </c>
      <c r="E94" s="890">
        <v>0.2</v>
      </c>
      <c r="F94" s="877">
        <v>30</v>
      </c>
    </row>
    <row r="95" spans="1:6" s="873" customFormat="1" ht="36">
      <c r="A95" s="877">
        <v>35</v>
      </c>
      <c r="B95" s="3418"/>
      <c r="C95" s="877" t="s">
        <v>685</v>
      </c>
      <c r="D95" s="813" t="s">
        <v>686</v>
      </c>
      <c r="E95" s="890">
        <v>0.2</v>
      </c>
      <c r="F95" s="877">
        <v>30</v>
      </c>
    </row>
    <row r="96" spans="1:6" s="873" customFormat="1" ht="48">
      <c r="A96" s="877">
        <v>36</v>
      </c>
      <c r="B96" s="3418"/>
      <c r="C96" s="813" t="s">
        <v>687</v>
      </c>
      <c r="D96" s="813" t="s">
        <v>688</v>
      </c>
      <c r="E96" s="890">
        <v>0.2</v>
      </c>
      <c r="F96" s="877">
        <v>30</v>
      </c>
    </row>
    <row r="97" spans="1:6" s="873" customFormat="1" ht="36">
      <c r="A97" s="877">
        <v>37</v>
      </c>
      <c r="B97" s="3418"/>
      <c r="C97" s="877" t="s">
        <v>689</v>
      </c>
      <c r="D97" s="813" t="s">
        <v>690</v>
      </c>
      <c r="E97" s="890">
        <v>0.2</v>
      </c>
      <c r="F97" s="877">
        <v>30</v>
      </c>
    </row>
    <row r="98" spans="1:6" s="873" customFormat="1" ht="36">
      <c r="A98" s="877">
        <v>38</v>
      </c>
      <c r="B98" s="3418"/>
      <c r="C98" s="877" t="s">
        <v>691</v>
      </c>
      <c r="D98" s="813" t="s">
        <v>692</v>
      </c>
      <c r="E98" s="890">
        <v>0.2</v>
      </c>
      <c r="F98" s="877">
        <v>30</v>
      </c>
    </row>
    <row r="99" spans="1:6" s="873" customFormat="1" ht="36">
      <c r="A99" s="877">
        <v>39</v>
      </c>
      <c r="B99" s="3418" t="s">
        <v>693</v>
      </c>
      <c r="C99" s="877" t="s">
        <v>694</v>
      </c>
      <c r="D99" s="813" t="s">
        <v>695</v>
      </c>
      <c r="E99" s="890">
        <v>0.3</v>
      </c>
      <c r="F99" s="877">
        <v>50</v>
      </c>
    </row>
    <row r="100" spans="1:6" s="873" customFormat="1" ht="24">
      <c r="A100" s="877">
        <v>40</v>
      </c>
      <c r="B100" s="3418"/>
      <c r="C100" s="877" t="s">
        <v>696</v>
      </c>
      <c r="D100" s="813" t="s">
        <v>697</v>
      </c>
      <c r="E100" s="890">
        <v>0.2</v>
      </c>
      <c r="F100" s="877">
        <v>30</v>
      </c>
    </row>
    <row r="101" spans="1:6" s="873" customFormat="1" ht="36">
      <c r="A101" s="877">
        <v>41</v>
      </c>
      <c r="B101" s="341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18" t="s">
        <v>708</v>
      </c>
      <c r="C105" s="877" t="s">
        <v>709</v>
      </c>
      <c r="D105" s="813" t="s">
        <v>710</v>
      </c>
      <c r="E105" s="890">
        <v>0.2</v>
      </c>
      <c r="F105" s="877">
        <v>30</v>
      </c>
    </row>
    <row r="106" spans="1:6" s="873" customFormat="1" ht="36">
      <c r="A106" s="877">
        <v>46</v>
      </c>
      <c r="B106" s="3418"/>
      <c r="C106" s="877" t="s">
        <v>711</v>
      </c>
      <c r="D106" s="813" t="s">
        <v>712</v>
      </c>
      <c r="E106" s="890">
        <v>0.2</v>
      </c>
      <c r="F106" s="877">
        <v>30</v>
      </c>
    </row>
    <row r="107" spans="1:6" s="873" customFormat="1" ht="36">
      <c r="A107" s="877">
        <v>47</v>
      </c>
      <c r="B107" s="3418" t="s">
        <v>713</v>
      </c>
      <c r="C107" s="877" t="s">
        <v>714</v>
      </c>
      <c r="D107" s="813" t="s">
        <v>715</v>
      </c>
      <c r="E107" s="890">
        <v>0.3</v>
      </c>
      <c r="F107" s="877">
        <v>50</v>
      </c>
    </row>
    <row r="108" spans="1:6" s="873" customFormat="1" ht="36">
      <c r="A108" s="877">
        <v>48</v>
      </c>
      <c r="B108" s="341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18" t="s">
        <v>724</v>
      </c>
      <c r="C111" s="877" t="s">
        <v>725</v>
      </c>
      <c r="D111" s="813" t="s">
        <v>726</v>
      </c>
      <c r="E111" s="890">
        <v>0.2</v>
      </c>
      <c r="F111" s="877">
        <v>30</v>
      </c>
    </row>
    <row r="112" spans="1:6" s="873" customFormat="1" ht="24">
      <c r="A112" s="877">
        <v>52</v>
      </c>
      <c r="B112" s="3418"/>
      <c r="C112" s="877" t="s">
        <v>727</v>
      </c>
      <c r="D112" s="813" t="s">
        <v>728</v>
      </c>
      <c r="E112" s="890">
        <v>0.2</v>
      </c>
      <c r="F112" s="877">
        <v>30</v>
      </c>
    </row>
    <row r="113" spans="1:6" s="873" customFormat="1" ht="24">
      <c r="A113" s="877">
        <v>53</v>
      </c>
      <c r="B113" s="341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18" t="s">
        <v>737</v>
      </c>
      <c r="C116" s="877" t="s">
        <v>738</v>
      </c>
      <c r="D116" s="813" t="s">
        <v>739</v>
      </c>
      <c r="E116" s="890">
        <v>0.2</v>
      </c>
      <c r="F116" s="877">
        <v>30</v>
      </c>
    </row>
    <row r="117" spans="1:6" ht="36">
      <c r="A117" s="877">
        <v>57</v>
      </c>
      <c r="B117" s="341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2998</v>
      </c>
    </row>
    <row r="2" spans="1:5" ht="15.75">
      <c r="A2" s="2904" t="s">
        <v>2990</v>
      </c>
      <c r="B2" s="2905" t="e">
        <f ca="1">SUMIF(B6:B13,"&lt;&gt;#ref!",B6:B13)</f>
        <v>#DIV/0!</v>
      </c>
      <c r="C2" s="2904" t="s">
        <v>2991</v>
      </c>
      <c r="D2" s="2904" t="s">
        <v>2992</v>
      </c>
      <c r="E2" s="2905" t="e">
        <f ca="1">SUM(E6:E13)</f>
        <v>#REF!</v>
      </c>
    </row>
    <row r="3" spans="1:5" ht="15.75">
      <c r="A3" s="2904" t="s">
        <v>2993</v>
      </c>
      <c r="B3" s="2905" t="e">
        <f ca="1">ROUND(B2*10000/E2,0)</f>
        <v>#DIV/0!</v>
      </c>
      <c r="C3" s="2904" t="s">
        <v>2999</v>
      </c>
      <c r="D3" s="2906"/>
      <c r="E3" s="2906"/>
    </row>
    <row r="4" spans="1:5" ht="15.75">
      <c r="A4" s="2907"/>
      <c r="B4" s="2906"/>
      <c r="C4" s="2906"/>
      <c r="D4" s="2906"/>
      <c r="E4" s="2906"/>
    </row>
    <row r="5" spans="1:5" ht="28.5">
      <c r="A5" s="2908" t="s">
        <v>2994</v>
      </c>
      <c r="B5" s="2904" t="s">
        <v>2995</v>
      </c>
      <c r="C5" s="2905"/>
      <c r="D5" s="2906"/>
      <c r="E5" s="2904" t="s">
        <v>2996</v>
      </c>
    </row>
    <row r="6" spans="1:5" ht="15.75">
      <c r="A6" s="2909" t="s">
        <v>2997</v>
      </c>
      <c r="B6" s="2905" t="e">
        <f ca="1">SUMIF(INDIRECT("'"&amp;A6&amp;"'"&amp;"!A:A"),"总价",INDIRECT("'"&amp;A6&amp;"'"&amp;"!B:B"))</f>
        <v>#DIV/0!</v>
      </c>
      <c r="C6" s="2904" t="s">
        <v>2991</v>
      </c>
      <c r="D6" s="2906"/>
      <c r="E6" s="2569">
        <f ca="1">SUMIF(INDIRECT("'"&amp;A6&amp;"'"&amp;"!C:C"),"建筑面积",INDIRECT("'"&amp;A6&amp;"'"&amp;"!D:D"))</f>
        <v>0</v>
      </c>
    </row>
    <row r="7" spans="1:5" ht="15.75">
      <c r="A7" s="2909"/>
      <c r="B7" s="2905" t="e">
        <f ca="1">SUMIF(INDIRECT("'"&amp;A7&amp;"'"&amp;"!A:A"),"总价",INDIRECT("'"&amp;A7&amp;"'"&amp;"!B:B"))</f>
        <v>#REF!</v>
      </c>
      <c r="C7" s="2904" t="s">
        <v>2991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2991</v>
      </c>
      <c r="D8" s="2906"/>
      <c r="E8" s="2569" t="e">
        <f t="shared" ca="1" si="0"/>
        <v>#REF!</v>
      </c>
    </row>
    <row r="9" spans="1:5" ht="15.75">
      <c r="A9" s="2909"/>
      <c r="B9" s="2905" t="e">
        <f t="shared" ca="1" si="1"/>
        <v>#REF!</v>
      </c>
      <c r="C9" s="2904" t="s">
        <v>2991</v>
      </c>
      <c r="D9" s="2906"/>
      <c r="E9" s="2569" t="e">
        <f t="shared" ca="1" si="0"/>
        <v>#REF!</v>
      </c>
    </row>
    <row r="10" spans="1:5" ht="15.75">
      <c r="A10" s="2909"/>
      <c r="B10" s="2905" t="e">
        <f t="shared" ca="1" si="1"/>
        <v>#REF!</v>
      </c>
      <c r="C10" s="2904" t="s">
        <v>2991</v>
      </c>
      <c r="D10" s="2906"/>
      <c r="E10" s="2569" t="e">
        <f t="shared" ca="1" si="0"/>
        <v>#REF!</v>
      </c>
    </row>
    <row r="11" spans="1:5" ht="15.75">
      <c r="A11" s="2909"/>
      <c r="B11" s="2905" t="e">
        <f t="shared" ca="1" si="1"/>
        <v>#REF!</v>
      </c>
      <c r="C11" s="2904" t="s">
        <v>2991</v>
      </c>
      <c r="D11" s="2906"/>
      <c r="E11" s="2569" t="e">
        <f t="shared" ca="1" si="0"/>
        <v>#REF!</v>
      </c>
    </row>
    <row r="12" spans="1:5" ht="15.75">
      <c r="A12" s="2909"/>
      <c r="B12" s="2905" t="e">
        <f t="shared" ca="1" si="1"/>
        <v>#REF!</v>
      </c>
      <c r="C12" s="2904" t="s">
        <v>2991</v>
      </c>
      <c r="D12" s="2906"/>
      <c r="E12" s="2569" t="e">
        <f t="shared" ca="1" si="0"/>
        <v>#REF!</v>
      </c>
    </row>
    <row r="13" spans="1:5" ht="15.75">
      <c r="A13" s="2909"/>
      <c r="B13" s="2905" t="e">
        <f t="shared" ca="1" si="1"/>
        <v>#REF!</v>
      </c>
      <c r="C13" s="2904" t="s">
        <v>2991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24" t="s">
        <v>1150</v>
      </c>
      <c r="C1" s="3424"/>
      <c r="D1" s="3424"/>
      <c r="E1" s="3424"/>
      <c r="F1" s="3424"/>
      <c r="G1" s="3420" t="s">
        <v>1151</v>
      </c>
      <c r="H1" s="3420"/>
      <c r="I1" s="3420"/>
      <c r="J1" s="3420"/>
      <c r="K1" s="3420"/>
      <c r="L1" s="3420"/>
      <c r="N1" s="3420" t="s">
        <v>1152</v>
      </c>
      <c r="O1" s="3420"/>
      <c r="P1" s="3420"/>
      <c r="Q1" s="3420"/>
      <c r="R1" s="1444"/>
      <c r="S1" s="3420" t="s">
        <v>1153</v>
      </c>
      <c r="T1" s="3420"/>
      <c r="U1" s="3420"/>
      <c r="V1" s="3420"/>
      <c r="X1" s="3419" t="s">
        <v>1154</v>
      </c>
      <c r="Y1" s="3420"/>
      <c r="Z1" s="3420"/>
      <c r="AA1" s="3420"/>
      <c r="AB1" s="3420"/>
      <c r="AD1" s="3419" t="s">
        <v>1155</v>
      </c>
      <c r="AE1" s="3420"/>
      <c r="AF1" s="3420"/>
      <c r="AG1" s="3420"/>
      <c r="AH1" s="3420"/>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1.4274</v>
      </c>
      <c r="Y3" s="2930">
        <f>ROUND(SUMPRODUCT(PRODUCT(1+O3:O$21)),4)</f>
        <v>1.2685</v>
      </c>
      <c r="Z3" s="2930">
        <f t="shared" ref="Z3:Z19" si="0">Y3</f>
        <v>1.2685</v>
      </c>
      <c r="AA3" s="2930">
        <f>ROUND(SUMPRODUCT(PRODUCT(1+P3:P$21)),4)</f>
        <v>1.4825999999999999</v>
      </c>
      <c r="AB3" s="2930">
        <f>ROUND(SUMPRODUCT(PRODUCT(1+Q3:Q$21)),4)</f>
        <v>1.2309000000000001</v>
      </c>
      <c r="AD3" s="2931">
        <f>ROUND(AVERAGE(I3:I$22)/100,4)</f>
        <v>2.1899999999999999E-2</v>
      </c>
      <c r="AE3" s="2931">
        <f>ROUND(AVERAGE(J3:J$22)/100,4)</f>
        <v>1.47E-2</v>
      </c>
      <c r="AF3" s="2931">
        <f t="shared" ref="AF3:AF20" si="1">AE3</f>
        <v>1.47E-2</v>
      </c>
      <c r="AG3" s="2931">
        <f>ROUND(AVERAGE(K3:K$22)/100,4)</f>
        <v>2.4299999999999999E-2</v>
      </c>
      <c r="AH3" s="2931">
        <f>ROUND(AVERAGE(L3:L$22)/100,4)</f>
        <v>1.2500000000000001E-2</v>
      </c>
    </row>
    <row r="4" spans="1:34" s="1451" customFormat="1" ht="14.25">
      <c r="B4" s="1452"/>
      <c r="C4" s="1452"/>
      <c r="D4" s="1453"/>
      <c r="E4" s="1453"/>
      <c r="F4" s="1452"/>
      <c r="G4" s="1454"/>
      <c r="H4" s="1455"/>
      <c r="I4" s="2917"/>
      <c r="J4" s="2917"/>
      <c r="K4" s="2917"/>
      <c r="L4" s="291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3039</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3">
        <v>2018</v>
      </c>
      <c r="H5" s="1728">
        <v>2</v>
      </c>
      <c r="I5" s="2918">
        <v>0</v>
      </c>
      <c r="J5" s="2918">
        <v>0</v>
      </c>
      <c r="K5" s="2918">
        <v>0</v>
      </c>
      <c r="L5" s="2918">
        <v>0</v>
      </c>
      <c r="N5" s="1465">
        <f t="shared" ref="N5" si="7">I5/100</f>
        <v>0</v>
      </c>
      <c r="O5" s="1465">
        <f t="shared" ref="O5" si="8">J5/100</f>
        <v>0</v>
      </c>
      <c r="P5" s="1465">
        <f t="shared" ref="P5" si="9">K5/100</f>
        <v>0</v>
      </c>
      <c r="Q5" s="1465">
        <f t="shared" ref="Q5" si="10">L5/100</f>
        <v>0</v>
      </c>
      <c r="R5" s="1730"/>
      <c r="S5" s="1731"/>
      <c r="T5" s="1730"/>
      <c r="U5" s="1730"/>
      <c r="V5" s="1730"/>
      <c r="W5" s="2922" t="s">
        <v>3034</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3032</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4">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3029</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0">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3030</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6"/>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5"/>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6"/>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425">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422"/>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422"/>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423"/>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421">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422"/>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422"/>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423"/>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421">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422"/>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422"/>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423"/>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426">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427"/>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427"/>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428"/>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421">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422"/>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422"/>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423"/>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421">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422">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422">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423">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421">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422">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422">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423">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421">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422">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422">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423">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421">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422">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422">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423">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421">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422">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422">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423">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421">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422">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422">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423">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421">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422">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422">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423">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421">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422">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422">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423">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42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422">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422">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42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42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422">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422">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423">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3000</v>
      </c>
      <c r="C1" s="3430" t="s">
        <v>3001</v>
      </c>
      <c r="D1" s="3431"/>
      <c r="E1" s="3431"/>
      <c r="F1" s="3431"/>
      <c r="G1" s="3431"/>
      <c r="H1" s="3431"/>
      <c r="I1" s="3431"/>
      <c r="J1" s="3431"/>
      <c r="K1" s="3431"/>
      <c r="L1" s="3431"/>
      <c r="M1" s="3431"/>
      <c r="N1" s="3431"/>
      <c r="O1" s="3431"/>
      <c r="P1" s="3431"/>
      <c r="Q1" s="3431"/>
      <c r="R1" s="3431"/>
      <c r="S1" s="3432"/>
      <c r="T1" s="1202" t="s">
        <v>3002</v>
      </c>
    </row>
    <row r="2" spans="1:45" s="705" customFormat="1">
      <c r="A2" s="1203"/>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3010</v>
      </c>
      <c r="B17" s="2911"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2" t="s">
        <v>3012</v>
      </c>
      <c r="E19" s="1790"/>
      <c r="F19" s="1790"/>
      <c r="G19" s="1790"/>
      <c r="H19" s="1278"/>
      <c r="I19" s="166"/>
      <c r="J19" s="166"/>
      <c r="K19" s="166"/>
      <c r="L19" s="166"/>
      <c r="M19" s="166"/>
      <c r="N19" s="166"/>
      <c r="O19" s="166"/>
      <c r="P19" s="166"/>
      <c r="Q19" s="166"/>
      <c r="R19" s="786"/>
      <c r="S19" s="136"/>
    </row>
    <row r="20" spans="1:45" ht="16.5" thickBot="1">
      <c r="A20" s="713" t="s">
        <v>3013</v>
      </c>
      <c r="B20" s="336" t="e">
        <f ca="1">IF(D20="——",S22,S22-F20)</f>
        <v>#REF!</v>
      </c>
      <c r="C20" s="166"/>
      <c r="D20" s="2913" t="s">
        <v>3014</v>
      </c>
      <c r="E20" s="1791"/>
      <c r="F20" s="1202" t="e">
        <f ca="1">SUMIF(INDIRECT("'"&amp;H20&amp;"'"&amp;"!A:A"),"承租人权益价值",INDIRECT("'"&amp;H20&amp;"'"&amp;"!c:c"))</f>
        <v>#REF!</v>
      </c>
      <c r="G20" s="1202" t="s">
        <v>3015</v>
      </c>
      <c r="H20" s="2914"/>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86" t="s">
        <v>33</v>
      </c>
      <c r="D22" s="3187"/>
      <c r="E22" s="3187"/>
      <c r="F22" s="3187"/>
      <c r="G22" s="3187"/>
      <c r="H22" s="3187"/>
      <c r="I22" s="3187"/>
      <c r="J22" s="3187"/>
      <c r="K22" s="3187"/>
      <c r="L22" s="3187"/>
      <c r="M22" s="3187"/>
      <c r="N22" s="3187"/>
      <c r="O22" s="3187"/>
      <c r="P22" s="3187"/>
      <c r="Q22" s="3429"/>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57973</v>
      </c>
      <c r="C2" s="2" t="s">
        <v>133</v>
      </c>
      <c r="D2" s="241"/>
      <c r="E2" s="241"/>
      <c r="F2" s="241"/>
      <c r="G2" s="241"/>
    </row>
    <row r="3" spans="1:7" s="242" customFormat="1" ht="18" customHeight="1" thickBot="1">
      <c r="A3" s="245" t="s">
        <v>85</v>
      </c>
      <c r="B3" s="246">
        <f ca="1">ROUND(B2*10000/'数据-汇总表'!E3,0)</f>
        <v>11436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20000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0</v>
      </c>
      <c r="D7" s="262"/>
      <c r="E7" s="260"/>
      <c r="F7" s="263">
        <f>'数据-取费表'!B48+'数据-取费表'!B49</f>
        <v>0</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0</v>
      </c>
      <c r="D9" s="1030">
        <f>'数据-汇总表'!E5</f>
        <v>38591</v>
      </c>
      <c r="E9" s="267">
        <f>'数据-取费表'!B27</f>
        <v>0</v>
      </c>
      <c r="F9" s="263"/>
      <c r="G9" s="268"/>
    </row>
    <row r="10" spans="1:7" s="256" customFormat="1" ht="13.5" customHeight="1">
      <c r="A10" s="948" t="s">
        <v>801</v>
      </c>
      <c r="B10" s="266" t="s">
        <v>94</v>
      </c>
      <c r="C10" s="267">
        <f>ROUND(D10*E10/10000,0)</f>
        <v>0</v>
      </c>
      <c r="D10" s="1030">
        <f>'数据-汇总表'!E6</f>
        <v>12100.57</v>
      </c>
      <c r="E10" s="267">
        <f>'数据-取费表'!B28</f>
        <v>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1014</v>
      </c>
      <c r="D19" s="1034">
        <f>'数据-汇总表'!E3</f>
        <v>50691.57</v>
      </c>
      <c r="E19" s="253">
        <f>'数据-取费表'!B31</f>
        <v>200</v>
      </c>
      <c r="F19" s="273"/>
      <c r="G19" s="1" t="s">
        <v>1074</v>
      </c>
    </row>
    <row r="20" spans="1:7" s="256" customFormat="1" ht="13.5" customHeight="1">
      <c r="A20" s="946" t="s">
        <v>1057</v>
      </c>
      <c r="B20" s="252" t="s">
        <v>104</v>
      </c>
      <c r="C20" s="274">
        <f>ROUND((C5+C19)*F20,0)</f>
        <v>420</v>
      </c>
      <c r="D20" s="274"/>
      <c r="E20" s="274"/>
      <c r="F20" s="275">
        <f>'数据-取费表'!B37</f>
        <v>0.02</v>
      </c>
      <c r="G20" s="1287" t="s">
        <v>1068</v>
      </c>
    </row>
    <row r="21" spans="1:7" s="256" customFormat="1" ht="13.5" customHeight="1">
      <c r="A21" s="946" t="s">
        <v>1059</v>
      </c>
      <c r="B21" s="252" t="s">
        <v>105</v>
      </c>
      <c r="C21" s="277">
        <f>F21</f>
        <v>0.03</v>
      </c>
      <c r="D21" s="278" t="s">
        <v>126</v>
      </c>
      <c r="E21" s="274"/>
      <c r="F21" s="275">
        <f>'数据-取费表'!B38</f>
        <v>0.03</v>
      </c>
      <c r="G21" s="276" t="s">
        <v>106</v>
      </c>
    </row>
    <row r="22" spans="1:7" s="256" customFormat="1" ht="13.5" customHeight="1">
      <c r="A22" s="946" t="s">
        <v>786</v>
      </c>
      <c r="B22" s="252" t="s">
        <v>107</v>
      </c>
      <c r="C22" s="1352">
        <f ca="1">ROUND(SUM(C23:C25),0)</f>
        <v>3169</v>
      </c>
      <c r="D22" s="277">
        <f ca="1">C26</f>
        <v>2.2000000000000001E-3</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2988</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151</v>
      </c>
      <c r="D24" s="280"/>
      <c r="E24" s="280"/>
      <c r="F24" s="281"/>
      <c r="G24" s="282" t="s">
        <v>109</v>
      </c>
    </row>
    <row r="25" spans="1:7" s="256" customFormat="1" ht="24">
      <c r="A25" s="949" t="s">
        <v>793</v>
      </c>
      <c r="B25" s="257" t="s">
        <v>1058</v>
      </c>
      <c r="C25" s="1353">
        <f ca="1">ROUND(IF('数据-取费表'!B22&lt;=1,C20*F22*'数据-取费表'!B23/2,C20*(POWER((1+F22),'数据-取费表'!B23/2)-1)),0)</f>
        <v>30</v>
      </c>
      <c r="D25" s="280"/>
      <c r="E25" s="283"/>
      <c r="F25" s="281"/>
      <c r="G25" s="284" t="s">
        <v>110</v>
      </c>
    </row>
    <row r="26" spans="1:7" s="256" customFormat="1">
      <c r="A26" s="949" t="s">
        <v>795</v>
      </c>
      <c r="B26" s="257" t="s">
        <v>1060</v>
      </c>
      <c r="C26" s="280">
        <f ca="1">ROUND(IF('数据-取费表'!B22&lt;=1,F21*F22*'数据-取费表'!B23/2,F21*(POWER((1+F22),'数据-取费表'!B23/2)-1)),4)</f>
        <v>2.2000000000000001E-3</v>
      </c>
      <c r="D26" s="280"/>
      <c r="E26" s="283"/>
      <c r="F26" s="281"/>
      <c r="G26" s="285"/>
    </row>
    <row r="27" spans="1:7" s="256" customFormat="1" ht="24.75">
      <c r="A27" s="946" t="s">
        <v>787</v>
      </c>
      <c r="B27" s="286" t="s">
        <v>112</v>
      </c>
      <c r="C27" s="287">
        <f>C28</f>
        <v>4287</v>
      </c>
      <c r="D27" s="277">
        <f>C29</f>
        <v>6.0000000000000001E-3</v>
      </c>
      <c r="E27" s="278" t="s">
        <v>126</v>
      </c>
      <c r="F27" s="288">
        <f>'数据-取费表'!Q16</f>
        <v>0.2</v>
      </c>
      <c r="G27" s="289" t="s">
        <v>1069</v>
      </c>
    </row>
    <row r="28" spans="1:7" s="256" customFormat="1" ht="13.5" customHeight="1">
      <c r="A28" s="949" t="s">
        <v>794</v>
      </c>
      <c r="B28" s="290" t="s">
        <v>1062</v>
      </c>
      <c r="C28" s="291">
        <f>ROUND((C5+C19+C20)*F27*'数据-取费表'!B21/'数据-取费表'!B20,0)</f>
        <v>4287</v>
      </c>
      <c r="D28" s="277"/>
      <c r="E28" s="278"/>
      <c r="F28" s="288"/>
      <c r="G28" s="289"/>
    </row>
    <row r="29" spans="1:7" s="256" customFormat="1" ht="13.5" customHeight="1">
      <c r="A29" s="949" t="s">
        <v>792</v>
      </c>
      <c r="B29" s="290" t="s">
        <v>1063</v>
      </c>
      <c r="C29" s="280">
        <f>ROUND(C21*F27*'数据-取费表'!B21/'数据-取费表'!B20,4)</f>
        <v>6.0000000000000001E-3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31801</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18509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17712</v>
      </c>
      <c r="D34" s="259"/>
      <c r="E34" s="262"/>
      <c r="F34" s="299">
        <f>IF('数据-取费表'!B24=0,1,'数据-取费表'!N16)</f>
        <v>1</v>
      </c>
      <c r="G34" s="261" t="s">
        <v>116</v>
      </c>
    </row>
    <row r="35" spans="1:7" ht="13.5" customHeight="1">
      <c r="A35" s="949" t="s">
        <v>796</v>
      </c>
      <c r="B35" s="257" t="s">
        <v>60</v>
      </c>
      <c r="C35" s="262">
        <f>ROUND(C34*F35,0)</f>
        <v>531</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9" t="s">
        <v>798</v>
      </c>
      <c r="B37" s="257" t="s">
        <v>118</v>
      </c>
      <c r="C37" s="291">
        <f>ROUND(E37*D37*F34/10000,0)</f>
        <v>0</v>
      </c>
      <c r="D37" s="259">
        <f>'数据-汇总表'!E3</f>
        <v>50691.57</v>
      </c>
      <c r="E37" s="291">
        <f>'数据-取费表'!B35</f>
        <v>0</v>
      </c>
      <c r="F37" s="301"/>
      <c r="G37" s="303" t="s">
        <v>119</v>
      </c>
    </row>
    <row r="38" spans="1:7" ht="13.5" customHeight="1">
      <c r="A38" s="949" t="s">
        <v>799</v>
      </c>
      <c r="B38" s="257" t="s">
        <v>63</v>
      </c>
      <c r="C38" s="262">
        <f>ROUND(C34*F38,0)</f>
        <v>266</v>
      </c>
      <c r="D38" s="262"/>
      <c r="E38" s="262"/>
      <c r="F38" s="301">
        <f>'数据-取费表'!B36</f>
        <v>1.4999999999999999E-2</v>
      </c>
      <c r="G38" s="261" t="s">
        <v>117</v>
      </c>
    </row>
    <row r="39" spans="1:7" s="256" customFormat="1" ht="13.5" customHeight="1">
      <c r="A39" s="946" t="s">
        <v>783</v>
      </c>
      <c r="B39" s="252" t="s">
        <v>104</v>
      </c>
      <c r="C39" s="274">
        <f>ROUND(C33*F20,0)</f>
        <v>370</v>
      </c>
      <c r="D39" s="274"/>
      <c r="E39" s="274"/>
      <c r="F39" s="275"/>
      <c r="G39" s="1287" t="s">
        <v>1071</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1361</v>
      </c>
      <c r="D41" s="277">
        <f ca="1">C44</f>
        <v>2.2000000000000001E-3</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1334</v>
      </c>
      <c r="D42" s="280"/>
      <c r="E42" s="280"/>
      <c r="F42" s="281"/>
      <c r="G42" s="3271" t="s">
        <v>121</v>
      </c>
    </row>
    <row r="43" spans="1:7" ht="13.5" customHeight="1">
      <c r="A43" s="949" t="s">
        <v>792</v>
      </c>
      <c r="B43" s="257" t="s">
        <v>1064</v>
      </c>
      <c r="C43" s="280">
        <f ca="1">ROUND(IF('数据-取费表'!B22&lt;=1,C39*F22*'数据-取费表'!B21/2,C39*(POWER((1+F22),'数据-取费表'!B21/2)-1)),0)</f>
        <v>27</v>
      </c>
      <c r="D43" s="280"/>
      <c r="E43" s="280"/>
      <c r="F43" s="281"/>
      <c r="G43" s="3272"/>
    </row>
    <row r="44" spans="1:7" ht="13.5" customHeight="1">
      <c r="A44" s="949" t="s">
        <v>793</v>
      </c>
      <c r="B44" s="257" t="s">
        <v>1066</v>
      </c>
      <c r="C44" s="280">
        <f ca="1">ROUND(IF('数据-取费表'!B22&lt;=1,C40*F22*'数据-取费表'!B21/2,C40*(POWER((1+F22),'数据-取费表'!B21/2)-1)),4)</f>
        <v>2.2000000000000001E-3</v>
      </c>
      <c r="D44" s="280"/>
      <c r="E44" s="280"/>
      <c r="F44" s="281"/>
      <c r="G44" s="3273"/>
    </row>
    <row r="45" spans="1:7" s="256" customFormat="1" ht="13.5" customHeight="1">
      <c r="A45" s="946" t="s">
        <v>786</v>
      </c>
      <c r="B45" s="286" t="s">
        <v>112</v>
      </c>
      <c r="C45" s="287">
        <f>C46</f>
        <v>3776</v>
      </c>
      <c r="D45" s="277">
        <f>C47</f>
        <v>6.0000000000000001E-3</v>
      </c>
      <c r="E45" s="278" t="s">
        <v>129</v>
      </c>
      <c r="F45" s="288"/>
      <c r="G45" s="289" t="s">
        <v>1072</v>
      </c>
    </row>
    <row r="46" spans="1:7" s="256" customFormat="1" ht="13.5" customHeight="1">
      <c r="A46" s="949" t="s">
        <v>794</v>
      </c>
      <c r="B46" s="290" t="s">
        <v>1065</v>
      </c>
      <c r="C46" s="291">
        <f>ROUND((C33+C39)*F27,0)</f>
        <v>3776</v>
      </c>
      <c r="D46" s="305"/>
      <c r="E46" s="278"/>
      <c r="F46" s="288"/>
      <c r="G46" s="289"/>
    </row>
    <row r="47" spans="1:7" s="256" customFormat="1" ht="13.5" customHeight="1">
      <c r="A47" s="949" t="s">
        <v>792</v>
      </c>
      <c r="B47" s="290" t="s">
        <v>1067</v>
      </c>
      <c r="C47" s="280">
        <f>ROUND(C40*F27,4)</f>
        <v>6.0000000000000001E-3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26436</v>
      </c>
      <c r="D49" s="274"/>
      <c r="E49" s="274"/>
      <c r="F49" s="306"/>
      <c r="G49" s="276" t="s">
        <v>1073</v>
      </c>
    </row>
    <row r="50" spans="1:7" s="300" customFormat="1" ht="24">
      <c r="A50" s="946" t="s">
        <v>789</v>
      </c>
      <c r="B50" s="252" t="s">
        <v>124</v>
      </c>
      <c r="C50" s="274"/>
      <c r="D50" s="274"/>
      <c r="E50" s="274"/>
      <c r="F50" s="306">
        <f>IF('数据-取费表'!B24=0,'数据-取费表'!N16,1)</f>
        <v>0.99</v>
      </c>
      <c r="G50" s="289" t="s">
        <v>125</v>
      </c>
    </row>
    <row r="51" spans="1:7" ht="16.5" customHeight="1">
      <c r="A51" s="946" t="s">
        <v>790</v>
      </c>
      <c r="B51" s="252" t="s">
        <v>132</v>
      </c>
      <c r="C51" s="274">
        <f ca="1">ROUND(C49*F50,0)</f>
        <v>26172</v>
      </c>
      <c r="D51" s="274"/>
      <c r="E51" s="274"/>
      <c r="F51" s="306"/>
      <c r="G51" s="276" t="s">
        <v>64</v>
      </c>
    </row>
    <row r="52" spans="1:7" s="250" customFormat="1" ht="16.5" thickBot="1">
      <c r="A52" s="307" t="s">
        <v>65</v>
      </c>
      <c r="B52" s="308"/>
      <c r="C52" s="309">
        <f ca="1">C31+C51</f>
        <v>57973</v>
      </c>
      <c r="D52" s="308"/>
      <c r="E52" s="308"/>
      <c r="F52" s="308"/>
      <c r="G52" s="310"/>
    </row>
    <row r="55" spans="1:7" ht="15">
      <c r="B55" s="312" t="s">
        <v>66</v>
      </c>
      <c r="C55" s="313"/>
    </row>
    <row r="56" spans="1:7">
      <c r="B56" s="315" t="s">
        <v>67</v>
      </c>
      <c r="C56" s="316">
        <f ca="1">ROUND(C51/C52,3)</f>
        <v>0.45100000000000001</v>
      </c>
    </row>
    <row r="57" spans="1:7">
      <c r="B57" s="315" t="s">
        <v>68</v>
      </c>
      <c r="C57" s="317">
        <f ca="1">1-C56</f>
        <v>0.54899999999999993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33" t="s">
        <v>156</v>
      </c>
      <c r="B1" s="3433"/>
      <c r="C1" s="3433"/>
      <c r="D1" s="3433"/>
      <c r="E1" s="3433"/>
      <c r="F1" s="343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34" t="s">
        <v>169</v>
      </c>
      <c r="B2" s="3434"/>
      <c r="C2" s="3434"/>
      <c r="D2" s="3434"/>
      <c r="E2" s="3434"/>
      <c r="F2" s="343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3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3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33" t="s">
        <v>871</v>
      </c>
      <c r="B1" s="343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43202</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1641</v>
      </c>
      <c r="B2" s="3097" t="s">
        <v>1642</v>
      </c>
      <c r="C2" s="3097" t="s">
        <v>1643</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1042" t="s">
        <v>1638</v>
      </c>
      <c r="E3" s="1042" t="s">
        <v>1644</v>
      </c>
      <c r="F3" s="1042" t="s">
        <v>1638</v>
      </c>
      <c r="G3" s="1042" t="s">
        <v>1639</v>
      </c>
      <c r="H3" s="1042" t="s">
        <v>1638</v>
      </c>
      <c r="I3" s="1042" t="s">
        <v>1639</v>
      </c>
    </row>
    <row r="4" spans="1:9" ht="30">
      <c r="A4" s="1971" t="str">
        <f>项目基本情况!S2</f>
        <v>深圳市南山区月亮湾大道与绵山路交汇处房地产</v>
      </c>
      <c r="B4" s="1042">
        <f>项目基本情况!C17</f>
        <v>50691.57</v>
      </c>
      <c r="C4" s="1042">
        <f>项目基本情况!C18</f>
        <v>7108.46</v>
      </c>
      <c r="D4" s="1042" t="e">
        <f ca="1">结果表!D118</f>
        <v>#REF!</v>
      </c>
      <c r="E4" s="1042" t="e">
        <f ca="1">结果表!E118</f>
        <v>#REF!</v>
      </c>
      <c r="F4" s="1042" t="e">
        <f ca="1">结果表!F118</f>
        <v>#REF!</v>
      </c>
      <c r="G4" s="1042" t="e">
        <f ca="1">结果表!G118</f>
        <v>#REF!</v>
      </c>
      <c r="H4" s="1042">
        <f ca="1">结果表!H118</f>
        <v>250099</v>
      </c>
      <c r="I4" s="1042">
        <f ca="1">结果表!I118</f>
        <v>49337</v>
      </c>
    </row>
    <row r="5" spans="1:9" ht="30" customHeight="1">
      <c r="A5" s="3098" t="s">
        <v>1640</v>
      </c>
      <c r="B5" s="3098"/>
      <c r="C5" s="3098"/>
      <c r="D5" s="3099" t="e">
        <f ca="1">结果表!D119</f>
        <v>#REF!</v>
      </c>
      <c r="E5" s="3099"/>
      <c r="F5" s="3099" t="e">
        <f ca="1">结果表!F119</f>
        <v>#REF!</v>
      </c>
      <c r="G5" s="3099"/>
      <c r="H5" s="3099" t="str">
        <f ca="1">结果表!H119</f>
        <v>贰拾伍亿零玖拾玖万元整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1640</v>
      </c>
      <c r="B7" s="3098"/>
      <c r="C7" s="3098"/>
      <c r="D7" s="3101" t="str">
        <f>结果表!D121</f>
        <v>零元整</v>
      </c>
      <c r="E7" s="3102"/>
      <c r="F7" s="3102"/>
      <c r="G7" s="3102"/>
      <c r="H7" s="3102"/>
      <c r="I7" s="3103"/>
    </row>
    <row r="8" spans="1:9" ht="15.75">
      <c r="A8" s="3100" t="str">
        <f>结果表!A122</f>
        <v>房地产抵押价值</v>
      </c>
      <c r="B8" s="3100"/>
      <c r="C8" s="3100"/>
      <c r="D8" s="3100">
        <f ca="1">结果表!D122</f>
        <v>250099</v>
      </c>
      <c r="E8" s="3100"/>
      <c r="F8" s="3100"/>
      <c r="G8" s="3100"/>
      <c r="H8" s="3100"/>
      <c r="I8" s="3100"/>
    </row>
    <row r="9" spans="1:9" ht="15">
      <c r="A9" s="3098" t="s">
        <v>1640</v>
      </c>
      <c r="B9" s="3098"/>
      <c r="C9" s="3098"/>
      <c r="D9" s="3099" t="str">
        <f ca="1">结果表!D123</f>
        <v>贰拾伍亿零玖拾玖万元整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1640</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1640</v>
      </c>
      <c r="B13" s="3104"/>
      <c r="C13" s="3104"/>
      <c r="D13" s="3105" t="e">
        <f>结果表!D127</f>
        <v>#VALUE!</v>
      </c>
      <c r="E13" s="3105"/>
      <c r="F13" s="3105"/>
      <c r="G13" s="3105"/>
      <c r="H13" s="3105"/>
      <c r="I13" s="3105"/>
    </row>
    <row r="14" spans="1:9" ht="15" thickTop="1">
      <c r="A14" s="3106" t="s">
        <v>1645</v>
      </c>
      <c r="B14" s="3106"/>
      <c r="C14" s="3106"/>
      <c r="D14" s="3106"/>
      <c r="E14" s="3106"/>
      <c r="F14" s="3106"/>
      <c r="G14" s="3106"/>
      <c r="H14" s="3106"/>
      <c r="I14" s="3106"/>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D1" sqref="D1"/>
    </sheetView>
  </sheetViews>
  <sheetFormatPr defaultRowHeight="13.5"/>
  <sheetData>
    <row r="1" spans="1:1" ht="35.25">
      <c r="A1" s="3021" t="s">
        <v>3196</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row r="1" spans="1:1" ht="25.5">
      <c r="A1" s="3023" t="s">
        <v>3200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7" t="s">
        <v>1662</v>
      </c>
      <c r="B1" s="3107"/>
      <c r="C1" s="3107"/>
      <c r="D1" s="3107"/>
    </row>
    <row r="2" spans="1:4" ht="18">
      <c r="A2" s="3108" t="s">
        <v>1646</v>
      </c>
      <c r="B2" s="3108"/>
      <c r="C2" s="3108"/>
      <c r="D2" s="3108"/>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108" t="s">
        <v>1652</v>
      </c>
      <c r="B6" s="3108"/>
      <c r="C6" s="3108"/>
      <c r="D6" s="3108"/>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109" t="s">
        <v>1655</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1656</v>
      </c>
      <c r="B16" s="3113"/>
      <c r="C16" s="3113"/>
      <c r="D16" s="3113"/>
    </row>
    <row r="17" spans="1:4" ht="144" customHeight="1">
      <c r="A17" s="3113" t="s">
        <v>1657</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1658</v>
      </c>
      <c r="B22" s="3115"/>
      <c r="C22" s="3115"/>
      <c r="D22" s="311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121" t="s">
        <v>1669</v>
      </c>
      <c r="B15" s="3116" t="s">
        <v>136</v>
      </c>
      <c r="C15" s="3117"/>
    </row>
    <row r="16" spans="1:7" ht="13.5">
      <c r="A16" s="3122"/>
      <c r="B16" s="3116" t="s">
        <v>69</v>
      </c>
      <c r="C16" s="3117"/>
    </row>
    <row r="17" spans="1:3" ht="13.5">
      <c r="A17" s="3122"/>
      <c r="B17" s="3119" t="s">
        <v>1670</v>
      </c>
      <c r="C17" s="1998" t="s">
        <v>1669</v>
      </c>
    </row>
    <row r="18" spans="1:3" ht="13.5">
      <c r="A18" s="3122"/>
      <c r="B18" s="3119"/>
      <c r="C18" s="1998" t="s">
        <v>1671</v>
      </c>
    </row>
    <row r="19" spans="1:3" ht="13.5">
      <c r="A19" s="3122"/>
      <c r="B19" s="3119"/>
      <c r="C19" s="1998" t="s">
        <v>1672</v>
      </c>
    </row>
    <row r="20" spans="1:3" ht="13.5">
      <c r="A20" s="3123"/>
      <c r="B20" s="3118" t="s">
        <v>1673</v>
      </c>
      <c r="C20" s="3117"/>
    </row>
    <row r="21" spans="1:3" ht="13.5">
      <c r="A21" s="1999" t="s">
        <v>1674</v>
      </c>
      <c r="B21" s="2000"/>
      <c r="C21" s="2001"/>
    </row>
    <row r="22" spans="1:3" ht="13.5">
      <c r="A22" s="3120" t="s">
        <v>1675</v>
      </c>
      <c r="B22" s="3118" t="s">
        <v>1676</v>
      </c>
      <c r="C22" s="3117"/>
    </row>
    <row r="23" spans="1:3" ht="13.5">
      <c r="A23" s="3120"/>
      <c r="B23" s="3118" t="s">
        <v>1677</v>
      </c>
      <c r="C23" s="3117"/>
    </row>
    <row r="24" spans="1:3" ht="13.5">
      <c r="A24" s="3120"/>
      <c r="B24" s="3118" t="s">
        <v>1678</v>
      </c>
      <c r="C24" s="3117"/>
    </row>
    <row r="25" spans="1:3" ht="13.5">
      <c r="A25" s="3120"/>
      <c r="B25" s="3119" t="s">
        <v>1679</v>
      </c>
      <c r="C25" s="1998" t="s">
        <v>1680</v>
      </c>
    </row>
    <row r="26" spans="1:3" ht="13.5">
      <c r="A26" s="3120"/>
      <c r="B26" s="3119"/>
      <c r="C26" s="1998" t="s">
        <v>1681</v>
      </c>
    </row>
    <row r="27" spans="1:3" ht="13.5">
      <c r="A27" s="3120"/>
      <c r="B27" s="3119"/>
      <c r="C27" s="1998" t="s">
        <v>1682</v>
      </c>
    </row>
    <row r="28" spans="1:3" ht="13.5">
      <c r="A28" s="3120"/>
      <c r="B28" s="3119"/>
      <c r="C28" s="1998" t="s">
        <v>1683</v>
      </c>
    </row>
    <row r="29" spans="1:3" ht="13.5">
      <c r="A29" s="3120"/>
      <c r="B29" s="3119"/>
      <c r="C29" s="1998" t="s">
        <v>1684</v>
      </c>
    </row>
    <row r="30" spans="1:3" ht="13.5">
      <c r="A30" s="3120"/>
      <c r="B30" s="3119"/>
      <c r="C30" s="1998" t="s">
        <v>1685</v>
      </c>
    </row>
    <row r="31" spans="1:3" ht="13.5">
      <c r="A31" s="3120"/>
      <c r="B31" s="3119"/>
      <c r="C31" s="1998" t="s">
        <v>1686</v>
      </c>
    </row>
    <row r="32" spans="1:3" ht="13.5">
      <c r="A32" s="3120"/>
      <c r="B32" s="3119"/>
      <c r="C32" s="1998" t="s">
        <v>1687</v>
      </c>
    </row>
    <row r="33" spans="1:3" ht="13.5">
      <c r="A33" s="3120"/>
      <c r="B33" s="311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43208</v>
      </c>
      <c r="C2" s="1017" t="s">
        <v>826</v>
      </c>
      <c r="D2" s="1017"/>
    </row>
    <row r="3" spans="1:6" ht="24" customHeight="1">
      <c r="A3" s="1018" t="s">
        <v>827</v>
      </c>
      <c r="B3" s="1019" t="s">
        <v>828</v>
      </c>
      <c r="C3" s="2338" t="s">
        <v>829</v>
      </c>
      <c r="D3" s="2341" t="s">
        <v>830</v>
      </c>
      <c r="E3" s="1020" t="s">
        <v>831</v>
      </c>
      <c r="F3" s="1019" t="s">
        <v>829</v>
      </c>
    </row>
    <row r="4" spans="1:6" ht="24" customHeight="1">
      <c r="A4" s="1700" t="s">
        <v>832</v>
      </c>
      <c r="B4" s="1020">
        <f ca="1">IF(C4&lt;B2,"已过期",1119970066)</f>
        <v>1119970066</v>
      </c>
      <c r="C4" s="2339">
        <v>43849</v>
      </c>
      <c r="D4" s="2342" t="s">
        <v>832</v>
      </c>
      <c r="E4" s="1020">
        <f ca="1">IF(F4&lt;B2,"已过期",96010014)</f>
        <v>96010014</v>
      </c>
      <c r="F4" s="1028">
        <v>47118</v>
      </c>
    </row>
    <row r="5" spans="1:6" ht="24" customHeight="1">
      <c r="A5" s="1700" t="s">
        <v>833</v>
      </c>
      <c r="B5" s="1020">
        <f ca="1">IF(C5&lt;B2,"已过期",1119970074)</f>
        <v>1119970074</v>
      </c>
      <c r="C5" s="2339">
        <v>43849</v>
      </c>
      <c r="D5" s="2342" t="s">
        <v>833</v>
      </c>
      <c r="E5" s="1020">
        <f ca="1">IF(F5&lt;B2,"已过期",2002110027)</f>
        <v>2002110027</v>
      </c>
      <c r="F5" s="1028">
        <v>46752</v>
      </c>
    </row>
    <row r="6" spans="1:6" ht="24" customHeight="1">
      <c r="A6" s="1700" t="s">
        <v>834</v>
      </c>
      <c r="B6" s="1020">
        <f ca="1">IF(C6&lt;B2,"已过期",1119970111)</f>
        <v>1119970111</v>
      </c>
      <c r="C6" s="2339">
        <v>43849</v>
      </c>
      <c r="D6" s="2342" t="s">
        <v>834</v>
      </c>
      <c r="E6" s="1020">
        <f ca="1">IF(F6&lt;B2,"已过期",94010078)</f>
        <v>94010078</v>
      </c>
      <c r="F6" s="1028">
        <v>46387</v>
      </c>
    </row>
    <row r="7" spans="1:6" ht="24" customHeight="1">
      <c r="A7" s="1700" t="s">
        <v>835</v>
      </c>
      <c r="B7" s="1020">
        <f ca="1">IF(C7&lt;B2,"已过期",1120050019)</f>
        <v>1120050019</v>
      </c>
      <c r="C7" s="2339">
        <v>43359</v>
      </c>
      <c r="D7" s="2342" t="s">
        <v>835</v>
      </c>
      <c r="E7" s="1020">
        <f ca="1">IF(F7&lt;B2,"已过期",2002110030)</f>
        <v>2002110030</v>
      </c>
      <c r="F7" s="1028">
        <v>46387</v>
      </c>
    </row>
    <row r="8" spans="1:6" ht="24" customHeight="1">
      <c r="A8" s="1700" t="s">
        <v>836</v>
      </c>
      <c r="B8" s="1020">
        <f ca="1">IF(C8&lt;B2,"已过期",1120000080)</f>
        <v>1120000080</v>
      </c>
      <c r="C8" s="2339">
        <v>43849</v>
      </c>
      <c r="D8" s="2342" t="s">
        <v>836</v>
      </c>
      <c r="E8" s="1020">
        <f ca="1">IF(F8&lt;B2,"已过期",2000110082)</f>
        <v>2000110082</v>
      </c>
      <c r="F8" s="1028">
        <v>46387</v>
      </c>
    </row>
    <row r="9" spans="1:6" ht="24" customHeight="1">
      <c r="A9" s="1700" t="s">
        <v>837</v>
      </c>
      <c r="B9" s="1020">
        <f ca="1">IF(C9&lt;B2,"已过期",1419970001)</f>
        <v>1419970001</v>
      </c>
      <c r="C9" s="2339">
        <v>43867</v>
      </c>
      <c r="D9" s="2342" t="s">
        <v>837</v>
      </c>
      <c r="E9" s="1020">
        <f ca="1">IF(F9&lt;B2,"已过期",2002110125)</f>
        <v>2002110125</v>
      </c>
      <c r="F9" s="1028">
        <v>47118</v>
      </c>
    </row>
    <row r="10" spans="1:6" ht="24" customHeight="1">
      <c r="A10" s="1700" t="s">
        <v>838</v>
      </c>
      <c r="B10" s="1020">
        <f ca="1">IF(C10&lt;B2,"已过期",1120060040)</f>
        <v>1120060040</v>
      </c>
      <c r="C10" s="2339">
        <v>43483</v>
      </c>
      <c r="D10" s="2342" t="s">
        <v>838</v>
      </c>
      <c r="E10" s="1020">
        <f ca="1">IF(F10&lt;B2,"已过期",2004110096)</f>
        <v>2004110096</v>
      </c>
      <c r="F10" s="1028">
        <v>47118</v>
      </c>
    </row>
    <row r="11" spans="1:6" ht="24" customHeight="1">
      <c r="A11" s="1700" t="s">
        <v>839</v>
      </c>
      <c r="B11" s="1020">
        <f ca="1">IF(C11&lt;B2,"已过期",1120100036)</f>
        <v>1120100036</v>
      </c>
      <c r="C11" s="2339">
        <v>43622</v>
      </c>
      <c r="D11" s="2342" t="s">
        <v>839</v>
      </c>
      <c r="E11" s="1020">
        <f ca="1">IF(F11&lt;B2,"已过期",2010110070)</f>
        <v>2010110070</v>
      </c>
      <c r="F11" s="1028">
        <v>47907</v>
      </c>
    </row>
    <row r="12" spans="1:6" ht="24" customHeight="1">
      <c r="A12" s="1700"/>
      <c r="B12" s="1020"/>
      <c r="C12" s="2339"/>
      <c r="D12" s="2342"/>
      <c r="E12" s="1020"/>
      <c r="F12" s="1020"/>
    </row>
    <row r="13" spans="1:6" ht="24" customHeight="1">
      <c r="A13" s="1700" t="s">
        <v>840</v>
      </c>
      <c r="B13" s="1020">
        <f ca="1">IF(C13&lt;B2,"已过期",1120070131)</f>
        <v>1120070131</v>
      </c>
      <c r="C13" s="2339">
        <v>43814</v>
      </c>
      <c r="D13" s="2342" t="s">
        <v>840</v>
      </c>
      <c r="E13" s="1020">
        <v>2014110011</v>
      </c>
      <c r="F13" s="1028">
        <v>49302</v>
      </c>
    </row>
    <row r="14" spans="1:6" ht="24" customHeight="1">
      <c r="A14" s="1700" t="s">
        <v>841</v>
      </c>
      <c r="B14" s="1020">
        <f ca="1">IF(C14&lt;B2,"已过期",1120130020)</f>
        <v>1120130020</v>
      </c>
      <c r="C14" s="2339">
        <v>43622</v>
      </c>
      <c r="D14" s="2342"/>
      <c r="E14" s="1020"/>
      <c r="F14" s="1020"/>
    </row>
    <row r="15" spans="1:6" ht="24" customHeight="1">
      <c r="A15" s="1701" t="s">
        <v>1149</v>
      </c>
      <c r="B15" s="1020">
        <v>1120070085</v>
      </c>
      <c r="C15" s="2339">
        <v>43814</v>
      </c>
      <c r="D15" s="2343" t="s">
        <v>1149</v>
      </c>
      <c r="E15" s="1020">
        <v>2004110128</v>
      </c>
      <c r="F15" s="1021">
        <v>47118</v>
      </c>
    </row>
    <row r="16" spans="1:6" ht="24" customHeight="1">
      <c r="A16" s="1700" t="s">
        <v>842</v>
      </c>
      <c r="B16" s="1020">
        <f ca="1">IF(C16&lt;B2,"已过期",1120140022)</f>
        <v>1120140022</v>
      </c>
      <c r="C16" s="2339">
        <v>44029</v>
      </c>
      <c r="D16" s="2342" t="s">
        <v>842</v>
      </c>
      <c r="E16" s="1020">
        <f ca="1">IF(F16&lt;B2,"已过期",2008110059)</f>
        <v>2008110059</v>
      </c>
      <c r="F16" s="1028">
        <v>47177</v>
      </c>
    </row>
    <row r="17" spans="1:7" ht="24" customHeight="1">
      <c r="A17" s="1700"/>
      <c r="B17" s="1020"/>
      <c r="C17" s="2339"/>
      <c r="D17" s="2342"/>
      <c r="E17" s="1020"/>
      <c r="F17" s="1028"/>
    </row>
    <row r="18" spans="1:7" ht="24" customHeight="1">
      <c r="A18" s="1700"/>
      <c r="B18" s="1020"/>
      <c r="C18" s="2339"/>
      <c r="D18" s="2342"/>
      <c r="E18" s="1020"/>
      <c r="F18" s="1028"/>
    </row>
    <row r="19" spans="1:7" ht="24" customHeight="1">
      <c r="A19" s="1700"/>
      <c r="B19" s="1020"/>
      <c r="C19" s="2339"/>
      <c r="D19" s="2342"/>
      <c r="E19" s="1020"/>
      <c r="F19" s="1020"/>
    </row>
    <row r="20" spans="1:7" ht="24" customHeight="1">
      <c r="A20" s="1700"/>
      <c r="B20" s="1020"/>
      <c r="C20" s="2339"/>
      <c r="D20" s="2342"/>
      <c r="E20" s="1020"/>
      <c r="F20" s="1020"/>
    </row>
    <row r="21" spans="1:7" ht="24" customHeight="1">
      <c r="A21" s="1700"/>
      <c r="B21" s="1020"/>
      <c r="C21" s="2339"/>
      <c r="D21" s="2342" t="s">
        <v>843</v>
      </c>
      <c r="E21" s="1020">
        <f ca="1">IF(F21&lt;B2,"已过期",2011110090)</f>
        <v>2011110090</v>
      </c>
      <c r="F21" s="1028">
        <v>48302</v>
      </c>
    </row>
    <row r="22" spans="1:7" ht="24" customHeight="1">
      <c r="A22" s="1700" t="s">
        <v>844</v>
      </c>
      <c r="B22" s="1020">
        <f ca="1">IF(C22&lt;B2,"已过期",1120020033)</f>
        <v>1120020033</v>
      </c>
      <c r="C22" s="2339">
        <v>43304</v>
      </c>
      <c r="D22" s="2342" t="s">
        <v>844</v>
      </c>
      <c r="E22" s="1020">
        <f ca="1">IF(F22&lt;B2,"已过期",2000110137)</f>
        <v>2000110137</v>
      </c>
      <c r="F22" s="1028">
        <v>46387</v>
      </c>
    </row>
    <row r="23" spans="1:7" ht="24" customHeight="1">
      <c r="A23" s="1700" t="s">
        <v>845</v>
      </c>
      <c r="B23" s="1020">
        <f ca="1">IF(C23&lt;B2,"已过期",1120130048)</f>
        <v>1120130048</v>
      </c>
      <c r="C23" s="2339">
        <v>43686</v>
      </c>
      <c r="D23" s="2342"/>
      <c r="E23" s="1020"/>
      <c r="F23" s="1020"/>
    </row>
    <row r="24" spans="1:7" s="1022" customFormat="1" ht="24" customHeight="1">
      <c r="A24" s="1701" t="s">
        <v>1333</v>
      </c>
      <c r="B24" s="1701" t="s">
        <v>1333</v>
      </c>
      <c r="C24" s="2340" t="s">
        <v>1333</v>
      </c>
      <c r="D24" s="2343" t="s">
        <v>1333</v>
      </c>
      <c r="E24" s="1701" t="s">
        <v>1333</v>
      </c>
      <c r="F24" s="1701" t="s">
        <v>1333</v>
      </c>
    </row>
    <row r="25" spans="1:7" ht="24" customHeight="1">
      <c r="A25" s="3124" t="s">
        <v>846</v>
      </c>
      <c r="B25" s="3124"/>
      <c r="C25" s="3124"/>
      <c r="D25" s="3124"/>
      <c r="E25" s="3124"/>
      <c r="F25" s="3124"/>
      <c r="G25" s="3124"/>
    </row>
    <row r="26" spans="1:7" s="1023" customFormat="1" ht="24" customHeight="1">
      <c r="A26" s="3125" t="s">
        <v>847</v>
      </c>
      <c r="B26" s="3125"/>
      <c r="C26" s="3126"/>
      <c r="D26" s="3127" t="s">
        <v>848</v>
      </c>
      <c r="E26" s="3125"/>
      <c r="F26" s="3125"/>
    </row>
    <row r="27" spans="1:7" s="1025" customFormat="1" ht="24" customHeight="1">
      <c r="A27" s="1024" t="s">
        <v>849</v>
      </c>
      <c r="B27" s="1019" t="s">
        <v>850</v>
      </c>
      <c r="C27" s="2338" t="s">
        <v>851</v>
      </c>
      <c r="D27" s="2346" t="s">
        <v>849</v>
      </c>
      <c r="E27" s="1019" t="s">
        <v>850</v>
      </c>
      <c r="F27" s="1019" t="s">
        <v>851</v>
      </c>
    </row>
    <row r="28" spans="1:7" s="1025" customFormat="1" ht="24" customHeight="1">
      <c r="A28" s="1026" t="s">
        <v>852</v>
      </c>
      <c r="B28" s="1027" t="s">
        <v>853</v>
      </c>
      <c r="C28" s="2344">
        <v>43725</v>
      </c>
      <c r="D28" s="2347" t="s">
        <v>854</v>
      </c>
      <c r="E28" s="1026" t="s">
        <v>855</v>
      </c>
      <c r="F28" s="1056">
        <v>44377</v>
      </c>
    </row>
    <row r="29" spans="1:7" s="1025" customFormat="1" ht="24" customHeight="1">
      <c r="A29" s="1026"/>
      <c r="B29" s="1026"/>
      <c r="C29" s="2345"/>
      <c r="D29" s="2347"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年期修正系数</vt:lpstr>
      <vt:lpstr>收益法（汇总）</vt:lpstr>
      <vt:lpstr>公寓</vt:lpstr>
      <vt:lpstr>配套商业</vt:lpstr>
      <vt:lpstr>酒店</vt:lpstr>
      <vt:lpstr>酒店收入计算</vt:lpstr>
      <vt:lpstr>拟酒店收入计算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公寓案例</vt:lpstr>
      <vt:lpstr>商业案例</vt:lpstr>
      <vt:lpstr>公寓!Print_Area</vt:lpstr>
      <vt:lpstr>估价师及机构信息!Print_Area</vt:lpstr>
      <vt:lpstr>酒店!Print_Area</vt:lpstr>
      <vt:lpstr>拟酒店收入计算!Print_Area</vt:lpstr>
      <vt:lpstr>配套商业!Print_Area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2018-04-18T05:15:52Z</dcterms:modified>
</cp:coreProperties>
</file>