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周彤\报告\2024年\2024-1-0754-大兴盛京银行\"/>
    </mc:Choice>
  </mc:AlternateContent>
  <bookViews>
    <workbookView xWindow="0" yWindow="0" windowWidth="21600" windowHeight="95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state="hidden"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 name="Sheet1" sheetId="86" r:id="rId50"/>
  </sheets>
  <externalReferences>
    <externalReference r:id="rId51"/>
    <externalReference r:id="rId52"/>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B1" i="86" l="1"/>
  <c r="D104" i="33" l="1"/>
  <c r="E104" i="33" s="1"/>
  <c r="F104" i="33" s="1"/>
  <c r="G104" i="33" s="1"/>
  <c r="G21" i="84" l="1"/>
  <c r="G20" i="84"/>
  <c r="N16" i="84" l="1"/>
  <c r="J16" i="84"/>
  <c r="K16" i="84" s="1"/>
  <c r="L16" i="84" s="1"/>
  <c r="O16" i="84" s="1"/>
  <c r="I16" i="84"/>
  <c r="H2" i="84" l="1"/>
  <c r="H6" i="84"/>
  <c r="D6" i="84"/>
  <c r="C6" i="84"/>
  <c r="AY11" i="84"/>
  <c r="AT11" i="84"/>
  <c r="AY10" i="84"/>
  <c r="AT10" i="84"/>
  <c r="K2" i="84" l="1"/>
  <c r="D3" i="84"/>
  <c r="H3" i="84" l="1"/>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U11" i="85"/>
  <c r="W12" i="85"/>
  <c r="U13" i="85"/>
  <c r="S14" i="85"/>
  <c r="W14" i="85"/>
  <c r="S15" i="85"/>
  <c r="W15"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U43" i="85"/>
  <c r="W44" i="85"/>
  <c r="W46" i="85"/>
  <c r="R47" i="85"/>
  <c r="V47" i="85"/>
  <c r="W45" i="85"/>
  <c r="U46" i="85"/>
  <c r="G54" i="85"/>
  <c r="H54" i="85" s="1"/>
  <c r="W42" i="85" l="1"/>
  <c r="S46" i="85"/>
  <c r="W17" i="85"/>
  <c r="S17" i="85"/>
  <c r="W10" i="85"/>
  <c r="S42" i="85"/>
  <c r="S44" i="85"/>
  <c r="S43" i="85"/>
  <c r="S39" i="85"/>
  <c r="S12" i="85"/>
  <c r="G13" i="73" l="1"/>
  <c r="F13" i="73"/>
  <c r="E13" i="73"/>
  <c r="J38" i="81" l="1"/>
  <c r="B35" i="1" l="1"/>
  <c r="B21" i="1"/>
  <c r="N18" i="1"/>
  <c r="N20" i="1" s="1"/>
  <c r="N6" i="1" s="1"/>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B87" i="71" s="1"/>
  <c r="B86" i="71" s="1"/>
  <c r="F87" i="71"/>
  <c r="F86" i="71" s="1"/>
  <c r="D85" i="71"/>
  <c r="F84" i="71"/>
  <c r="E84" i="71"/>
  <c r="E83" i="71" s="1"/>
  <c r="E82" i="71" s="1"/>
  <c r="C84" i="71"/>
  <c r="D84" i="71"/>
  <c r="B84" i="71"/>
  <c r="B83" i="71" s="1"/>
  <c r="B82" i="71" s="1"/>
  <c r="F83" i="71"/>
  <c r="F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D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X38" i="71" s="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N68" i="71"/>
  <c r="AA32" i="71"/>
  <c r="AA35" i="71"/>
  <c r="AA36" i="71"/>
  <c r="C28" i="71"/>
  <c r="T28" i="71" s="1"/>
  <c r="C51" i="71"/>
  <c r="C52" i="71" s="1"/>
  <c r="P28" i="71"/>
  <c r="E28" i="71" s="1"/>
  <c r="E60" i="71"/>
  <c r="U60" i="71" s="1"/>
  <c r="U68" i="71"/>
  <c r="E67" i="71"/>
  <c r="P67" i="71" s="1"/>
  <c r="Q28" i="71"/>
  <c r="D58" i="71"/>
  <c r="C71" i="71"/>
  <c r="D71" i="71" s="1"/>
  <c r="E71" i="71"/>
  <c r="E70" i="71" s="1"/>
  <c r="D72" i="71"/>
  <c r="E75" i="71"/>
  <c r="E74" i="71" s="1"/>
  <c r="C79" i="71"/>
  <c r="D79" i="71" s="1"/>
  <c r="E79" i="71"/>
  <c r="E78" i="71" s="1"/>
  <c r="D80" i="71"/>
  <c r="C83" i="71"/>
  <c r="D83" i="71" s="1"/>
  <c r="C87" i="71"/>
  <c r="C86" i="71" s="1"/>
  <c r="D86" i="71" s="1"/>
  <c r="F28" i="71"/>
  <c r="F27" i="71" s="1"/>
  <c r="F26" i="71" s="1"/>
  <c r="AB28" i="71"/>
  <c r="C82" i="71"/>
  <c r="D82" i="71" s="1"/>
  <c r="C78" i="71"/>
  <c r="D78" i="71" s="1"/>
  <c r="E66" i="7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21" i="34"/>
  <c r="H25" i="40"/>
  <c r="AB25" i="40" s="1"/>
  <c r="J25" i="40"/>
  <c r="H29" i="39"/>
  <c r="AB29" i="39" s="1"/>
  <c r="J29" i="39"/>
  <c r="J18" i="36"/>
  <c r="AC18" i="36" s="1"/>
  <c r="H18" i="35"/>
  <c r="J18" i="35"/>
  <c r="W18" i="35" s="1"/>
  <c r="H21" i="37"/>
  <c r="U21" i="37" s="1"/>
  <c r="F21" i="37"/>
  <c r="H21" i="34"/>
  <c r="AB21" i="34" s="1"/>
  <c r="H21" i="33"/>
  <c r="U21" i="33" s="1"/>
  <c r="F21" i="33"/>
  <c r="AA21" i="33" s="1"/>
  <c r="E83" i="21"/>
  <c r="F83" i="21" s="1"/>
  <c r="G83" i="21" s="1"/>
  <c r="H1" i="69"/>
  <c r="U29" i="39"/>
  <c r="W18" i="36"/>
  <c r="AB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M5" i="3" s="1"/>
  <c r="BN522" i="3"/>
  <c r="BO522" i="3"/>
  <c r="BP522" i="3"/>
  <c r="BQ522" i="3"/>
  <c r="BR522" i="3"/>
  <c r="BS522" i="3"/>
  <c r="BT522" i="3"/>
  <c r="H523" i="3"/>
  <c r="G523" i="3" s="1"/>
  <c r="AC523" i="3"/>
  <c r="BB523" i="3"/>
  <c r="BC523" i="3"/>
  <c r="BD523" i="3"/>
  <c r="BE523" i="3"/>
  <c r="BF523" i="3"/>
  <c r="BG523" i="3"/>
  <c r="BH523" i="3"/>
  <c r="BH5" i="3" s="1"/>
  <c r="BI523" i="3"/>
  <c r="BJ523" i="3"/>
  <c r="BK523" i="3"/>
  <c r="BM523" i="3"/>
  <c r="BN523" i="3"/>
  <c r="BO523" i="3"/>
  <c r="BP523" i="3"/>
  <c r="BR523" i="3"/>
  <c r="BS523" i="3"/>
  <c r="BT523" i="3"/>
  <c r="H524" i="3"/>
  <c r="AC524" i="3"/>
  <c r="BB524" i="3"/>
  <c r="BC524" i="3"/>
  <c r="BD524" i="3"/>
  <c r="BE524" i="3"/>
  <c r="BF524" i="3"/>
  <c r="BG524" i="3"/>
  <c r="BH524" i="3"/>
  <c r="BI524" i="3"/>
  <c r="BI5" i="3" s="1"/>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B77" i="35"/>
  <c r="B75" i="35"/>
  <c r="J24" i="35" s="1"/>
  <c r="AC24" i="35" s="1"/>
  <c r="B73" i="35"/>
  <c r="F23" i="35" s="1"/>
  <c r="B57" i="35"/>
  <c r="J11" i="35" s="1"/>
  <c r="B61" i="35"/>
  <c r="B59" i="35"/>
  <c r="H12" i="35" s="1"/>
  <c r="U12" i="35" s="1"/>
  <c r="B131" i="34"/>
  <c r="J47" i="34" s="1"/>
  <c r="AC47" i="34" s="1"/>
  <c r="B129" i="34"/>
  <c r="H46" i="34" s="1"/>
  <c r="B127" i="34"/>
  <c r="B99" i="34"/>
  <c r="F32" i="34" s="1"/>
  <c r="B97" i="34"/>
  <c r="J31" i="34" s="1"/>
  <c r="AC31" i="34" s="1"/>
  <c r="B95" i="34"/>
  <c r="H30" i="34" s="1"/>
  <c r="B93" i="34"/>
  <c r="B75" i="34"/>
  <c r="F14" i="34" s="1"/>
  <c r="B73" i="34"/>
  <c r="F13" i="34" s="1"/>
  <c r="AA13" i="34" s="1"/>
  <c r="B71" i="34"/>
  <c r="B130" i="33"/>
  <c r="J46" i="33" s="1"/>
  <c r="B128" i="33"/>
  <c r="H45" i="33" s="1"/>
  <c r="U45" i="33" s="1"/>
  <c r="B126" i="33"/>
  <c r="B98" i="33"/>
  <c r="H31" i="33" s="1"/>
  <c r="B96" i="33"/>
  <c r="J30" i="33" s="1"/>
  <c r="B94" i="33"/>
  <c r="J29" i="33" s="1"/>
  <c r="AC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J33" i="36"/>
  <c r="AC33" i="36" s="1"/>
  <c r="H22" i="35"/>
  <c r="AB22" i="35" s="1"/>
  <c r="S31" i="35"/>
  <c r="F36" i="34"/>
  <c r="J35" i="34"/>
  <c r="W35" i="34" s="1"/>
  <c r="U34" i="34"/>
  <c r="H39" i="37"/>
  <c r="AB39" i="37" s="1"/>
  <c r="F11" i="40"/>
  <c r="AA11" i="40" s="1"/>
  <c r="H11" i="40"/>
  <c r="AB11" i="40" s="1"/>
  <c r="AA9" i="40"/>
  <c r="U9" i="40"/>
  <c r="S40" i="40"/>
  <c r="U34" i="40"/>
  <c r="F42" i="39"/>
  <c r="AA42" i="39" s="1"/>
  <c r="F41" i="39"/>
  <c r="S41" i="39" s="1"/>
  <c r="H40" i="39"/>
  <c r="AB40" i="39" s="1"/>
  <c r="H39" i="39"/>
  <c r="U39" i="39" s="1"/>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AA27" i="39" s="1"/>
  <c r="F11" i="21"/>
  <c r="S11" i="21" s="1"/>
  <c r="C27" i="39"/>
  <c r="H11" i="39"/>
  <c r="AB11" i="39" s="1"/>
  <c r="H11" i="21"/>
  <c r="U11" i="21" s="1"/>
  <c r="J11" i="21"/>
  <c r="W11" i="21" s="1"/>
  <c r="H37" i="40"/>
  <c r="U37" i="40" s="1"/>
  <c r="H36" i="40"/>
  <c r="AB36" i="40" s="1"/>
  <c r="F35" i="40"/>
  <c r="AA35" i="40" s="1"/>
  <c r="H23" i="40"/>
  <c r="AB23" i="40" s="1"/>
  <c r="H17" i="40"/>
  <c r="U17" i="40" s="1"/>
  <c r="J15" i="40"/>
  <c r="W15" i="40" s="1"/>
  <c r="J11" i="40"/>
  <c r="W11" i="40"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J32" i="35"/>
  <c r="AC32" i="35" s="1"/>
  <c r="J16" i="35"/>
  <c r="AC16" i="35" s="1"/>
  <c r="H16" i="35"/>
  <c r="U16" i="35" s="1"/>
  <c r="F16" i="35"/>
  <c r="S16" i="35" s="1"/>
  <c r="H14" i="35"/>
  <c r="AB14" i="35" s="1"/>
  <c r="J29" i="35"/>
  <c r="H33" i="35"/>
  <c r="AB33" i="35" s="1"/>
  <c r="J20" i="35"/>
  <c r="W20" i="35" s="1"/>
  <c r="F35" i="37"/>
  <c r="S35"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AA19" i="34" s="1"/>
  <c r="H17" i="34"/>
  <c r="U17" i="34" s="1"/>
  <c r="F15" i="34"/>
  <c r="AA15" i="34" s="1"/>
  <c r="J15" i="34"/>
  <c r="AC15" i="34" s="1"/>
  <c r="H15" i="34"/>
  <c r="AB15" i="34" s="1"/>
  <c r="W8" i="34"/>
  <c r="F41" i="33"/>
  <c r="AA41"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S15" i="34"/>
  <c r="H37" i="33"/>
  <c r="AB37" i="33" s="1"/>
  <c r="H11" i="33"/>
  <c r="AB11" i="33" s="1"/>
  <c r="F28" i="40"/>
  <c r="AA28" i="40" s="1"/>
  <c r="AA42" i="34"/>
  <c r="S42" i="34"/>
  <c r="AC38" i="34"/>
  <c r="J37" i="34"/>
  <c r="AC37" i="34" s="1"/>
  <c r="J11" i="33"/>
  <c r="W11" i="33" s="1"/>
  <c r="U23" i="40"/>
  <c r="J42" i="21"/>
  <c r="AC42" i="21" s="1"/>
  <c r="H42" i="21"/>
  <c r="U42" i="21" s="1"/>
  <c r="J44" i="34"/>
  <c r="F44" i="34"/>
  <c r="AA44" i="34" s="1"/>
  <c r="J10" i="35"/>
  <c r="AC10" i="35" s="1"/>
  <c r="F14" i="21"/>
  <c r="S14" i="21" s="1"/>
  <c r="F30" i="21"/>
  <c r="S30"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30" i="33"/>
  <c r="AB30" i="33" s="1"/>
  <c r="F46" i="33"/>
  <c r="AA46" i="33" s="1"/>
  <c r="J29" i="34"/>
  <c r="W29" i="34" s="1"/>
  <c r="F29" i="34"/>
  <c r="S29" i="34" s="1"/>
  <c r="H29" i="34"/>
  <c r="AB29" i="34" s="1"/>
  <c r="H45" i="34"/>
  <c r="U45" i="34" s="1"/>
  <c r="J45" i="34"/>
  <c r="W45" i="34" s="1"/>
  <c r="F45" i="34"/>
  <c r="S45" i="34" s="1"/>
  <c r="F47" i="34"/>
  <c r="S47" i="34" s="1"/>
  <c r="F13" i="35"/>
  <c r="S13" i="35" s="1"/>
  <c r="J13" i="35"/>
  <c r="AC13" i="35" s="1"/>
  <c r="H13" i="35"/>
  <c r="U13" i="35" s="1"/>
  <c r="J25" i="35"/>
  <c r="W25" i="35" s="1"/>
  <c r="F25" i="35"/>
  <c r="S25" i="35" s="1"/>
  <c r="H25" i="35"/>
  <c r="AB2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G544" i="3"/>
  <c r="G536" i="3"/>
  <c r="G535" i="3"/>
  <c r="G528" i="3"/>
  <c r="G527" i="3"/>
  <c r="G514" i="3"/>
  <c r="G508" i="3"/>
  <c r="G500" i="3"/>
  <c r="G568" i="3"/>
  <c r="G550" i="3"/>
  <c r="BL564" i="3"/>
  <c r="BL534" i="3"/>
  <c r="BL506" i="3"/>
  <c r="BL498" i="3"/>
  <c r="BL544" i="3"/>
  <c r="G529" i="3"/>
  <c r="BL504" i="3"/>
  <c r="BL496" i="3"/>
  <c r="BA564" i="3"/>
  <c r="AZ564" i="3" s="1"/>
  <c r="BA546" i="3"/>
  <c r="BA536" i="3"/>
  <c r="BA524" i="3"/>
  <c r="BA508" i="3"/>
  <c r="BA504" i="3"/>
  <c r="AZ504" i="3" s="1"/>
  <c r="BA577" i="3"/>
  <c r="BA553" i="3"/>
  <c r="BA541" i="3"/>
  <c r="BA531" i="3"/>
  <c r="BA519" i="3"/>
  <c r="BA511" i="3"/>
  <c r="BA493" i="3"/>
  <c r="G583" i="3"/>
  <c r="G575" i="3"/>
  <c r="G567" i="3"/>
  <c r="AC557" i="3"/>
  <c r="G557" i="3" s="1"/>
  <c r="BQ557" i="3"/>
  <c r="BQ583" i="3"/>
  <c r="BL583" i="3" s="1"/>
  <c r="BQ581" i="3"/>
  <c r="BQ579" i="3"/>
  <c r="BQ577" i="3"/>
  <c r="BQ575" i="3"/>
  <c r="BQ573" i="3"/>
  <c r="BQ571" i="3"/>
  <c r="BQ569" i="3"/>
  <c r="BQ567" i="3"/>
  <c r="BQ565" i="3"/>
  <c r="BQ563" i="3"/>
  <c r="BQ561" i="3"/>
  <c r="BQ559" i="3"/>
  <c r="G553" i="3"/>
  <c r="G549" i="3"/>
  <c r="G545" i="3"/>
  <c r="G543" i="3"/>
  <c r="G541" i="3"/>
  <c r="G537" i="3"/>
  <c r="BQ555" i="3"/>
  <c r="BQ553" i="3"/>
  <c r="BL553" i="3" s="1"/>
  <c r="BQ551" i="3"/>
  <c r="BQ549" i="3"/>
  <c r="BQ547" i="3"/>
  <c r="BQ545" i="3"/>
  <c r="BL545" i="3" s="1"/>
  <c r="BQ543" i="3"/>
  <c r="BQ541" i="3"/>
  <c r="BQ539" i="3"/>
  <c r="BQ537" i="3"/>
  <c r="BL537" i="3" s="1"/>
  <c r="BQ535" i="3"/>
  <c r="BQ533" i="3"/>
  <c r="BQ531" i="3"/>
  <c r="BQ529" i="3"/>
  <c r="BL529" i="3" s="1"/>
  <c r="BQ527" i="3"/>
  <c r="BQ525" i="3"/>
  <c r="BL525" i="3"/>
  <c r="BQ523" i="3"/>
  <c r="AC521" i="3"/>
  <c r="G521" i="3"/>
  <c r="BQ521" i="3"/>
  <c r="G513" i="3"/>
  <c r="BQ519" i="3"/>
  <c r="BL519" i="3" s="1"/>
  <c r="AZ519" i="3" s="1"/>
  <c r="BQ517" i="3"/>
  <c r="BQ515" i="3"/>
  <c r="BQ513" i="3"/>
  <c r="BL513" i="3" s="1"/>
  <c r="BQ511" i="3"/>
  <c r="AC509" i="3"/>
  <c r="BQ509" i="3"/>
  <c r="BL508" i="3"/>
  <c r="G507"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J43" i="33"/>
  <c r="AC43" i="33" s="1"/>
  <c r="S28" i="31"/>
  <c r="S27" i="31"/>
  <c r="S26" i="31"/>
  <c r="U33" i="37"/>
  <c r="U26" i="37"/>
  <c r="U19"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7" i="34"/>
  <c r="C7" i="36"/>
  <c r="C46" i="36" s="1"/>
  <c r="D46" i="36" s="1"/>
  <c r="E46" i="36" s="1"/>
  <c r="F46" i="36" s="1"/>
  <c r="G46" i="36" s="1"/>
  <c r="H46" i="36" s="1"/>
  <c r="I46" i="36" s="1"/>
  <c r="J11" i="39"/>
  <c r="W11" i="39" s="1"/>
  <c r="F11" i="39"/>
  <c r="G4" i="4"/>
  <c r="I4" i="4"/>
  <c r="F61" i="43"/>
  <c r="H64" i="43" s="1"/>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4"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AZ370" i="3" s="1"/>
  <c r="G371" i="3"/>
  <c r="BA373" i="3"/>
  <c r="BL374" i="3"/>
  <c r="AZ374" i="3" s="1"/>
  <c r="G375" i="3"/>
  <c r="BA377" i="3"/>
  <c r="BA379" i="3"/>
  <c r="BL380" i="3"/>
  <c r="G381" i="3"/>
  <c r="BA383" i="3"/>
  <c r="BL384" i="3"/>
  <c r="G385" i="3"/>
  <c r="BA387" i="3"/>
  <c r="AZ387" i="3" s="1"/>
  <c r="BL388" i="3"/>
  <c r="G389" i="3"/>
  <c r="BA391" i="3"/>
  <c r="BL392" i="3"/>
  <c r="G393" i="3"/>
  <c r="BD5" i="3"/>
  <c r="AZ325" i="3"/>
  <c r="G520" i="3"/>
  <c r="BS5" i="3"/>
  <c r="G17" i="3"/>
  <c r="BA17" i="3"/>
  <c r="BA15" i="3"/>
  <c r="F83" i="43"/>
  <c r="H85" i="43" s="1"/>
  <c r="F50" i="43"/>
  <c r="H54" i="43" s="1"/>
  <c r="F72" i="43"/>
  <c r="H75" i="43" s="1"/>
  <c r="S14" i="35"/>
  <c r="U43" i="21"/>
  <c r="U35" i="21"/>
  <c r="G10" i="1"/>
  <c r="W44" i="34"/>
  <c r="AC44" i="34"/>
  <c r="S15" i="37"/>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7" i="34"/>
  <c r="AB34" i="36"/>
  <c r="U34" i="36"/>
  <c r="AB33" i="36"/>
  <c r="U33" i="36"/>
  <c r="W12" i="39"/>
  <c r="AA32" i="36"/>
  <c r="S32" i="36"/>
  <c r="BL14" i="3"/>
  <c r="S19" i="39"/>
  <c r="F12" i="33"/>
  <c r="S12" i="33" s="1"/>
  <c r="H12" i="39"/>
  <c r="AB12" i="39" s="1"/>
  <c r="F39" i="40"/>
  <c r="AA39" i="40" s="1"/>
  <c r="BA14" i="3"/>
  <c r="B12" i="1"/>
  <c r="E12" i="1" s="1"/>
  <c r="B10" i="1"/>
  <c r="E10" i="1" s="1"/>
  <c r="K12" i="1"/>
  <c r="M12" i="1" s="1"/>
  <c r="S13" i="1"/>
  <c r="AR13" i="1" s="1"/>
  <c r="R13" i="1"/>
  <c r="J51" i="67"/>
  <c r="C42" i="1"/>
  <c r="C24" i="12" s="1"/>
  <c r="AC34" i="33"/>
  <c r="B41" i="1"/>
  <c r="F32" i="67" s="1"/>
  <c r="F60" i="67" s="1"/>
  <c r="AB37" i="40"/>
  <c r="S35" i="40"/>
  <c r="W38" i="40"/>
  <c r="S17" i="40"/>
  <c r="S23" i="40"/>
  <c r="AC17" i="40"/>
  <c r="S28" i="40"/>
  <c r="AB19" i="40"/>
  <c r="S43" i="39"/>
  <c r="U35" i="39"/>
  <c r="F32" i="39"/>
  <c r="S32" i="39" s="1"/>
  <c r="F106" i="39"/>
  <c r="G106" i="39" s="1"/>
  <c r="H106" i="39" s="1"/>
  <c r="I106" i="39" s="1"/>
  <c r="J106" i="39" s="1"/>
  <c r="K106" i="39" s="1"/>
  <c r="L106" i="39" s="1"/>
  <c r="M106" i="39" s="1"/>
  <c r="J21" i="39"/>
  <c r="W21" i="39" s="1"/>
  <c r="F21" i="39"/>
  <c r="S21" i="39" s="1"/>
  <c r="G94" i="39"/>
  <c r="H21" i="39"/>
  <c r="U21" i="39" s="1"/>
  <c r="W19" i="39"/>
  <c r="S17" i="39"/>
  <c r="AA12" i="39"/>
  <c r="U14" i="39"/>
  <c r="U13" i="36"/>
  <c r="U26" i="36"/>
  <c r="S33" i="36"/>
  <c r="AA26" i="36"/>
  <c r="AA34" i="36"/>
  <c r="AA22" i="36"/>
  <c r="S16" i="36"/>
  <c r="S24" i="36"/>
  <c r="U16" i="36"/>
  <c r="AA25" i="35"/>
  <c r="W24" i="35"/>
  <c r="U28" i="35"/>
  <c r="AB27" i="35"/>
  <c r="AC30" i="35"/>
  <c r="S32" i="35"/>
  <c r="S28" i="35"/>
  <c r="AB16" i="35"/>
  <c r="U22" i="35"/>
  <c r="AC20" i="35"/>
  <c r="S22" i="35"/>
  <c r="U14" i="35"/>
  <c r="AC9" i="35"/>
  <c r="W13" i="35"/>
  <c r="F9" i="35"/>
  <c r="S9" i="35" s="1"/>
  <c r="H9" i="35"/>
  <c r="U9" i="35" s="1"/>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S43" i="34"/>
  <c r="AB41" i="34"/>
  <c r="AA45" i="34"/>
  <c r="AA29" i="34"/>
  <c r="S23" i="34"/>
  <c r="S13" i="34"/>
  <c r="H10" i="34"/>
  <c r="AB10" i="34" s="1"/>
  <c r="F11" i="34"/>
  <c r="S11" i="34" s="1"/>
  <c r="W38" i="33"/>
  <c r="H41" i="33"/>
  <c r="U41" i="33" s="1"/>
  <c r="F121" i="33"/>
  <c r="G121" i="33" s="1"/>
  <c r="H121" i="33" s="1"/>
  <c r="I121" i="33" s="1"/>
  <c r="J121" i="33" s="1"/>
  <c r="K121" i="33" s="1"/>
  <c r="L121" i="33" s="1"/>
  <c r="M121" i="33" s="1"/>
  <c r="J35" i="33"/>
  <c r="AC35" i="33" s="1"/>
  <c r="S37" i="33"/>
  <c r="AA37" i="33"/>
  <c r="W43" i="33"/>
  <c r="H25" i="33"/>
  <c r="U25" i="33" s="1"/>
  <c r="F25" i="33"/>
  <c r="S25" i="33" s="1"/>
  <c r="J23" i="33"/>
  <c r="AC23" i="33" s="1"/>
  <c r="F19" i="33"/>
  <c r="S19" i="33" s="1"/>
  <c r="J17" i="33"/>
  <c r="W17" i="33" s="1"/>
  <c r="J10" i="33"/>
  <c r="W10" i="33" s="1"/>
  <c r="H10" i="33"/>
  <c r="U10" i="33" s="1"/>
  <c r="W43" i="21"/>
  <c r="W36" i="21"/>
  <c r="W41" i="21"/>
  <c r="AB39" i="21"/>
  <c r="AA43" i="21"/>
  <c r="S39" i="21"/>
  <c r="AA36"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33" i="40"/>
  <c r="U11" i="40"/>
  <c r="AB17" i="40"/>
  <c r="S8" i="40"/>
  <c r="AC41" i="39"/>
  <c r="U42" i="39"/>
  <c r="U41" i="39"/>
  <c r="W25" i="39"/>
  <c r="AC25" i="39"/>
  <c r="AA14" i="39"/>
  <c r="AB43" i="39"/>
  <c r="U11" i="39"/>
  <c r="W17" i="39"/>
  <c r="AC17" i="39"/>
  <c r="AA45" i="39"/>
  <c r="AB39" i="39"/>
  <c r="W34" i="39"/>
  <c r="U38" i="39"/>
  <c r="S8" i="39"/>
  <c r="S20" i="36"/>
  <c r="AC25" i="36"/>
  <c r="W29" i="36"/>
  <c r="U25" i="36"/>
  <c r="W22" i="36"/>
  <c r="S9" i="36"/>
  <c r="AB20" i="35"/>
  <c r="AC25" i="35"/>
  <c r="U25" i="35"/>
  <c r="U24" i="35"/>
  <c r="S35" i="35"/>
  <c r="AA16" i="35"/>
  <c r="AA35" i="37"/>
  <c r="S40" i="37"/>
  <c r="AB37" i="37"/>
  <c r="U8" i="37"/>
  <c r="AA40" i="34"/>
  <c r="W19" i="34"/>
  <c r="AB33" i="34"/>
  <c r="AC45" i="34"/>
  <c r="AA30" i="34"/>
  <c r="AB36" i="34"/>
  <c r="AC29" i="34"/>
  <c r="S37" i="34"/>
  <c r="S19" i="34"/>
  <c r="AA36" i="34"/>
  <c r="S36" i="34"/>
  <c r="AA8" i="34"/>
  <c r="S8" i="34"/>
  <c r="S46" i="34"/>
  <c r="U32" i="34"/>
  <c r="U14" i="34"/>
  <c r="AC43" i="34"/>
  <c r="W23" i="34"/>
  <c r="AC35" i="34"/>
  <c r="U38" i="33"/>
  <c r="S31" i="33"/>
  <c r="W13" i="33"/>
  <c r="U37" i="33"/>
  <c r="AB42" i="21"/>
  <c r="F33" i="21"/>
  <c r="AA33" i="21" s="1"/>
  <c r="J33" i="21"/>
  <c r="AC33" i="21" s="1"/>
  <c r="H33" i="21"/>
  <c r="AB33" i="21" s="1"/>
  <c r="F37" i="21"/>
  <c r="AA37" i="21" s="1"/>
  <c r="AA26" i="21"/>
  <c r="AB46" i="21"/>
  <c r="U40" i="21"/>
  <c r="AB31" i="21"/>
  <c r="U13" i="21"/>
  <c r="J37" i="21"/>
  <c r="W37" i="21" s="1"/>
  <c r="H15" i="21"/>
  <c r="J17"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42" i="21"/>
  <c r="F10" i="21"/>
  <c r="AA10" i="21" s="1"/>
  <c r="K145" i="21"/>
  <c r="S27" i="21"/>
  <c r="AA15" i="21"/>
  <c r="AC27" i="21"/>
  <c r="AC26" i="21"/>
  <c r="AC34" i="21"/>
  <c r="C15" i="40"/>
  <c r="C23" i="40"/>
  <c r="U30" i="40"/>
  <c r="B56" i="43"/>
  <c r="B67" i="43"/>
  <c r="B51" i="43"/>
  <c r="B54" i="43"/>
  <c r="B62" i="43"/>
  <c r="B69" i="43"/>
  <c r="D23" i="15"/>
  <c r="D22" i="15"/>
  <c r="E4" i="4"/>
  <c r="B5" i="62" s="1"/>
  <c r="B73" i="72" s="1"/>
  <c r="C4" i="4"/>
  <c r="F28" i="67"/>
  <c r="S39" i="40"/>
  <c r="D68" i="9"/>
  <c r="J32" i="39"/>
  <c r="W32" i="39" s="1"/>
  <c r="H32" i="39"/>
  <c r="AB32" i="39" s="1"/>
  <c r="AA32" i="39"/>
  <c r="AB21" i="39"/>
  <c r="J19" i="37"/>
  <c r="W19" i="37" s="1"/>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AB32" i="21"/>
  <c r="A18" i="62"/>
  <c r="B64" i="72" s="1"/>
  <c r="AC32" i="39"/>
  <c r="H63" i="37"/>
  <c r="I63" i="37" s="1"/>
  <c r="J63" i="37" s="1"/>
  <c r="K63" i="37" s="1"/>
  <c r="L63" i="37" s="1"/>
  <c r="M63" i="37" s="1"/>
  <c r="J11" i="37"/>
  <c r="AC11" i="37" s="1"/>
  <c r="J11" i="34"/>
  <c r="W11" i="34" s="1"/>
  <c r="H109" i="9"/>
  <c r="M49" i="9" s="1"/>
  <c r="H112" i="9"/>
  <c r="D21" i="53" s="1"/>
  <c r="B39" i="72" s="1"/>
  <c r="H111" i="9"/>
  <c r="D126" i="9" s="1"/>
  <c r="AD3" i="71"/>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E7" i="76"/>
  <c r="E12" i="76"/>
  <c r="D20" i="9"/>
  <c r="B8" i="76"/>
  <c r="E8" i="76"/>
  <c r="M6" i="67"/>
  <c r="D35" i="9"/>
  <c r="F38" i="15"/>
  <c r="F3" i="73"/>
  <c r="E2" i="68"/>
  <c r="F20" i="31"/>
  <c r="F7" i="73"/>
  <c r="F40" i="67"/>
  <c r="AO13" i="1"/>
  <c r="B7" i="76"/>
  <c r="C19" i="9"/>
  <c r="F36" i="67"/>
  <c r="B9" i="76"/>
  <c r="B13" i="76"/>
  <c r="E10" i="76"/>
  <c r="F6" i="73"/>
  <c r="E11" i="76"/>
  <c r="D34" i="9"/>
  <c r="E13" i="76"/>
  <c r="B10" i="76"/>
  <c r="B11" i="76"/>
  <c r="F4" i="73"/>
  <c r="F5" i="73"/>
  <c r="C20" i="9"/>
  <c r="E2" i="69"/>
  <c r="M29" i="15"/>
  <c r="E9" i="76"/>
  <c r="D19" i="9"/>
  <c r="B12" i="76"/>
  <c r="M23" i="67"/>
  <c r="AA23" i="35" l="1"/>
  <c r="S23" i="35"/>
  <c r="AZ580" i="3"/>
  <c r="AZ554" i="3"/>
  <c r="AZ540" i="3"/>
  <c r="AZ532" i="3"/>
  <c r="AZ530" i="3"/>
  <c r="AZ536" i="3"/>
  <c r="AA35" i="39"/>
  <c r="S35" i="39"/>
  <c r="F28" i="21"/>
  <c r="J28" i="21"/>
  <c r="W28" i="21" s="1"/>
  <c r="AC28" i="35"/>
  <c r="W28" i="35"/>
  <c r="F14" i="33"/>
  <c r="S14" i="33" s="1"/>
  <c r="H14" i="33"/>
  <c r="U14" i="33" s="1"/>
  <c r="J44" i="33"/>
  <c r="F44" i="33"/>
  <c r="S44" i="33" s="1"/>
  <c r="S38" i="34"/>
  <c r="AA38" i="34"/>
  <c r="BA584" i="3"/>
  <c r="BL582" i="3"/>
  <c r="BA573" i="3"/>
  <c r="BL572" i="3"/>
  <c r="AZ572" i="3" s="1"/>
  <c r="BA568" i="3"/>
  <c r="BL558" i="3"/>
  <c r="BA555" i="3"/>
  <c r="BL552" i="3"/>
  <c r="BA552" i="3"/>
  <c r="AZ552" i="3" s="1"/>
  <c r="BA545" i="3"/>
  <c r="BL542" i="3"/>
  <c r="BA542" i="3"/>
  <c r="AZ542" i="3" s="1"/>
  <c r="BA537" i="3"/>
  <c r="BA534" i="3"/>
  <c r="AZ534" i="3" s="1"/>
  <c r="BA529" i="3"/>
  <c r="BL526" i="3"/>
  <c r="BA526" i="3"/>
  <c r="BL524" i="3"/>
  <c r="AZ524" i="3" s="1"/>
  <c r="BA515" i="3"/>
  <c r="BA512" i="3"/>
  <c r="BA497" i="3"/>
  <c r="BA496" i="3"/>
  <c r="AC37" i="33"/>
  <c r="AC14" i="34"/>
  <c r="U19" i="37"/>
  <c r="AB35" i="34"/>
  <c r="U12" i="40"/>
  <c r="AZ372" i="3"/>
  <c r="AZ356" i="3"/>
  <c r="AZ347" i="3"/>
  <c r="AA41" i="39"/>
  <c r="F31" i="40"/>
  <c r="AA31" i="40" s="1"/>
  <c r="H28" i="34"/>
  <c r="AZ525" i="3"/>
  <c r="BL531" i="3"/>
  <c r="BL539" i="3"/>
  <c r="BL547" i="3"/>
  <c r="BL555" i="3"/>
  <c r="AZ555" i="3" s="1"/>
  <c r="BL563" i="3"/>
  <c r="BL569" i="3"/>
  <c r="AZ569" i="3" s="1"/>
  <c r="F13" i="40"/>
  <c r="J35" i="35"/>
  <c r="H47" i="34"/>
  <c r="F31" i="34"/>
  <c r="H44" i="33"/>
  <c r="AB44" i="33" s="1"/>
  <c r="H28" i="21"/>
  <c r="AB28" i="21" s="1"/>
  <c r="E117" i="33"/>
  <c r="F117" i="33" s="1"/>
  <c r="G117" i="33" s="1"/>
  <c r="J39" i="33"/>
  <c r="AC39" i="33" s="1"/>
  <c r="J26" i="33"/>
  <c r="F26" i="33"/>
  <c r="AA26" i="33" s="1"/>
  <c r="U23" i="21"/>
  <c r="AC19" i="37"/>
  <c r="S17" i="37"/>
  <c r="AC19" i="21"/>
  <c r="S35" i="21"/>
  <c r="AC40" i="34"/>
  <c r="AB40" i="34"/>
  <c r="AA31" i="37"/>
  <c r="W32" i="37"/>
  <c r="AA13" i="36"/>
  <c r="U15" i="40"/>
  <c r="AC40" i="21"/>
  <c r="U15" i="34"/>
  <c r="AA33" i="35"/>
  <c r="U29" i="35"/>
  <c r="S14" i="36"/>
  <c r="AB14" i="36"/>
  <c r="AB27" i="39"/>
  <c r="S30" i="40"/>
  <c r="AC35" i="21"/>
  <c r="AZ379" i="3"/>
  <c r="AZ355" i="3"/>
  <c r="U39" i="37"/>
  <c r="BL533" i="3"/>
  <c r="BL541" i="3"/>
  <c r="AZ541" i="3" s="1"/>
  <c r="BL549" i="3"/>
  <c r="BL579" i="3"/>
  <c r="H13" i="40"/>
  <c r="H31" i="34"/>
  <c r="AB31" i="34" s="1"/>
  <c r="J13" i="34"/>
  <c r="W13" i="34" s="1"/>
  <c r="F44" i="21"/>
  <c r="AA44" i="21" s="1"/>
  <c r="U30" i="36"/>
  <c r="AC23" i="21"/>
  <c r="AA47" i="34"/>
  <c r="F28" i="15"/>
  <c r="W30" i="40"/>
  <c r="W25" i="21"/>
  <c r="W9" i="21"/>
  <c r="AA21" i="39"/>
  <c r="W12" i="21"/>
  <c r="AB44" i="21"/>
  <c r="U25" i="34"/>
  <c r="AB35" i="37"/>
  <c r="S27" i="37"/>
  <c r="AB28" i="36"/>
  <c r="S27" i="39"/>
  <c r="S46" i="33"/>
  <c r="AB40" i="37"/>
  <c r="AA36" i="35"/>
  <c r="U32" i="35"/>
  <c r="S15" i="39"/>
  <c r="U25" i="39"/>
  <c r="AC21" i="40"/>
  <c r="BB5" i="3"/>
  <c r="BN5" i="3"/>
  <c r="AZ377" i="3"/>
  <c r="AZ361" i="3"/>
  <c r="AZ345" i="3"/>
  <c r="AZ334" i="3"/>
  <c r="AZ318" i="3"/>
  <c r="AZ390" i="3"/>
  <c r="AZ364" i="3"/>
  <c r="AZ344" i="3"/>
  <c r="AZ329" i="3"/>
  <c r="AZ320" i="3"/>
  <c r="AZ305" i="3"/>
  <c r="AZ175" i="3"/>
  <c r="AZ341" i="3"/>
  <c r="W35" i="40"/>
  <c r="AC45" i="33"/>
  <c r="BL499" i="3"/>
  <c r="BL517" i="3"/>
  <c r="BL527" i="3"/>
  <c r="AZ527" i="3" s="1"/>
  <c r="BL535" i="3"/>
  <c r="AZ535" i="3" s="1"/>
  <c r="BL543" i="3"/>
  <c r="AZ543" i="3" s="1"/>
  <c r="BL551" i="3"/>
  <c r="BL559" i="3"/>
  <c r="BL573" i="3"/>
  <c r="AZ573" i="3" s="1"/>
  <c r="H13" i="34"/>
  <c r="J14" i="33"/>
  <c r="W14" i="33" s="1"/>
  <c r="J44" i="21"/>
  <c r="AC28" i="36"/>
  <c r="W28" i="36"/>
  <c r="N67" i="71"/>
  <c r="B66" i="71"/>
  <c r="BL403" i="3"/>
  <c r="BA417" i="3"/>
  <c r="BA421" i="3"/>
  <c r="BA433" i="3"/>
  <c r="BL435" i="3"/>
  <c r="BL446" i="3"/>
  <c r="BL447" i="3"/>
  <c r="BL451" i="3"/>
  <c r="BA457" i="3"/>
  <c r="BA461" i="3"/>
  <c r="BL467" i="3"/>
  <c r="BA485" i="3"/>
  <c r="BA489" i="3"/>
  <c r="BA491" i="3"/>
  <c r="AZ491" i="3" s="1"/>
  <c r="BA492" i="3"/>
  <c r="AZ492" i="3" s="1"/>
  <c r="BA319" i="3"/>
  <c r="AZ319" i="3" s="1"/>
  <c r="BA323" i="3"/>
  <c r="AZ323" i="3" s="1"/>
  <c r="BA335" i="3"/>
  <c r="AZ335" i="3" s="1"/>
  <c r="BA339" i="3"/>
  <c r="AZ339" i="3" s="1"/>
  <c r="BA385" i="3"/>
  <c r="BL209" i="3"/>
  <c r="BL237" i="3"/>
  <c r="BA239" i="3"/>
  <c r="J13" i="21"/>
  <c r="AB23" i="34"/>
  <c r="W32" i="40"/>
  <c r="S40" i="21"/>
  <c r="W8" i="40"/>
  <c r="BA586" i="3"/>
  <c r="H24" i="36"/>
  <c r="AB24" i="36" s="1"/>
  <c r="G581" i="3"/>
  <c r="G580" i="3"/>
  <c r="G574" i="3"/>
  <c r="G573" i="3"/>
  <c r="G572" i="3"/>
  <c r="BL398" i="3"/>
  <c r="BL418" i="3"/>
  <c r="BL422" i="3"/>
  <c r="BL458" i="3"/>
  <c r="BL462" i="3"/>
  <c r="G467" i="3"/>
  <c r="BA468" i="3"/>
  <c r="BL478" i="3"/>
  <c r="BL340" i="3"/>
  <c r="AZ340" i="3" s="1"/>
  <c r="BL348" i="3"/>
  <c r="G349" i="3"/>
  <c r="BA350" i="3"/>
  <c r="AZ350" i="3" s="1"/>
  <c r="BL353" i="3"/>
  <c r="AZ353" i="3" s="1"/>
  <c r="G358" i="3"/>
  <c r="G362" i="3"/>
  <c r="BA368" i="3"/>
  <c r="BL386" i="3"/>
  <c r="BL208" i="3"/>
  <c r="BA210" i="3"/>
  <c r="G213" i="3"/>
  <c r="BA218" i="3"/>
  <c r="G221" i="3"/>
  <c r="BL224" i="3"/>
  <c r="G229" i="3"/>
  <c r="BA234" i="3"/>
  <c r="BL236" i="3"/>
  <c r="G241" i="3"/>
  <c r="G249" i="3"/>
  <c r="BA177" i="3"/>
  <c r="G587" i="3"/>
  <c r="H9" i="33"/>
  <c r="G398" i="3"/>
  <c r="BA399" i="3"/>
  <c r="G410" i="3"/>
  <c r="BA411" i="3"/>
  <c r="BL413" i="3"/>
  <c r="BA423" i="3"/>
  <c r="G426" i="3"/>
  <c r="BA427" i="3"/>
  <c r="BL429" i="3"/>
  <c r="G438" i="3"/>
  <c r="BL441" i="3"/>
  <c r="G442" i="3"/>
  <c r="BA443" i="3"/>
  <c r="AZ443" i="3" s="1"/>
  <c r="BA445" i="3"/>
  <c r="AZ445" i="3" s="1"/>
  <c r="BA446" i="3"/>
  <c r="BA463" i="3"/>
  <c r="BL469" i="3"/>
  <c r="G478" i="3"/>
  <c r="BA479" i="3"/>
  <c r="G486" i="3"/>
  <c r="BL489" i="3"/>
  <c r="BL491" i="3"/>
  <c r="G208" i="3"/>
  <c r="G232" i="3"/>
  <c r="G236" i="3"/>
  <c r="BA241" i="3"/>
  <c r="BA249" i="3"/>
  <c r="BL259" i="3"/>
  <c r="BL263" i="3"/>
  <c r="BA277" i="3"/>
  <c r="BA278" i="3"/>
  <c r="AZ278" i="3" s="1"/>
  <c r="BA279" i="3"/>
  <c r="AZ279" i="3" s="1"/>
  <c r="BA280" i="3"/>
  <c r="AZ280" i="3" s="1"/>
  <c r="BA281" i="3"/>
  <c r="AZ281" i="3" s="1"/>
  <c r="BA283" i="3"/>
  <c r="AZ283" i="3" s="1"/>
  <c r="BA284" i="3"/>
  <c r="AZ284" i="3" s="1"/>
  <c r="BA286" i="3"/>
  <c r="AZ286" i="3" s="1"/>
  <c r="BA288" i="3"/>
  <c r="AZ288" i="3" s="1"/>
  <c r="BA293" i="3"/>
  <c r="BL294" i="3"/>
  <c r="G295" i="3"/>
  <c r="BL298" i="3"/>
  <c r="G174" i="3"/>
  <c r="BA124" i="3"/>
  <c r="AZ124" i="3" s="1"/>
  <c r="BL126" i="3"/>
  <c r="BA130" i="3"/>
  <c r="BA134" i="3"/>
  <c r="BA142" i="3"/>
  <c r="G206" i="3"/>
  <c r="G24" i="3"/>
  <c r="BA24" i="3"/>
  <c r="BA28" i="3"/>
  <c r="BL30" i="3"/>
  <c r="BL42" i="3"/>
  <c r="BA44" i="3"/>
  <c r="BL46" i="3"/>
  <c r="BA48" i="3"/>
  <c r="BL54" i="3"/>
  <c r="BA56" i="3"/>
  <c r="BL58" i="3"/>
  <c r="BA60" i="3"/>
  <c r="BL64" i="3"/>
  <c r="BL69" i="3"/>
  <c r="BL74" i="3"/>
  <c r="BL76" i="3"/>
  <c r="BA78" i="3"/>
  <c r="AZ78" i="3" s="1"/>
  <c r="BA80" i="3"/>
  <c r="BA81" i="3"/>
  <c r="AZ81" i="3" s="1"/>
  <c r="BA82" i="3"/>
  <c r="AZ82" i="3" s="1"/>
  <c r="BA83" i="3"/>
  <c r="AZ83" i="3" s="1"/>
  <c r="BA84" i="3"/>
  <c r="AZ84" i="3" s="1"/>
  <c r="BA85" i="3"/>
  <c r="AZ85" i="3" s="1"/>
  <c r="BA86" i="3"/>
  <c r="AZ86" i="3" s="1"/>
  <c r="BA88" i="3"/>
  <c r="BL92" i="3"/>
  <c r="BA102" i="3"/>
  <c r="BA110" i="3"/>
  <c r="BL112" i="3"/>
  <c r="AB32" i="71"/>
  <c r="AA34" i="71"/>
  <c r="B75" i="71"/>
  <c r="B74" i="71" s="1"/>
  <c r="BA289" i="3"/>
  <c r="AZ289" i="3" s="1"/>
  <c r="BA291" i="3"/>
  <c r="AZ291" i="3" s="1"/>
  <c r="BA292" i="3"/>
  <c r="AZ292" i="3" s="1"/>
  <c r="BL296" i="3"/>
  <c r="BA298" i="3"/>
  <c r="AZ298" i="3" s="1"/>
  <c r="BL302" i="3"/>
  <c r="BA126" i="3"/>
  <c r="BA128" i="3"/>
  <c r="AZ128" i="3" s="1"/>
  <c r="G30" i="3"/>
  <c r="BL33" i="3"/>
  <c r="BL37" i="3"/>
  <c r="BL41" i="3"/>
  <c r="G46" i="3"/>
  <c r="G92" i="3"/>
  <c r="BL99" i="3"/>
  <c r="C27" i="71"/>
  <c r="X37" i="71"/>
  <c r="BL246" i="3"/>
  <c r="G251" i="3"/>
  <c r="G271" i="3"/>
  <c r="G275" i="3"/>
  <c r="G142" i="3"/>
  <c r="G158" i="3"/>
  <c r="G162" i="3"/>
  <c r="BL165" i="3"/>
  <c r="G166" i="3"/>
  <c r="BL169" i="3"/>
  <c r="G170" i="3"/>
  <c r="BL173" i="3"/>
  <c r="AZ173" i="3" s="1"/>
  <c r="BL175" i="3"/>
  <c r="G176" i="3"/>
  <c r="BA178" i="3"/>
  <c r="AZ178" i="3" s="1"/>
  <c r="BA180" i="3"/>
  <c r="AZ180" i="3" s="1"/>
  <c r="BL182" i="3"/>
  <c r="G183" i="3"/>
  <c r="BA184" i="3"/>
  <c r="AZ184" i="3" s="1"/>
  <c r="BL186" i="3"/>
  <c r="G187" i="3"/>
  <c r="BA188" i="3"/>
  <c r="AZ188" i="3" s="1"/>
  <c r="G191" i="3"/>
  <c r="G195" i="3"/>
  <c r="G21" i="3"/>
  <c r="BL32" i="3"/>
  <c r="BA34" i="3"/>
  <c r="BL36" i="3"/>
  <c r="BA38" i="3"/>
  <c r="BL40" i="3"/>
  <c r="G53" i="3"/>
  <c r="G57" i="3"/>
  <c r="BL60" i="3"/>
  <c r="BL62" i="3"/>
  <c r="G63" i="3"/>
  <c r="BA64" i="3"/>
  <c r="BA65" i="3"/>
  <c r="AZ65" i="3" s="1"/>
  <c r="BA66" i="3"/>
  <c r="AZ66" i="3" s="1"/>
  <c r="BA67" i="3"/>
  <c r="AZ67" i="3" s="1"/>
  <c r="BA69" i="3"/>
  <c r="AZ69" i="3" s="1"/>
  <c r="BA70" i="3"/>
  <c r="AZ70" i="3" s="1"/>
  <c r="BA71" i="3"/>
  <c r="AZ71" i="3" s="1"/>
  <c r="BA72" i="3"/>
  <c r="AZ72" i="3" s="1"/>
  <c r="BA74" i="3"/>
  <c r="BL78" i="3"/>
  <c r="BL80" i="3"/>
  <c r="BL88" i="3"/>
  <c r="BL94" i="3"/>
  <c r="G99" i="3"/>
  <c r="BA100" i="3"/>
  <c r="BL106" i="3"/>
  <c r="BA108" i="3"/>
  <c r="G111" i="3"/>
  <c r="B13" i="1"/>
  <c r="E13" i="1" s="1"/>
  <c r="D51" i="43"/>
  <c r="D58" i="43"/>
  <c r="U25" i="40"/>
  <c r="S18" i="36"/>
  <c r="D28" i="71"/>
  <c r="U28" i="71" s="1"/>
  <c r="X33" i="71"/>
  <c r="Y30" i="71"/>
  <c r="Z30" i="71" s="1"/>
  <c r="X34" i="71"/>
  <c r="X35" i="71"/>
  <c r="X36" i="71"/>
  <c r="S28" i="33"/>
  <c r="U44" i="33"/>
  <c r="C15" i="39"/>
  <c r="AC17" i="33"/>
  <c r="AZ14" i="3"/>
  <c r="A2" i="9"/>
  <c r="A4" i="52"/>
  <c r="B41" i="72" s="1"/>
  <c r="A118" i="9"/>
  <c r="J1" i="73"/>
  <c r="I7" i="33"/>
  <c r="G7" i="33"/>
  <c r="E7" i="33"/>
  <c r="F32" i="33"/>
  <c r="AA32" i="33" s="1"/>
  <c r="AB29" i="33"/>
  <c r="AC30" i="33"/>
  <c r="W30" i="33"/>
  <c r="F30" i="33"/>
  <c r="U30" i="33"/>
  <c r="H50" i="4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BA502" i="3"/>
  <c r="G502" i="3"/>
  <c r="G501" i="3"/>
  <c r="BL500" i="3"/>
  <c r="AZ500" i="3" s="1"/>
  <c r="BA499" i="3"/>
  <c r="AZ499" i="3" s="1"/>
  <c r="BA498" i="3"/>
  <c r="AZ498" i="3" s="1"/>
  <c r="G498" i="3"/>
  <c r="G497" i="3"/>
  <c r="G496" i="3"/>
  <c r="BA495" i="3"/>
  <c r="AZ495" i="3" s="1"/>
  <c r="BP5" i="3"/>
  <c r="BL494" i="3"/>
  <c r="BK5" i="3"/>
  <c r="BG5" i="3"/>
  <c r="BA494" i="3"/>
  <c r="AC5" i="3"/>
  <c r="BR5" i="3"/>
  <c r="BO5" i="3"/>
  <c r="BJ5" i="3"/>
  <c r="BF5" i="3"/>
  <c r="G493" i="3"/>
  <c r="F6" i="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AZ233" i="3" s="1"/>
  <c r="BL233" i="3"/>
  <c r="BA235" i="3"/>
  <c r="BL235" i="3"/>
  <c r="BA236" i="3"/>
  <c r="AZ236" i="3" s="1"/>
  <c r="BA237" i="3"/>
  <c r="AZ237" i="3" s="1"/>
  <c r="BA238" i="3"/>
  <c r="AZ238" i="3" s="1"/>
  <c r="BA240" i="3"/>
  <c r="BL240" i="3"/>
  <c r="BL242" i="3"/>
  <c r="G243" i="3"/>
  <c r="BA245" i="3"/>
  <c r="BL245" i="3"/>
  <c r="BA246" i="3"/>
  <c r="AZ246" i="3" s="1"/>
  <c r="BA248" i="3"/>
  <c r="BL248" i="3"/>
  <c r="BA250" i="3"/>
  <c r="AZ250" i="3" s="1"/>
  <c r="BL250" i="3"/>
  <c r="BL252" i="3"/>
  <c r="G253" i="3"/>
  <c r="BL254" i="3"/>
  <c r="G255" i="3"/>
  <c r="BA256" i="3"/>
  <c r="G257" i="3"/>
  <c r="BL258" i="3"/>
  <c r="BA260" i="3"/>
  <c r="G261" i="3"/>
  <c r="BL262" i="3"/>
  <c r="BA264" i="3"/>
  <c r="G265" i="3"/>
  <c r="BA266" i="3"/>
  <c r="G267" i="3"/>
  <c r="BL268" i="3"/>
  <c r="G269" i="3"/>
  <c r="BA270" i="3"/>
  <c r="BL270" i="3"/>
  <c r="BL272" i="3"/>
  <c r="G273" i="3"/>
  <c r="BA274" i="3"/>
  <c r="BL274" i="3"/>
  <c r="G302" i="3"/>
  <c r="BL113" i="3"/>
  <c r="G116" i="3"/>
  <c r="BA117" i="3"/>
  <c r="G118" i="3"/>
  <c r="G120" i="3"/>
  <c r="BL121" i="3"/>
  <c r="G122" i="3"/>
  <c r="G124" i="3"/>
  <c r="G130" i="3"/>
  <c r="BL133" i="3"/>
  <c r="BA137" i="3"/>
  <c r="G138" i="3"/>
  <c r="BL139" i="3"/>
  <c r="AZ139" i="3" s="1"/>
  <c r="BA141" i="3"/>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AZ448"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AZ129" i="3" s="1"/>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G477" i="3"/>
  <c r="G479" i="3"/>
  <c r="BL479" i="3"/>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BA211" i="3"/>
  <c r="BL213" i="3"/>
  <c r="BL215" i="3"/>
  <c r="BA216" i="3"/>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AZ264" i="3" s="1"/>
  <c r="BL266" i="3"/>
  <c r="BA267" i="3"/>
  <c r="BA268" i="3"/>
  <c r="BA269" i="3"/>
  <c r="AZ269" i="3" s="1"/>
  <c r="BL271" i="3"/>
  <c r="AZ271" i="3" s="1"/>
  <c r="BA272" i="3"/>
  <c r="BA273" i="3"/>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BA186" i="3"/>
  <c r="AZ186" i="3" s="1"/>
  <c r="BL187" i="3"/>
  <c r="AZ187" i="3" s="1"/>
  <c r="BL190" i="3"/>
  <c r="AZ190" i="3" s="1"/>
  <c r="BA192" i="3"/>
  <c r="AZ192" i="3" s="1"/>
  <c r="BL193" i="3"/>
  <c r="AZ193" i="3" s="1"/>
  <c r="G196" i="3"/>
  <c r="BA197" i="3"/>
  <c r="BA198" i="3"/>
  <c r="BL199" i="3"/>
  <c r="AZ199" i="3" s="1"/>
  <c r="BA201" i="3"/>
  <c r="AZ201" i="3" s="1"/>
  <c r="BA202" i="3"/>
  <c r="BL203" i="3"/>
  <c r="AZ203" i="3" s="1"/>
  <c r="BL206" i="3"/>
  <c r="AZ206" i="3" s="1"/>
  <c r="BA207" i="3"/>
  <c r="AZ207" i="3" s="1"/>
  <c r="BL19" i="3"/>
  <c r="BL21" i="3"/>
  <c r="AZ21" i="3" s="1"/>
  <c r="BA22" i="3"/>
  <c r="BL24" i="3"/>
  <c r="AZ24" i="3" s="1"/>
  <c r="BA25" i="3"/>
  <c r="BA26" i="3"/>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BL53" i="3"/>
  <c r="G55" i="3"/>
  <c r="G56" i="3"/>
  <c r="BL56" i="3"/>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AZ100" i="3" s="1"/>
  <c r="BL102" i="3"/>
  <c r="AZ102" i="3" s="1"/>
  <c r="BA103" i="3"/>
  <c r="AZ103" i="3" s="1"/>
  <c r="BL105" i="3"/>
  <c r="AZ105" i="3" s="1"/>
  <c r="G107" i="3"/>
  <c r="G108" i="3"/>
  <c r="BL108" i="3"/>
  <c r="B27" i="71"/>
  <c r="B26" i="71" s="1"/>
  <c r="S28" i="71"/>
  <c r="AZ38" i="3"/>
  <c r="AZ56" i="3"/>
  <c r="AZ95"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V20" i="71"/>
  <c r="AC17" i="21"/>
  <c r="W17" i="21"/>
  <c r="D121" i="9"/>
  <c r="D7" i="52" s="1"/>
  <c r="D6" i="52"/>
  <c r="AZ557" i="3"/>
  <c r="S12" i="21"/>
  <c r="AA12" i="21"/>
  <c r="AC9" i="34"/>
  <c r="W12" i="34"/>
  <c r="AC12" i="34"/>
  <c r="E15" i="71"/>
  <c r="E14" i="71" s="1"/>
  <c r="E13" i="71" s="1"/>
  <c r="E12" i="71" s="1"/>
  <c r="U15" i="21"/>
  <c r="AB15" i="21"/>
  <c r="AC29" i="21"/>
  <c r="W29" i="21"/>
  <c r="AC17" i="37"/>
  <c r="AC15" i="21"/>
  <c r="S20" i="35"/>
  <c r="U12" i="39"/>
  <c r="AA27" i="40"/>
  <c r="AB27" i="40"/>
  <c r="G28" i="6"/>
  <c r="G30" i="6" s="1"/>
  <c r="G31" i="6" s="1"/>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385" i="3"/>
  <c r="AZ210" i="3"/>
  <c r="AZ255" i="3"/>
  <c r="AZ277" i="3"/>
  <c r="AZ435" i="3"/>
  <c r="AZ439" i="3"/>
  <c r="AZ444" i="3"/>
  <c r="AZ452" i="3"/>
  <c r="AZ489" i="3"/>
  <c r="AZ231" i="3"/>
  <c r="AZ290" i="3"/>
  <c r="AZ293" i="3"/>
  <c r="AZ126"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F66" i="15"/>
  <c r="D103" i="9"/>
  <c r="G20" i="9"/>
  <c r="C103" i="9"/>
  <c r="B13" i="70"/>
  <c r="F68" i="67"/>
  <c r="F64" i="67"/>
  <c r="C36" i="68"/>
  <c r="D9" i="68"/>
  <c r="J15" i="67"/>
  <c r="L48" i="15"/>
  <c r="M28" i="67"/>
  <c r="M22" i="15"/>
  <c r="F13" i="67"/>
  <c r="D5" i="73"/>
  <c r="M9" i="67"/>
  <c r="C36" i="69"/>
  <c r="L47" i="67"/>
  <c r="D3" i="73"/>
  <c r="D4" i="73"/>
  <c r="M26" i="15"/>
  <c r="F9" i="15"/>
  <c r="F6" i="67"/>
  <c r="M8" i="67"/>
  <c r="F42" i="15"/>
  <c r="F37" i="15"/>
  <c r="M9" i="15"/>
  <c r="M6" i="15"/>
  <c r="J15" i="15"/>
  <c r="F43" i="15"/>
  <c r="F8" i="67"/>
  <c r="F36" i="15"/>
  <c r="D9" i="69"/>
  <c r="F40" i="15"/>
  <c r="L48" i="67"/>
  <c r="F16" i="15"/>
  <c r="F42" i="67"/>
  <c r="F7" i="15"/>
  <c r="F26" i="67"/>
  <c r="M24" i="67"/>
  <c r="F26" i="15"/>
  <c r="F8" i="15"/>
  <c r="F9" i="67"/>
  <c r="C76" i="15"/>
  <c r="M28" i="15"/>
  <c r="D6" i="73"/>
  <c r="F16" i="67"/>
  <c r="M8" i="15"/>
  <c r="F38" i="67"/>
  <c r="F6" i="15"/>
  <c r="F13" i="15"/>
  <c r="D7" i="73"/>
  <c r="M23" i="15"/>
  <c r="F27" i="69"/>
  <c r="M24" i="15"/>
  <c r="L47" i="15"/>
  <c r="M26" i="67"/>
  <c r="F37" i="67"/>
  <c r="C76" i="67"/>
  <c r="W42" i="33" l="1"/>
  <c r="M7" i="15"/>
  <c r="J6" i="15" s="1"/>
  <c r="J18" i="15" s="1"/>
  <c r="F50" i="15"/>
  <c r="J53" i="15"/>
  <c r="L56" i="15" s="1"/>
  <c r="J57" i="15"/>
  <c r="J55" i="15" s="1"/>
  <c r="J58" i="15" s="1"/>
  <c r="Q50" i="15" s="1"/>
  <c r="I54" i="15"/>
  <c r="F51" i="15"/>
  <c r="C27" i="15"/>
  <c r="AZ225" i="3"/>
  <c r="AZ414" i="3"/>
  <c r="C26" i="71"/>
  <c r="D26" i="71" s="1"/>
  <c r="D27" i="71"/>
  <c r="U13" i="40"/>
  <c r="AB13" i="40"/>
  <c r="AC35" i="35"/>
  <c r="W35" i="35"/>
  <c r="AZ57" i="3"/>
  <c r="AZ22" i="3"/>
  <c r="AZ273" i="3"/>
  <c r="AZ396" i="3"/>
  <c r="AZ474" i="3"/>
  <c r="AB9" i="33"/>
  <c r="U9" i="33"/>
  <c r="U13" i="34"/>
  <c r="AB13" i="34"/>
  <c r="W26" i="33"/>
  <c r="AC26" i="33"/>
  <c r="AA13" i="40"/>
  <c r="S13" i="40"/>
  <c r="AB28" i="34"/>
  <c r="U28" i="34"/>
  <c r="AZ51" i="3"/>
  <c r="AZ26" i="3"/>
  <c r="AZ198" i="3"/>
  <c r="AZ185" i="3"/>
  <c r="AZ166" i="3"/>
  <c r="AZ125" i="3"/>
  <c r="AZ272" i="3"/>
  <c r="AZ267" i="3"/>
  <c r="AZ216" i="3"/>
  <c r="AZ415" i="3"/>
  <c r="C20" i="71"/>
  <c r="AZ18" i="3"/>
  <c r="AZ301" i="3"/>
  <c r="AZ45" i="3"/>
  <c r="AZ29" i="3"/>
  <c r="AZ146" i="3"/>
  <c r="AZ141" i="3"/>
  <c r="AZ274" i="3"/>
  <c r="AZ270" i="3"/>
  <c r="AZ248" i="3"/>
  <c r="AZ235" i="3"/>
  <c r="AZ217" i="3"/>
  <c r="AZ436" i="3"/>
  <c r="AZ416" i="3"/>
  <c r="AZ494" i="3"/>
  <c r="AZ502" i="3"/>
  <c r="AZ518" i="3"/>
  <c r="AZ80" i="3"/>
  <c r="AZ446" i="3"/>
  <c r="S31" i="34"/>
  <c r="AA31" i="34"/>
  <c r="AA28" i="21"/>
  <c r="S28" i="21"/>
  <c r="AZ74" i="3"/>
  <c r="AZ88" i="3"/>
  <c r="AC13" i="21"/>
  <c r="W13" i="21"/>
  <c r="N66" i="71"/>
  <c r="N65" i="71"/>
  <c r="AC44" i="21"/>
  <c r="W44" i="21"/>
  <c r="U47" i="34"/>
  <c r="AB47" i="34"/>
  <c r="AB23" i="33"/>
  <c r="E14" i="6"/>
  <c r="E59" i="40" s="1"/>
  <c r="J7" i="36"/>
  <c r="U42" i="33"/>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I5" i="81"/>
  <c r="I24" i="43"/>
  <c r="C24" i="43" s="1"/>
  <c r="AC9" i="36"/>
  <c r="W9" i="36"/>
  <c r="W31" i="39"/>
  <c r="AC31" i="39"/>
  <c r="U14" i="21"/>
  <c r="AB14" i="21"/>
  <c r="AA46" i="21"/>
  <c r="S46" i="21"/>
  <c r="B20" i="31"/>
  <c r="B21" i="31" s="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C16" i="15"/>
  <c r="G1" i="73"/>
  <c r="F7" i="67"/>
  <c r="M29" i="67"/>
  <c r="C19" i="71" l="1"/>
  <c r="T20" i="71"/>
  <c r="S16" i="71"/>
  <c r="T60" i="71"/>
  <c r="D20" i="71"/>
  <c r="U20" i="71" s="1"/>
  <c r="B40" i="1"/>
  <c r="E16" i="6"/>
  <c r="E61" i="39"/>
  <c r="E223" i="3"/>
  <c r="E312" i="3"/>
  <c r="E441" i="3"/>
  <c r="E269" i="3"/>
  <c r="E48" i="3"/>
  <c r="E111" i="3"/>
  <c r="E359" i="3"/>
  <c r="E82" i="3"/>
  <c r="E186" i="3"/>
  <c r="E458" i="3"/>
  <c r="K16" i="1"/>
  <c r="E505" i="3"/>
  <c r="E85" i="3"/>
  <c r="E95" i="3"/>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8" i="9"/>
  <c r="B118" i="9" s="1"/>
  <c r="B1" i="74" s="1"/>
  <c r="C17" i="4"/>
  <c r="B4" i="52" s="1"/>
  <c r="B43" i="72" s="1"/>
  <c r="D3" i="33"/>
  <c r="C39" i="43"/>
  <c r="C42" i="43"/>
  <c r="E42" i="43" s="1"/>
  <c r="C38" i="43"/>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C16" i="67"/>
  <c r="M27" i="67"/>
  <c r="M27" i="15"/>
  <c r="AE6" i="1"/>
  <c r="G54" i="34" l="1"/>
  <c r="H54" i="34" s="1"/>
  <c r="D19" i="71"/>
  <c r="C18" i="71"/>
  <c r="I3" i="81"/>
  <c r="C11" i="81" s="1"/>
  <c r="D37" i="11"/>
  <c r="D3" i="37"/>
  <c r="D19" i="11"/>
  <c r="C19" i="11" s="1"/>
  <c r="C20" i="11" s="1"/>
  <c r="D3" i="21"/>
  <c r="AY6" i="3"/>
  <c r="AY83" i="3"/>
  <c r="AY66" i="3"/>
  <c r="AY176" i="3"/>
  <c r="AY155" i="3"/>
  <c r="AY115"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1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24" i="6"/>
  <c r="D14" i="6"/>
  <c r="D29" i="6"/>
  <c r="H24" i="6"/>
  <c r="D5" i="6"/>
  <c r="D28" i="6"/>
  <c r="D30" i="6" s="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34" i="9"/>
  <c r="D10" i="68"/>
  <c r="F41" i="67"/>
  <c r="C17" i="15"/>
  <c r="C17" i="67"/>
  <c r="C14" i="67"/>
  <c r="D10" i="69"/>
  <c r="C28" i="11" l="1"/>
  <c r="C27" i="11" s="1"/>
  <c r="C25" i="11"/>
  <c r="D8" i="6"/>
  <c r="D21" i="6"/>
  <c r="R21" i="6" s="1"/>
  <c r="R8" i="1" s="1"/>
  <c r="C17" i="71"/>
  <c r="D18" i="71"/>
  <c r="D13" i="6"/>
  <c r="D23" i="6"/>
  <c r="R23" i="6" s="1"/>
  <c r="R10" i="1" s="1"/>
  <c r="H21" i="6"/>
  <c r="D10" i="6"/>
  <c r="H26" i="6"/>
  <c r="D11" i="6"/>
  <c r="D16" i="6" s="1"/>
  <c r="C18" i="4"/>
  <c r="H22" i="6"/>
  <c r="D9" i="6"/>
  <c r="D26" i="6"/>
  <c r="D22" i="6"/>
  <c r="E61" i="40"/>
  <c r="D12" i="6"/>
  <c r="D19" i="6"/>
  <c r="M19" i="9" s="1"/>
  <c r="C118" i="9" s="1"/>
  <c r="B2" i="74" s="1"/>
  <c r="D8" i="74" s="1"/>
  <c r="H25" i="6"/>
  <c r="D6" i="6"/>
  <c r="D20" i="6"/>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382" i="3"/>
  <c r="AY433" i="3"/>
  <c r="AY177" i="3"/>
  <c r="AY163" i="3"/>
  <c r="AY186" i="3"/>
  <c r="AY82" i="3"/>
  <c r="AY198" i="3"/>
  <c r="AY449" i="3"/>
  <c r="AY101" i="3"/>
  <c r="AY234" i="3"/>
  <c r="AY458" i="3"/>
  <c r="AY542" i="3"/>
  <c r="AY135" i="3"/>
  <c r="AY456" i="3"/>
  <c r="AY184" i="3"/>
  <c r="AY338" i="3"/>
  <c r="AY336" i="3"/>
  <c r="AY47" i="3"/>
  <c r="AY576" i="3"/>
  <c r="AY15" i="3"/>
  <c r="AY515" i="3"/>
  <c r="AY485" i="3"/>
  <c r="AY144" i="3"/>
  <c r="AY253" i="3"/>
  <c r="AY74" i="3"/>
  <c r="AY409" i="3"/>
  <c r="AY465" i="3"/>
  <c r="AY108" i="3"/>
  <c r="AY138" i="3"/>
  <c r="AY214" i="3"/>
  <c r="AY24" i="3"/>
  <c r="AY349" i="3"/>
  <c r="AY427" i="3"/>
  <c r="AY98" i="3"/>
  <c r="AY390" i="3"/>
  <c r="AY25" i="3"/>
  <c r="BI6" i="3"/>
  <c r="AY464" i="3"/>
  <c r="AY523" i="3"/>
  <c r="AY43" i="3"/>
  <c r="AY69" i="3"/>
  <c r="AY384" i="3"/>
  <c r="AY309"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143" i="3"/>
  <c r="AY386" i="3"/>
  <c r="AY443" i="3"/>
  <c r="BT6" i="3"/>
  <c r="AY95" i="3"/>
  <c r="AY204" i="3"/>
  <c r="AY180" i="3"/>
  <c r="AY45" i="3"/>
  <c r="AY118" i="3"/>
  <c r="AY381" i="3"/>
  <c r="AY332" i="3"/>
  <c r="BM6" i="3"/>
  <c r="AY447" i="3"/>
  <c r="AY157" i="3"/>
  <c r="AY403" i="3"/>
  <c r="AY379" i="3"/>
  <c r="BB6" i="3"/>
  <c r="AY520" i="3"/>
  <c r="AY158" i="3"/>
  <c r="AY344" i="3"/>
  <c r="AY506" i="3"/>
  <c r="AY63" i="3"/>
  <c r="AY378" i="3"/>
  <c r="BL6" i="3"/>
  <c r="AY241" i="3"/>
  <c r="BD6" i="3"/>
  <c r="AY17" i="3"/>
  <c r="AY383" i="3"/>
  <c r="AY272" i="3"/>
  <c r="AY267" i="3"/>
  <c r="AY476" i="3"/>
  <c r="AY172" i="3"/>
  <c r="AY54" i="3"/>
  <c r="AY351" i="3"/>
  <c r="AY400" i="3"/>
  <c r="AY293" i="3"/>
  <c r="AY142" i="3"/>
  <c r="AY59" i="3"/>
  <c r="AY23" i="3"/>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R26" i="6"/>
  <c r="R24" i="6"/>
  <c r="R11" i="1" s="1"/>
  <c r="R22" i="6"/>
  <c r="R9" i="1" s="1"/>
  <c r="C15" i="12"/>
  <c r="C12" i="12"/>
  <c r="D7" i="74"/>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3" i="67"/>
  <c r="J19" i="67"/>
  <c r="B6" i="76"/>
  <c r="E6" i="76"/>
  <c r="C14" i="15"/>
  <c r="D27" i="6" l="1"/>
  <c r="D31" i="6" s="1"/>
  <c r="C31" i="11"/>
  <c r="D17" i="71"/>
  <c r="C16" i="71"/>
  <c r="C49" i="33"/>
  <c r="E10" i="74" s="1"/>
  <c r="I58" i="85"/>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M23" i="43" l="1"/>
  <c r="C15" i="71"/>
  <c r="D16" i="71"/>
  <c r="U16" i="71" s="1"/>
  <c r="T16" i="71"/>
  <c r="L49" i="33"/>
  <c r="M49" i="33"/>
  <c r="D36" i="81"/>
  <c r="J8" i="8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C14" i="71" l="1"/>
  <c r="D15" i="71"/>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13" i="71" l="1"/>
  <c r="D14" i="71"/>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C11" i="71" l="1"/>
  <c r="D12" i="71"/>
  <c r="U12" i="71" s="1"/>
  <c r="T12"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11" i="71"/>
  <c r="C10"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L51" i="15"/>
  <c r="D2" i="35"/>
  <c r="C9" i="71" l="1"/>
  <c r="D10"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8" i="1"/>
  <c r="AO6" i="1"/>
  <c r="AO11" i="1"/>
  <c r="C8" i="71" l="1"/>
  <c r="D9"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I53" i="85"/>
  <c r="J53" i="85" s="1"/>
  <c r="E52" i="85"/>
  <c r="F52" i="85" s="1"/>
  <c r="E53" i="85"/>
  <c r="F53" i="85" s="1"/>
  <c r="C48" i="85"/>
  <c r="C49" i="8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U21" i="81"/>
  <c r="U20" i="81" s="1"/>
  <c r="D37" i="81" s="1"/>
  <c r="B3" i="85"/>
  <c r="B2" i="85"/>
  <c r="C3" i="81" s="1"/>
  <c r="C4" i="81" s="1"/>
  <c r="C42" i="40"/>
  <c r="C43" i="40"/>
  <c r="E47" i="40"/>
  <c r="F47" i="40" s="1"/>
  <c r="E46" i="40"/>
  <c r="F46" i="40" s="1"/>
  <c r="I47" i="40"/>
  <c r="J47" i="40" s="1"/>
  <c r="C5" i="71" l="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N58" i="9"/>
  <c r="P57" i="9"/>
  <c r="D53" i="9"/>
  <c r="D52" i="9"/>
  <c r="C105" i="9"/>
  <c r="I4" i="52"/>
  <c r="B22" i="72"/>
  <c r="C5" i="74"/>
  <c r="B32" i="72"/>
  <c r="D6" i="53"/>
  <c r="B20" i="72"/>
  <c r="B53" i="72"/>
  <c r="D54" i="9"/>
  <c r="M54" i="9"/>
  <c r="N61" i="9"/>
  <c r="N59" i="9"/>
  <c r="N60" i="9"/>
  <c r="B31" i="72"/>
  <c r="C81" i="9"/>
  <c r="H4" i="52"/>
  <c r="C104" i="9"/>
  <c r="N57" i="9"/>
  <c r="H119" i="9"/>
  <c r="H5" i="52"/>
  <c r="D8" i="52"/>
  <c r="E81" i="9"/>
  <c r="H102" i="9"/>
  <c r="D7" i="53"/>
  <c r="B21" i="72"/>
  <c r="B49" i="72"/>
  <c r="E97" i="9"/>
  <c r="D5" i="53"/>
  <c r="M48" i="9"/>
  <c r="D58" i="9"/>
  <c r="D56" i="9"/>
  <c r="C80" i="9"/>
  <c r="E80" i="9"/>
  <c r="E4" i="52"/>
  <c r="B48" i="72"/>
  <c r="D14" i="53"/>
  <c r="D13" i="53"/>
  <c r="B30" i="72"/>
  <c r="C68" i="9"/>
  <c r="G4" i="52"/>
  <c r="B52" i="72"/>
  <c r="D15" i="53"/>
  <c r="H108" i="9"/>
  <c r="C6" i="74"/>
  <c r="E96" i="9"/>
  <c r="C64" i="9"/>
  <c r="C63" i="9"/>
  <c r="C67" i="9"/>
  <c r="D59" i="9"/>
  <c r="M55" i="9"/>
  <c r="D55" i="9"/>
  <c r="M53" i="9"/>
  <c r="D4" i="52"/>
  <c r="B47" i="72"/>
  <c r="C93" i="9"/>
  <c r="C86" i="9"/>
  <c r="C78" i="9"/>
  <c r="C73" i="9"/>
  <c r="F4" i="52"/>
  <c r="B51" i="72"/>
  <c r="C96" i="9"/>
  <c r="C85" i="9"/>
  <c r="C95" i="9"/>
  <c r="C97" i="9"/>
  <c r="E118" i="9"/>
  <c r="D118" i="9"/>
  <c r="D119" i="9"/>
  <c r="D5" i="52"/>
  <c r="G118" i="9"/>
  <c r="F118" i="9"/>
  <c r="F119" i="9"/>
  <c r="F5" i="52"/>
  <c r="H107" i="9"/>
  <c r="D122" i="9"/>
  <c r="D123" i="9"/>
  <c r="D9" i="5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<sst xmlns="http://schemas.openxmlformats.org/spreadsheetml/2006/main" count="8759" uniqueCount="3794">
  <si>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</si>
  <si>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</si>
  <si>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</si>
  <si>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</si>
  <si>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</si>
  <si>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</si>
  <si>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</si>
  <si>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</si>
  <si>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</si>
  <si>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</si>
  <si>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</si>
  <si>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</si>
  <si>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</si>
  <si>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</si>
  <si>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</si>
  <si>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</si>
  <si>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</si>
  <si>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</si>
  <si>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</si>
  <si>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</si>
  <si>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</si>
  <si>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</si>
  <si>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</si>
  <si>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</si>
  <si>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</si>
  <si>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</si>
  <si>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</si>
  <si>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</si>
  <si>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</si>
  <si>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</si>
  <si>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</si>
  <si>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</si>
  <si>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</si>
  <si>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</si>
  <si>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</si>
  <si>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</si>
  <si>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</si>
  <si>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</si>
  <si>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</si>
  <si>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</si>
  <si>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</si>
  <si>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</si>
  <si>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</si>
  <si>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</si>
  <si>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</si>
  <si>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</si>
  <si>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</si>
  <si>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</si>
  <si>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</si>
  <si>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</si>
  <si>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</si>
  <si>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</si>
  <si>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</si>
  <si>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</si>
  <si>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</si>
  <si>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</si>
  <si>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</si>
  <si>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</si>
  <si>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</si>
  <si>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</si>
  <si>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</si>
  <si>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</si>
  <si>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</si>
  <si>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</si>
  <si>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</si>
  <si>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</si>
  <si>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</si>
  <si>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</si>
  <si>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</si>
  <si>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</si>
  <si>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</si>
  <si>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</si>
  <si>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</si>
  <si>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</si>
  <si>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</si>
  <si>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</si>
  <si>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</si>
  <si>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</si>
  <si>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</si>
  <si>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</si>
  <si>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</si>
  <si>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</si>
  <si>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</si>
  <si>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</si>
  <si>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</si>
  <si>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</si>
  <si>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</si>
  <si>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</si>
  <si>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</si>
  <si>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</si>
  <si>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</si>
  <si>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</si>
  <si>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</si>
  <si>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</si>
  <si>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</si>
  <si>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</si>
  <si>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</si>
  <si>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</si>
  <si>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</si>
  <si>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</si>
  <si>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</si>
  <si>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</si>
  <si>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</si>
  <si>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</si>
  <si>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</si>
  <si>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</si>
  <si>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</si>
  <si>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</si>
  <si>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</si>
  <si>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</si>
  <si>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</si>
  <si>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</si>
  <si>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</si>
  <si>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</si>
  <si>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</si>
  <si>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</si>
  <si>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</si>
  <si>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</si>
  <si>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</si>
  <si>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</si>
  <si>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</si>
  <si>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</si>
  <si>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</si>
  <si>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</si>
  <si>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</si>
  <si>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</si>
  <si>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</si>
  <si>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</si>
  <si>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</si>
  <si>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</si>
  <si>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</si>
  <si>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</si>
  <si>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</si>
  <si>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</si>
  <si>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</si>
  <si>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</si>
  <si>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</si>
  <si>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</si>
  <si>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</si>
  <si>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</si>
  <si>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</si>
  <si>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</si>
  <si>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</si>
  <si>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</si>
  <si>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</si>
  <si>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</si>
  <si>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</si>
  <si>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</si>
  <si>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</si>
  <si>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</si>
  <si>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</si>
  <si>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</si>
  <si>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</si>
  <si>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</si>
  <si>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</si>
  <si>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</si>
  <si>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</si>
  <si>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</si>
  <si>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</si>
  <si>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</si>
  <si>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</si>
  <si>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</si>
  <si>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</si>
  <si>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</si>
  <si>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</si>
  <si>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</si>
  <si>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</si>
  <si>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</si>
  <si>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</si>
  <si>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</si>
  <si>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</si>
  <si>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</si>
  <si>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</si>
  <si>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</si>
  <si>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</si>
  <si>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</si>
  <si>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</si>
  <si>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</si>
  <si>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</si>
  <si>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</si>
  <si>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</si>
  <si>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</si>
  <si>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</si>
  <si>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</si>
  <si>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</si>
  <si>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</si>
  <si>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</si>
  <si>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</si>
  <si>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</si>
  <si>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</si>
  <si>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</si>
  <si>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</si>
  <si>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</si>
  <si>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</si>
  <si>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</si>
  <si>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</si>
  <si>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</si>
  <si>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</si>
  <si>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</si>
  <si>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</si>
  <si>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</si>
  <si>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</si>
  <si>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</si>
  <si>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</si>
  <si>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</si>
  <si>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</si>
  <si>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</si>
  <si>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</si>
  <si>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</si>
  <si>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</si>
  <si>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</si>
  <si>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</si>
  <si>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</si>
  <si>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</si>
  <si>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</si>
  <si>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</si>
  <si>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</si>
  <si>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</si>
  <si>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</si>
  <si>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</si>
  <si>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</si>
  <si>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</si>
  <si>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</si>
  <si>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</si>
  <si>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</si>
  <si>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</si>
  <si>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</si>
  <si>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</si>
  <si>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</si>
  <si>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</si>
  <si>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</si>
  <si>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</si>
  <si>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</si>
  <si>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</si>
  <si>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</si>
  <si>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</si>
  <si>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</si>
  <si>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</si>
  <si>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</si>
  <si>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</si>
  <si>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</si>
  <si>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</si>
  <si>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</si>
  <si>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</si>
  <si>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</si>
  <si>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</si>
  <si>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</si>
  <si>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</si>
  <si>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</si>
  <si>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</si>
  <si>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</si>
  <si>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</si>
  <si>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</si>
  <si>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</si>
  <si>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</si>
  <si>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</si>
  <si>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</si>
  <si>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</si>
  <si>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</si>
  <si>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</si>
  <si>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</si>
  <si>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</si>
  <si>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</si>
  <si>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</si>
  <si>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</si>
  <si>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</si>
  <si>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</si>
  <si>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</si>
  <si>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</si>
  <si>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</si>
  <si>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</si>
  <si>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</si>
  <si>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</si>
  <si>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</si>
  <si>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</si>
  <si>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</si>
  <si>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</si>
  <si>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</si>
  <si>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</si>
  <si>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</si>
  <si>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</si>
  <si>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</si>
  <si>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</si>
  <si>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</si>
  <si>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</si>
  <si>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</si>
  <si>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</si>
  <si>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</si>
  <si>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</si>
  <si>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</si>
  <si>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</si>
  <si>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</si>
  <si>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</si>
  <si>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</si>
  <si>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</si>
  <si>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</si>
  <si>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</si>
  <si>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</si>
  <si>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</si>
  <si>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</si>
  <si>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</si>
  <si>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</si>
  <si>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</si>
  <si>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</si>
  <si>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</si>
  <si>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</si>
  <si>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</si>
  <si>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</si>
  <si>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</si>
  <si>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</si>
  <si>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</si>
  <si>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</si>
  <si>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</si>
  <si>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</si>
  <si>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</si>
  <si>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</si>
  <si>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</si>
  <si>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</si>
  <si>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</si>
  <si>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</si>
  <si>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</si>
  <si>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</si>
  <si>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</si>
  <si>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</si>
  <si>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</si>
  <si>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</si>
  <si>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</si>
  <si>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</si>
  <si>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</si>
  <si>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</si>
  <si>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</si>
  <si>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</si>
  <si>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</si>
  <si>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</si>
  <si>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</si>
  <si>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</si>
  <si>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</si>
  <si>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</si>
  <si>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</si>
  <si>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</si>
  <si>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</si>
  <si>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</si>
  <si>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</si>
  <si>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</si>
  <si>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</si>
  <si>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</si>
  <si>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</si>
  <si>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</si>
  <si>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</si>
  <si>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</si>
  <si>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</si>
  <si>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</si>
  <si>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</si>
  <si>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</si>
  <si>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</si>
  <si>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</si>
  <si>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</si>
  <si>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</si>
  <si>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</si>
  <si>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</si>
  <si>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</si>
  <si>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</si>
  <si>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</si>
  <si>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</si>
  <si>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</si>
  <si>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</si>
  <si>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</si>
  <si>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</si>
  <si>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</si>
  <si>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</si>
  <si>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</si>
  <si>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</si>
  <si>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</si>
  <si>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</si>
  <si>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</si>
  <si>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</si>
  <si>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</si>
  <si>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</si>
  <si>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</si>
  <si>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</si>
  <si>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</si>
  <si>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</si>
  <si>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</si>
  <si>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</si>
  <si>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</si>
  <si>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</si>
  <si>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</si>
  <si>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</si>
  <si>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</si>
  <si>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</si>
  <si>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</si>
  <si>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</si>
  <si>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</si>
  <si>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</si>
  <si>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</si>
  <si>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</si>
  <si>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</si>
  <si>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</si>
  <si>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</si>
  <si>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</si>
  <si>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</si>
  <si>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</si>
  <si>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</si>
  <si>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</si>
  <si>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</si>
  <si>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</si>
  <si>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</si>
  <si>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</si>
  <si>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</si>
  <si>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</si>
  <si>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</si>
  <si>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</si>
  <si>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</si>
  <si>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</si>
  <si>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</si>
  <si>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</si>
  <si>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</si>
  <si>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</si>
  <si>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</si>
  <si>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</si>
  <si>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</si>
  <si>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</si>
  <si>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</si>
  <si>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</si>
  <si>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</si>
  <si>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</si>
  <si>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</si>
  <si>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</si>
  <si>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</si>
  <si>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</si>
  <si>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</si>
  <si>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</si>
  <si>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</si>
  <si>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</si>
  <si>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</si>
  <si>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</si>
  <si>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</si>
  <si>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</si>
  <si>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</si>
  <si>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</si>
  <si>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</si>
  <si>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</si>
  <si>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</si>
  <si>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</si>
  <si>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</si>
  <si>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</si>
  <si>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</si>
  <si>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</si>
  <si>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</si>
  <si>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</si>
  <si>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</si>
  <si>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</si>
  <si>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</si>
  <si>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</si>
  <si>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</si>
  <si>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</si>
  <si>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</si>
  <si>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</si>
  <si>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</si>
  <si>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</si>
  <si>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</si>
  <si>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</si>
  <si>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</si>
  <si>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</si>
  <si>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</si>
  <si>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</si>
  <si>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</si>
  <si>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</si>
  <si>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</si>
  <si>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</si>
  <si>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</si>
  <si>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</si>
  <si>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</si>
  <si>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</si>
  <si>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</si>
  <si>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</si>
  <si>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</si>
  <si>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</si>
  <si>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</si>
  <si>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</si>
  <si>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</si>
  <si>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</si>
  <si>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</si>
  <si>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</si>
  <si>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</si>
  <si>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</si>
  <si>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</si>
  <si>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</si>
  <si>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</si>
  <si>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</si>
  <si>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</si>
  <si>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</si>
  <si>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</si>
  <si>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</si>
  <si>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</si>
  <si>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</si>
  <si>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</si>
  <si>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</si>
  <si>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</si>
  <si>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</si>
  <si>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</si>
  <si>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</si>
  <si>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</si>
  <si>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</si>
  <si>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</si>
  <si>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</si>
  <si>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</si>
  <si>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</si>
  <si>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</si>
  <si>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</si>
  <si>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</si>
  <si>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</si>
  <si>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</si>
  <si>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</si>
  <si>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</si>
  <si>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</si>
  <si>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</si>
  <si>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</si>
  <si>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</si>
  <si>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</si>
  <si>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</si>
  <si>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</si>
  <si>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</si>
  <si>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</si>
  <si>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</si>
  <si>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</si>
  <si>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</si>
  <si>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</si>
  <si>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</si>
  <si>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</si>
  <si>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</si>
  <si>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</si>
  <si>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</si>
  <si>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</si>
  <si>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</si>
  <si>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</si>
  <si>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</si>
  <si>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</si>
  <si>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</si>
  <si>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</si>
  <si>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</si>
  <si>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</si>
  <si>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</si>
  <si>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</si>
  <si>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</si>
  <si>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</si>
  <si>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</si>
  <si>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</si>
  <si>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</si>
  <si>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</si>
  <si>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</si>
  <si>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</si>
  <si>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</si>
  <si>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</si>
  <si>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</si>
  <si>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</si>
  <si>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</si>
  <si>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</si>
  <si>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</si>
  <si>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</si>
  <si>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</si>
  <si>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</si>
  <si>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</si>
  <si>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</si>
  <si>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</si>
  <si>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</si>
  <si>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</si>
  <si>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</si>
  <si>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</si>
  <si>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</si>
  <si>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</si>
  <si>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</si>
  <si>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</si>
  <si>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</si>
  <si>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</si>
  <si>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</si>
  <si>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</si>
  <si>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</si>
  <si>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</si>
  <si>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</si>
  <si>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</si>
  <si>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</si>
  <si>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</si>
  <si>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</si>
  <si>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</si>
  <si>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</si>
  <si>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</si>
  <si>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</si>
  <si>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</si>
  <si>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</si>
  <si>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</si>
  <si>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</si>
  <si>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</si>
  <si>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</si>
  <si>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</si>
  <si>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</si>
  <si>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</si>
  <si>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</si>
  <si>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</si>
  <si>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</si>
  <si>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</si>
  <si>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</si>
  <si>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</si>
  <si>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</si>
  <si>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</si>
  <si>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</si>
  <si>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</si>
  <si>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</si>
  <si>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</si>
  <si>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</si>
  <si>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</si>
  <si>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</si>
  <si>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</si>
  <si>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</si>
  <si>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</si>
  <si>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</si>
  <si>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</si>
  <si>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</si>
  <si>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</si>
  <si>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</si>
  <si>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</si>
  <si>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</si>
  <si>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</si>
  <si>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</si>
  <si>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</si>
  <si>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</si>
  <si>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</si>
  <si>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</si>
  <si>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</si>
  <si>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</si>
  <si>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</si>
  <si>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</si>
  <si>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</si>
  <si>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</si>
  <si>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</si>
  <si>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</si>
  <si>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</si>
  <si>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</si>
  <si>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</si>
  <si>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</si>
  <si>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</si>
  <si>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</si>
  <si>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</si>
  <si>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</si>
  <si>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</si>
  <si>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</si>
  <si>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</si>
  <si>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</si>
  <si>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</si>
  <si>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</si>
  <si>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</si>
  <si>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</si>
  <si>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</si>
  <si>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</si>
  <si>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</si>
  <si>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</si>
  <si>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</si>
  <si>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</si>
  <si>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</si>
  <si>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</si>
  <si>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</si>
  <si>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</si>
  <si>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</si>
  <si>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</si>
  <si>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</si>
  <si>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</si>
  <si>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</si>
  <si>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</si>
  <si>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</si>
  <si>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</si>
  <si>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</si>
  <si>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</si>
  <si>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</si>
  <si>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</si>
  <si>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</si>
  <si>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</si>
  <si>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</si>
  <si>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</si>
  <si>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</si>
  <si>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</si>
  <si>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</si>
  <si>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</si>
  <si>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</si>
  <si>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</si>
  <si>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</si>
  <si>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</si>
  <si>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</si>
  <si>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</si>
  <si>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</si>
  <si>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</si>
  <si>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</si>
  <si>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</si>
  <si>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</si>
  <si>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</si>
  <si>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</si>
  <si>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</si>
  <si>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</si>
  <si>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</si>
  <si>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</si>
  <si>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</si>
  <si>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</si>
  <si>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</si>
  <si>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</si>
  <si>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</si>
  <si>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</si>
  <si>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</si>
  <si>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</si>
  <si>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</si>
  <si>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</si>
  <si>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</si>
  <si>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</si>
  <si>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</si>
  <si>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</si>
  <si>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</si>
  <si>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</si>
  <si>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</si>
  <si>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</si>
  <si>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</si>
  <si>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</si>
  <si>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</si>
  <si>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</si>
  <si>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</si>
  <si>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</si>
  <si>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</si>
  <si>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</si>
  <si>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</si>
  <si>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</si>
  <si>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</si>
  <si>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</si>
  <si>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</si>
  <si>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</si>
  <si>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</si>
  <si>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</si>
  <si>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</si>
  <si>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</si>
  <si>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</si>
  <si>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</si>
  <si>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</si>
  <si>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</si>
  <si>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</si>
  <si>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</si>
  <si>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</si>
  <si>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</si>
  <si>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</si>
  <si>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</si>
  <si>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</si>
  <si>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</si>
  <si>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</si>
  <si>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</si>
  <si>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</si>
  <si>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</si>
  <si>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</si>
  <si>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</si>
  <si>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</si>
  <si>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</si>
  <si>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</si>
  <si>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</si>
  <si>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</si>
  <si>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</si>
  <si>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</si>
  <si>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</si>
  <si>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</si>
  <si>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</si>
  <si>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</si>
  <si>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</si>
  <si>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</si>
  <si>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</si>
  <si>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</si>
  <si>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</si>
  <si>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</si>
  <si>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</si>
  <si>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</si>
  <si>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</si>
  <si>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</si>
  <si>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</si>
  <si>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</si>
  <si>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</si>
  <si>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</si>
  <si>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</si>
  <si>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</si>
  <si>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</si>
  <si>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</si>
  <si>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</si>
  <si>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</si>
  <si>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</si>
  <si>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</si>
  <si>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</si>
  <si>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</si>
  <si>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</si>
  <si>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</si>
  <si>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</si>
  <si>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</si>
  <si>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</si>
  <si>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</si>
  <si>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</si>
  <si>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</si>
  <si>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</si>
  <si>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</si>
  <si>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</si>
  <si>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</si>
  <si>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</si>
  <si>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</si>
  <si>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</si>
  <si>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</si>
  <si>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</si>
  <si>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</si>
  <si>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</si>
  <si>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</si>
  <si>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</si>
  <si>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</si>
  <si>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</si>
  <si>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</si>
  <si>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</si>
  <si>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</si>
  <si>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</si>
  <si>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</si>
  <si>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</si>
  <si>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</si>
  <si>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</si>
  <si>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</si>
  <si>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</si>
  <si>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</si>
  <si>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</si>
  <si>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</si>
  <si>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</si>
  <si>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</si>
  <si>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</si>
  <si>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</si>
  <si>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</si>
  <si>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</si>
  <si>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</si>
  <si>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</si>
  <si>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</si>
  <si>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</si>
  <si>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</si>
  <si>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</si>
  <si>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</si>
  <si>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</si>
  <si>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</si>
  <si>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</si>
  <si>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</si>
  <si>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</si>
  <si>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</si>
  <si>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</si>
  <si>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</si>
  <si>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</si>
  <si>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</si>
  <si>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</si>
  <si>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</si>
  <si>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</si>
  <si>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</si>
  <si>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</si>
  <si>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</si>
  <si>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</si>
  <si>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</si>
  <si>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</si>
  <si>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</si>
  <si>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</si>
  <si>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</si>
  <si>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</si>
  <si>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</si>
  <si>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</si>
  <si>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</si>
  <si>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</si>
  <si>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</si>
  <si>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</si>
  <si>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</si>
  <si>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</si>
  <si>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</si>
  <si>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</si>
  <si>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</si>
  <si>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</si>
  <si>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</si>
  <si>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</si>
  <si>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</si>
  <si>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</si>
  <si>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</si>
  <si>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</si>
  <si>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</si>
  <si>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</si>
  <si>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</si>
  <si>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</si>
  <si>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</si>
  <si>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</si>
  <si>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</si>
  <si>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</si>
  <si>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</si>
  <si>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</si>
  <si>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</si>
  <si>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</si>
  <si>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</si>
  <si>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</si>
  <si>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</si>
  <si>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</si>
  <si>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</si>
  <si>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</si>
  <si>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</si>
  <si>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</si>
  <si>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</si>
  <si>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</si>
  <si>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</si>
  <si>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</si>
  <si>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</si>
  <si>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</si>
  <si>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</si>
  <si>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</si>
  <si>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</si>
  <si>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</si>
  <si>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</si>
  <si>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</si>
  <si>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</si>
  <si>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</si>
  <si>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</si>
  <si>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</si>
  <si>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</si>
  <si>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</si>
  <si>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</si>
  <si>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</si>
  <si>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</si>
  <si>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</si>
  <si>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</si>
  <si>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</si>
  <si>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</si>
  <si>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</si>
  <si>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</si>
  <si>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</si>
  <si>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</si>
  <si>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</si>
  <si>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</si>
  <si>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</si>
  <si>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</si>
  <si>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</si>
  <si>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</si>
  <si>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</si>
  <si>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</si>
  <si>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</si>
  <si>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</si>
  <si>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</si>
  <si>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</si>
  <si>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</si>
  <si>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</si>
  <si>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</si>
  <si>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</si>
  <si>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</si>
  <si>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</si>
  <si>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</si>
  <si>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</si>
  <si>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</si>
  <si>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</si>
  <si>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</si>
  <si>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</si>
  <si>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</si>
  <si>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</si>
  <si>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</si>
  <si>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</si>
  <si>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</si>
  <si>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</si>
  <si>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</si>
  <si>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</si>
  <si>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</si>
  <si>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</si>
  <si>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</si>
  <si>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</si>
  <si>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</si>
  <si>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</si>
  <si>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</si>
  <si>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</si>
  <si>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</si>
  <si>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</si>
  <si>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</si>
  <si>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</si>
  <si>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</si>
  <si>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</si>
  <si>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</si>
  <si>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</si>
  <si>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</si>
  <si>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</si>
  <si>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</si>
  <si>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</si>
  <si>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</si>
  <si>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</si>
  <si>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</si>
  <si>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</si>
  <si>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</si>
  <si>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</si>
  <si>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</si>
  <si>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</si>
  <si>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</si>
  <si>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</si>
  <si>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</si>
  <si>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</si>
  <si>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</si>
  <si>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</si>
  <si>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</si>
  <si>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</si>
  <si>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</si>
  <si>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</si>
  <si>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</si>
  <si>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</si>
  <si>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</si>
  <si>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</si>
  <si>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</si>
  <si>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</si>
  <si>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</si>
  <si>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</si>
  <si>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</si>
  <si>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</si>
  <si>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</si>
  <si>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</si>
  <si>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</si>
  <si>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</si>
  <si>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</si>
  <si>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</si>
  <si>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</si>
  <si>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</si>
  <si>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</si>
  <si>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</si>
  <si>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</si>
  <si>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</si>
  <si>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</si>
  <si>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</si>
  <si>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</si>
  <si>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</si>
  <si>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</si>
  <si>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</si>
  <si>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</si>
  <si>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</si>
  <si>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</si>
  <si>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</si>
  <si>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</si>
  <si>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</si>
  <si>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</si>
  <si>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</si>
  <si>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</si>
  <si>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</si>
  <si>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</si>
  <si>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</si>
  <si>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</si>
  <si>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</si>
  <si>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</si>
  <si>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</si>
  <si>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</si>
  <si>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</si>
  <si>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</si>
  <si>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</si>
  <si>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</si>
  <si>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</si>
  <si>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</si>
  <si>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</si>
  <si>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</si>
  <si>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</si>
  <si>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</si>
  <si>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</si>
  <si>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</si>
  <si>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</si>
  <si>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</si>
  <si>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</si>
  <si>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</si>
  <si>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</si>
  <si>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</si>
  <si>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</si>
  <si>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</si>
  <si>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</si>
  <si>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</si>
  <si>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</si>
  <si>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</si>
  <si>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</si>
  <si>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</si>
  <si>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</si>
  <si>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</si>
  <si>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</si>
  <si>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</si>
  <si>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</si>
  <si>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</si>
  <si>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</si>
  <si>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</si>
  <si>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</si>
  <si>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</si>
  <si>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</si>
  <si>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</si>
  <si>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</si>
  <si>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</si>
  <si>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</si>
  <si>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</si>
  <si>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</si>
  <si>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</si>
  <si>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</si>
  <si>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</si>
  <si>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</si>
  <si>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</si>
  <si>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</si>
  <si>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</si>
  <si>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</si>
  <si>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</si>
  <si>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</si>
  <si>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</si>
  <si>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</si>
  <si>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</si>
  <si>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</si>
  <si>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</si>
  <si>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</si>
  <si>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</si>
  <si>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</si>
  <si>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</si>
  <si>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</si>
  <si>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</si>
  <si>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</si>
  <si>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</si>
  <si>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</si>
  <si>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</si>
  <si>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</si>
  <si>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</si>
  <si>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</si>
  <si>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</si>
  <si>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</si>
  <si>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</si>
  <si>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</si>
  <si>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</si>
  <si>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</si>
  <si>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</si>
  <si>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</si>
  <si>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</si>
  <si>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</si>
  <si>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</si>
  <si>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</si>
  <si>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</si>
  <si>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</si>
  <si>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</si>
  <si>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</si>
  <si>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</si>
  <si>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</si>
  <si>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</si>
  <si>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</si>
  <si>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</si>
  <si>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</si>
  <si>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</si>
  <si>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</si>
  <si>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</si>
  <si>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</si>
  <si>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</si>
  <si>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</si>
  <si>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</si>
  <si>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</si>
  <si>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</si>
  <si>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</si>
  <si>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</si>
  <si>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</si>
  <si>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</si>
  <si>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</si>
  <si>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</si>
  <si>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</si>
  <si>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</si>
  <si>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</si>
  <si>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</si>
  <si>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</si>
  <si>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</si>
  <si>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</si>
  <si>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</si>
  <si>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</si>
  <si>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</si>
  <si>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</si>
  <si>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</si>
  <si>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</si>
  <si>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</si>
  <si>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</si>
  <si>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</si>
  <si>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</si>
  <si>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</si>
  <si>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</si>
  <si>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</si>
  <si>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</si>
  <si>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</si>
  <si>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</si>
  <si>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</si>
  <si>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</si>
  <si>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</si>
  <si>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</si>
  <si>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</si>
  <si>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</si>
  <si>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</si>
  <si>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</si>
  <si>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</si>
  <si>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</si>
  <si>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</si>
  <si>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</si>
  <si>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</si>
  <si>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</si>
  <si>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</si>
  <si>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</si>
  <si>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</si>
  <si>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</si>
  <si>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</si>
  <si>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</si>
  <si>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</si>
  <si>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</si>
  <si>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</si>
  <si>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</si>
  <si>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</si>
  <si>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</si>
  <si>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</si>
  <si>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</si>
  <si>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</si>
  <si>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</si>
  <si>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</si>
  <si>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</si>
  <si>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</si>
  <si>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</si>
  <si>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</si>
  <si>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</si>
  <si>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</si>
  <si>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</si>
  <si>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</si>
  <si>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</si>
  <si>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</si>
  <si>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</si>
  <si>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</si>
  <si>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</si>
  <si>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</si>
  <si>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</si>
  <si>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</si>
  <si>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</si>
  <si>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</si>
  <si>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</si>
  <si>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</si>
  <si>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</si>
  <si>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</si>
  <si>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</si>
  <si>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</si>
  <si>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</si>
  <si>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</si>
  <si>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</si>
  <si>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</si>
  <si>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</si>
  <si>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</si>
  <si>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</si>
  <si>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</si>
  <si>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</si>
  <si>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</si>
  <si>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</si>
  <si>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</si>
  <si>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</si>
  <si>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</si>
  <si>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</si>
  <si>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</si>
  <si>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</si>
  <si>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</si>
  <si>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</si>
  <si>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</si>
  <si>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</si>
  <si>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</si>
  <si>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</si>
  <si>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</si>
  <si>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</si>
  <si>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</si>
  <si>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</si>
  <si>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</si>
  <si>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</si>
  <si>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</si>
  <si>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</si>
  <si>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</si>
  <si>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</si>
  <si>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</si>
  <si>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</si>
  <si>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</si>
  <si>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</si>
  <si>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</si>
  <si>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</si>
  <si>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</si>
  <si>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</si>
  <si>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</si>
  <si>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</si>
  <si>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</si>
  <si>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</si>
  <si>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</si>
  <si>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</si>
  <si>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</si>
  <si>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</si>
  <si>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</si>
  <si>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</si>
  <si>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</si>
  <si>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</si>
  <si>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</si>
  <si>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</si>
  <si>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</si>
  <si>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</si>
  <si>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</si>
  <si>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</si>
  <si>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</si>
  <si>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</si>
  <si>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</si>
  <si>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</si>
  <si>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</si>
  <si>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</si>
  <si>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</si>
  <si>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</si>
  <si>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</si>
  <si>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</si>
  <si>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</si>
  <si>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</si>
  <si>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</si>
  <si>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</si>
  <si>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</si>
  <si>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</si>
  <si>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</si>
  <si>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</si>
  <si>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</si>
  <si>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</si>
  <si>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</si>
  <si>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</si>
  <si>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</si>
  <si>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</si>
  <si>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</si>
  <si>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</si>
  <si>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</si>
  <si>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</si>
  <si>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</si>
  <si>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</si>
  <si>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</si>
  <si>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</si>
  <si>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</si>
  <si>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</si>
  <si>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</si>
  <si>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</si>
  <si>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</si>
  <si>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</si>
  <si>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</si>
  <si>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</si>
  <si>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</si>
  <si>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</si>
  <si>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</si>
  <si>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</si>
  <si>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</si>
  <si>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</si>
  <si>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</si>
  <si>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</si>
  <si>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</si>
  <si>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</si>
  <si>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</si>
  <si>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</si>
  <si>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</si>
  <si>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</si>
  <si>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</si>
  <si>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</si>
  <si>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</si>
  <si>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</si>
  <si>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</si>
  <si>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</si>
  <si>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</si>
  <si>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</si>
  <si>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</si>
  <si>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</si>
  <si>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</si>
  <si>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</si>
  <si>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</si>
  <si>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</si>
  <si>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</si>
  <si>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</si>
  <si>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</si>
  <si>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</si>
  <si>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</si>
  <si>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</si>
  <si>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</si>
  <si>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</si>
  <si>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</si>
  <si>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</si>
  <si>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</si>
  <si>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</si>
  <si>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</si>
  <si>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</si>
  <si>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</si>
  <si>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</si>
  <si>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</si>
  <si>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</si>
  <si>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</si>
  <si>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</si>
  <si>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</si>
  <si>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</si>
  <si>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</si>
  <si>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</si>
  <si>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</si>
  <si>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</si>
  <si>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</si>
  <si>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</si>
  <si>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</si>
  <si>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</si>
  <si>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</si>
  <si>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</si>
  <si>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</si>
  <si>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</si>
  <si>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</si>
  <si>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</si>
  <si>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</si>
  <si>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</si>
  <si>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</si>
  <si>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</si>
  <si>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</si>
  <si>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</si>
  <si>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</si>
  <si>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</si>
  <si>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</si>
  <si>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</si>
  <si>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</si>
  <si>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</si>
  <si>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</si>
  <si>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</si>
  <si>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</si>
  <si>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</si>
  <si>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</si>
  <si>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</si>
  <si>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</si>
  <si>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</si>
  <si>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</si>
  <si>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</si>
  <si>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</si>
  <si>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</si>
  <si>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</si>
  <si>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</si>
  <si>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</si>
  <si>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</si>
  <si>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</si>
  <si>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</si>
  <si>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</si>
  <si>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</si>
  <si>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</si>
  <si>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</si>
  <si>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</si>
  <si>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</si>
  <si>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</si>
  <si>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</si>
  <si>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</si>
  <si>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</si>
  <si>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</si>
  <si>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</si>
  <si>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</si>
  <si>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</si>
  <si>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</si>
  <si>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</si>
  <si>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</si>
  <si>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</si>
  <si>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</si>
  <si>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</si>
  <si>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</si>
  <si>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</si>
  <si>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</si>
  <si>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</si>
  <si>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</si>
  <si>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</si>
  <si>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</si>
  <si>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</si>
  <si>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</si>
  <si>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</si>
  <si>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</si>
  <si>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</si>
  <si>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</si>
  <si>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</si>
  <si>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</si>
  <si>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</si>
  <si>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</si>
  <si>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</si>
  <si>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</si>
  <si>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</si>
  <si>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</si>
  <si>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</si>
  <si>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</si>
  <si>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</si>
  <si>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</si>
  <si>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</si>
  <si>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</si>
  <si>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</si>
  <si>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</si>
  <si>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</si>
  <si>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</si>
  <si>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</si>
  <si>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</si>
  <si>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</si>
  <si>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</si>
  <si>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</si>
  <si>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</si>
  <si>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</si>
  <si>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</si>
  <si>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</si>
  <si>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</si>
  <si>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</si>
  <si>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</si>
  <si>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</si>
  <si>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</si>
  <si>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</si>
  <si>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</si>
  <si>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</si>
  <si>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</si>
  <si>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</si>
  <si>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</si>
  <si>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</si>
  <si>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</si>
  <si>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</si>
  <si>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</si>
  <si>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</si>
  <si>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</si>
  <si>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</si>
  <si>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</si>
  <si>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</si>
  <si>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</si>
  <si>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</si>
  <si>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</si>
  <si>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</si>
  <si>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</si>
  <si>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</si>
  <si>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</si>
  <si>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</si>
  <si>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</si>
  <si>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</si>
  <si>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</si>
  <si>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</si>
  <si>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</si>
  <si>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</si>
  <si>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</si>
  <si>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</si>
  <si>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</si>
  <si>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</si>
  <si>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</si>
  <si>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</si>
  <si>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</si>
  <si>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</si>
  <si>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</si>
  <si>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</si>
  <si>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</si>
  <si>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</si>
  <si>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</si>
  <si>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</si>
  <si>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</si>
  <si>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</si>
  <si>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</si>
  <si>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</si>
  <si>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</si>
  <si>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</si>
  <si>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</si>
  <si>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</si>
  <si>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</si>
  <si>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</si>
  <si>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</si>
  <si>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</si>
  <si>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</si>
  <si>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</si>
  <si>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</si>
  <si>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</si>
  <si>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</si>
  <si>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</si>
  <si>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</si>
  <si>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</si>
  <si>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</si>
  <si>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</si>
  <si>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</si>
  <si>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</si>
  <si>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</si>
  <si>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</si>
  <si>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</si>
  <si>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</si>
  <si>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</si>
  <si>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</si>
  <si>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</si>
  <si>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</si>
  <si>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</si>
  <si>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</si>
  <si>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</si>
  <si>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</si>
  <si>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</si>
  <si>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</si>
  <si>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</si>
  <si>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</si>
  <si>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</si>
  <si>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</si>
  <si>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</si>
  <si>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</si>
  <si>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</si>
  <si>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</si>
  <si>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</si>
  <si>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</si>
  <si>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</si>
  <si>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</si>
  <si>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</si>
  <si>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</si>
  <si>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</si>
  <si>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</si>
  <si>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</si>
  <si>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</si>
  <si>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</si>
  <si>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</si>
  <si>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</si>
  <si>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</si>
  <si>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</si>
  <si>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</si>
  <si>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</si>
  <si>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</si>
  <si>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</si>
  <si>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</si>
  <si>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</si>
  <si>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</si>
  <si>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</si>
  <si>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</si>
  <si>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</si>
  <si>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</si>
  <si>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</si>
  <si>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</si>
  <si>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</si>
  <si>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</si>
  <si>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</si>
  <si>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</si>
  <si>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</si>
  <si>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</si>
  <si>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</si>
  <si>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</si>
  <si>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</si>
  <si>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</si>
  <si>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</si>
  <si>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</si>
  <si>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</si>
  <si>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</si>
  <si>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</si>
  <si>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</si>
  <si>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</si>
  <si>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</si>
  <si>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</si>
  <si>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</si>
  <si>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</si>
  <si>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</si>
  <si>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</si>
  <si>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</si>
  <si>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</si>
  <si>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</si>
  <si>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</si>
  <si>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</si>
  <si>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</si>
  <si>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</si>
  <si>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</si>
  <si>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</si>
  <si>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</si>
  <si>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</si>
  <si>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</si>
  <si>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</si>
  <si>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</si>
  <si>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</si>
  <si>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</si>
  <si>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</si>
  <si>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</si>
  <si>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</si>
  <si>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</si>
  <si>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</si>
  <si>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</si>
  <si>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</si>
  <si>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</si>
  <si>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</si>
  <si>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</si>
  <si>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</si>
  <si>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</si>
  <si>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</si>
  <si>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</si>
  <si>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</si>
  <si>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</si>
  <si>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</si>
  <si>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</si>
  <si>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</si>
  <si>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</si>
  <si>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</si>
  <si>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</si>
  <si>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</si>
  <si>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</si>
  <si>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</si>
  <si>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</si>
  <si>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</si>
  <si>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</si>
  <si>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</si>
  <si>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</si>
  <si>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</si>
  <si>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</si>
  <si>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</si>
  <si>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</si>
  <si>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</si>
  <si>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</si>
  <si>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</si>
  <si>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</si>
  <si>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</si>
  <si>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</si>
  <si>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</si>
  <si>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</si>
  <si>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</si>
  <si>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</si>
  <si>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</si>
  <si>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</si>
  <si>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</si>
  <si>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</si>
  <si>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</si>
  <si>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</si>
  <si>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</si>
  <si>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</si>
  <si>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</si>
  <si>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</si>
  <si>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</si>
  <si>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</si>
  <si>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</si>
  <si>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</si>
  <si>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</si>
  <si>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</si>
  <si>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</si>
  <si>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</si>
  <si>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</si>
  <si>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</si>
  <si>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</si>
  <si>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</si>
  <si>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</si>
  <si>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</si>
  <si>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</si>
  <si>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</si>
  <si>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</si>
  <si>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</si>
  <si>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</si>
  <si>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</si>
  <si>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</si>
  <si>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</si>
  <si>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</si>
  <si>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</si>
  <si>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</si>
  <si>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</si>
  <si>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</si>
  <si>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</si>
  <si>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</si>
  <si>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</si>
  <si>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</si>
  <si>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</si>
  <si>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</si>
  <si>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</si>
  <si>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</si>
  <si>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</si>
  <si>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</si>
  <si>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</si>
  <si>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</si>
  <si>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</si>
  <si>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</si>
  <si>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</si>
  <si>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</si>
  <si>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</si>
  <si>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</si>
  <si>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</si>
  <si>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</si>
  <si>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</si>
  <si>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</si>
  <si>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</si>
  <si>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</si>
  <si>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</si>
  <si>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</si>
  <si>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</si>
  <si>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</si>
  <si>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</si>
  <si>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</si>
  <si>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</si>
  <si>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</si>
  <si>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</si>
  <si>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</si>
  <si>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</si>
  <si>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</si>
  <si>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</si>
  <si>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</si>
  <si>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</si>
  <si>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</si>
  <si>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</si>
  <si>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</si>
  <si>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</si>
  <si>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</si>
  <si>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</si>
  <si>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</si>
  <si>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</si>
  <si>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</si>
  <si>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</si>
  <si>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</si>
  <si>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</si>
  <si>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</si>
  <si>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</si>
  <si>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</si>
  <si>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</si>
  <si>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</si>
  <si>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</si>
  <si>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</si>
  <si>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</si>
  <si>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</si>
  <si>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</si>
  <si>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</si>
  <si>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</si>
  <si>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</si>
  <si>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</si>
  <si>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</si>
  <si>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</si>
  <si>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</si>
  <si>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</si>
  <si>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</si>
  <si>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</si>
  <si>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</si>
  <si>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</si>
  <si>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</si>
  <si>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</si>
  <si>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</si>
  <si>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</si>
  <si>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</si>
  <si>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</si>
  <si>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</si>
  <si>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</si>
  <si>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</si>
  <si>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</si>
  <si>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</si>
  <si>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</si>
  <si>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</si>
  <si>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</si>
  <si>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</si>
  <si>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</si>
  <si>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</si>
  <si>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</si>
  <si>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</si>
  <si>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</si>
  <si>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</si>
  <si>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</si>
  <si>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</si>
  <si>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</si>
  <si>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</si>
  <si>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</si>
  <si>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</si>
  <si>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</si>
  <si>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</si>
  <si>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</si>
  <si>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</si>
  <si>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</si>
  <si>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</si>
  <si>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</si>
  <si>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</si>
  <si>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</si>
  <si>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</si>
  <si>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</si>
  <si>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</si>
  <si>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</si>
  <si>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</si>
  <si>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</si>
  <si>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</si>
  <si>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</si>
  <si>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</si>
  <si>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</si>
  <si>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</si>
  <si>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</si>
  <si>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</si>
  <si>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</si>
  <si>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</si>
  <si>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</si>
  <si>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</si>
  <si>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</si>
  <si>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</si>
  <si>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</si>
  <si>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</si>
  <si>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</si>
  <si>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</si>
  <si>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</si>
  <si>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</si>
  <si>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</si>
  <si>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</si>
  <si>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</si>
  <si>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</si>
  <si>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</si>
  <si>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</si>
  <si>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</si>
  <si>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</si>
  <si>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</si>
  <si>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</si>
  <si>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</si>
  <si>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</si>
  <si>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</si>
  <si>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</si>
  <si>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</si>
  <si>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</si>
  <si>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</si>
  <si>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</si>
  <si>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</si>
  <si>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</si>
  <si>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</si>
  <si>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</si>
  <si>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</si>
  <si>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</si>
  <si>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</si>
  <si>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</si>
  <si>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</si>
  <si>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</si>
  <si>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</si>
  <si>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</si>
  <si>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</si>
  <si>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</si>
  <si>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</si>
  <si>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</si>
  <si>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</si>
  <si>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</si>
  <si>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</si>
  <si>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</si>
  <si>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</si>
  <si>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</si>
  <si>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</si>
  <si>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</si>
  <si>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</si>
  <si>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</si>
  <si>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</si>
  <si>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</si>
  <si>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</si>
  <si>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</si>
  <si>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</si>
  <si>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</si>
  <si>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</si>
  <si>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</si>
  <si>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</si>
  <si>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</si>
  <si>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</si>
  <si>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</si>
  <si>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</si>
  <si>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</si>
  <si>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</si>
  <si>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</si>
  <si>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</si>
  <si>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</si>
  <si>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</si>
  <si>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</si>
  <si>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</si>
  <si>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</si>
  <si>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</si>
  <si>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</si>
  <si>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</si>
  <si>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</si>
  <si>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</si>
  <si>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</si>
  <si>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</si>
  <si>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</si>
  <si>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</si>
  <si>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</si>
  <si>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</si>
  <si>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</si>
  <si>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</si>
  <si>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</si>
  <si>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</si>
  <si>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</si>
  <si>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</si>
  <si>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</si>
  <si>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</si>
  <si>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</si>
  <si>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</si>
  <si>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</si>
  <si>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</si>
  <si>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</si>
  <si>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</si>
  <si>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</si>
  <si>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</si>
  <si>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</si>
  <si>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</si>
  <si>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</si>
  <si>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</si>
  <si>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</si>
  <si>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</si>
  <si>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</si>
  <si>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</si>
  <si>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</si>
  <si>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</si>
  <si>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</si>
  <si>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</si>
  <si>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</si>
  <si>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</si>
  <si>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</si>
  <si>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</si>
  <si>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</si>
  <si>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</si>
  <si>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</si>
  <si>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</si>
  <si>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</si>
  <si>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</si>
  <si>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</si>
  <si>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</si>
  <si>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</si>
  <si>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</si>
  <si>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</si>
  <si>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</si>
  <si>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</si>
  <si>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</si>
  <si>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</si>
  <si>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</si>
  <si>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</si>
  <si>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</si>
  <si>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</si>
  <si>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</si>
  <si>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</si>
  <si>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</si>
  <si>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</si>
  <si>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</si>
  <si>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</si>
  <si>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</si>
  <si>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</si>
  <si>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</si>
  <si>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</si>
  <si>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</si>
  <si>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</si>
  <si>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</si>
  <si>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</si>
  <si>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</si>
  <si>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</si>
  <si>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</si>
  <si>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</si>
  <si>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</si>
  <si>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</si>
  <si>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</si>
  <si>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</si>
  <si>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</si>
  <si>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</si>
  <si>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</si>
  <si>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</si>
  <si>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</si>
  <si>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</si>
  <si>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</si>
  <si>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</si>
  <si>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</si>
  <si>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</si>
  <si>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</si>
  <si>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</si>
  <si>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</si>
  <si>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</si>
  <si>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</si>
  <si>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</si>
  <si>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</si>
  <si>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</si>
  <si>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</si>
  <si>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</si>
  <si>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</si>
  <si>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</si>
  <si>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</si>
  <si>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</si>
  <si>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</si>
  <si>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</si>
  <si>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</si>
  <si>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</si>
  <si>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</si>
  <si>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</si>
  <si>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</si>
  <si>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</si>
  <si>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</si>
  <si>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</si>
  <si>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</si>
  <si>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</si>
  <si>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</si>
  <si>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</si>
  <si>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</si>
  <si>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</si>
  <si>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</si>
  <si>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</si>
  <si>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</si>
  <si>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</si>
  <si>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</si>
  <si>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</si>
  <si>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</si>
  <si>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</si>
  <si>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</si>
  <si>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</si>
  <si>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</si>
  <si>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</si>
  <si>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</si>
  <si>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</si>
  <si>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</si>
  <si>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</si>
  <si>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</si>
  <si>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</si>
  <si>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</si>
  <si>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</si>
  <si>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</si>
  <si>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</si>
  <si>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</si>
  <si>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</si>
  <si>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</si>
  <si>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</si>
  <si>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</si>
  <si>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</si>
  <si>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</si>
  <si>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</si>
  <si>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</si>
  <si>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</si>
  <si>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</si>
  <si>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</si>
  <si>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</si>
  <si>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</si>
  <si>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</si>
  <si>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</si>
  <si>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</si>
  <si>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</si>
  <si>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</si>
  <si>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</si>
  <si>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</si>
  <si>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</si>
  <si>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</si>
  <si>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</si>
  <si>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</si>
  <si>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</si>
  <si>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</si>
  <si>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</si>
  <si>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</si>
  <si>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</si>
  <si>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</si>
  <si>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</si>
  <si>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</si>
  <si>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</si>
  <si>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</si>
  <si>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</si>
  <si>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</si>
  <si>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</si>
  <si>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</si>
  <si>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</si>
  <si>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</si>
  <si>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</si>
  <si>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</si>
  <si>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</si>
  <si>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</si>
  <si>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</si>
  <si>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</si>
  <si>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</si>
  <si>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</si>
  <si>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</si>
  <si>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</si>
  <si>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</si>
  <si>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</si>
  <si>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</si>
  <si>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</si>
  <si>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</si>
  <si>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</si>
  <si>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</si>
  <si>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</si>
  <si>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</si>
  <si>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</si>
  <si>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</si>
  <si>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</si>
  <si>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</si>
  <si>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</si>
  <si>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</si>
  <si>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</si>
  <si>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</si>
  <si>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</si>
  <si>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</si>
  <si>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</si>
  <si>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</si>
  <si>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</si>
  <si>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</si>
  <si>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</si>
  <si>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</si>
  <si>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</si>
  <si>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</si>
  <si>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</si>
  <si>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</si>
  <si>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</si>
  <si>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</si>
  <si>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</si>
  <si>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</si>
  <si>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</si>
  <si>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</si>
  <si>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</si>
  <si>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</si>
  <si>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</si>
  <si>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</si>
  <si>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</si>
  <si>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</si>
  <si>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</si>
  <si>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</si>
  <si>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</si>
  <si>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</si>
  <si>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</si>
  <si>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</si>
  <si>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</si>
  <si>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</si>
  <si>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</si>
  <si>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</si>
  <si>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</si>
  <si>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</si>
  <si>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</si>
  <si>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</si>
  <si>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</si>
  <si>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</si>
  <si>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</si>
  <si>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</si>
  <si>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</si>
  <si>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</si>
  <si>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</si>
  <si>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</si>
  <si>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</si>
  <si>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</si>
  <si>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</si>
  <si>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</si>
  <si>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</si>
  <si>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</si>
  <si>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</si>
  <si>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</si>
  <si>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</si>
  <si>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</si>
  <si>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</si>
  <si>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</si>
  <si>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</si>
  <si>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</si>
  <si>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</si>
  <si>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</si>
  <si>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</si>
  <si>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</si>
  <si>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</si>
  <si>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</si>
  <si>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</si>
  <si>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</si>
  <si>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</si>
  <si>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</si>
  <si>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</si>
  <si>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</si>
  <si>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</si>
  <si>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</si>
  <si>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</si>
  <si>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</si>
  <si>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</si>
  <si>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</si>
  <si>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</si>
  <si>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</si>
  <si>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</si>
  <si>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</si>
  <si>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</si>
  <si>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</si>
  <si>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</si>
  <si>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</si>
  <si>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</si>
  <si>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</si>
  <si>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</si>
  <si>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</si>
  <si>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</si>
  <si>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</si>
  <si>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</si>
  <si>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</si>
  <si>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</si>
  <si>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</si>
  <si>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</si>
  <si>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</si>
  <si>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</si>
  <si>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</si>
  <si>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</si>
  <si>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</si>
  <si>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</si>
  <si>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</si>
  <si>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</si>
  <si>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</si>
  <si>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</si>
  <si>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</si>
  <si>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</si>
  <si>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</si>
  <si>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</si>
  <si>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</si>
  <si>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</si>
  <si>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</si>
  <si>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</si>
  <si>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</si>
  <si>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</si>
  <si>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</si>
  <si>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</si>
  <si>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</si>
  <si>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</si>
  <si>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</si>
  <si>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</si>
  <si>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</si>
  <si>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</si>
  <si>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</si>
  <si>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</si>
  <si>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</si>
  <si>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</si>
  <si>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</si>
  <si>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</si>
  <si>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</si>
  <si>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</si>
  <si>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</si>
  <si>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</si>
  <si>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</si>
  <si>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</si>
  <si>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</si>
  <si>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</si>
  <si>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</si>
  <si>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</si>
  <si>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</si>
  <si>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</si>
  <si>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</si>
  <si>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</si>
  <si>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</si>
  <si>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</si>
  <si>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</si>
  <si>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</si>
  <si>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</si>
  <si>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</si>
  <si>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</si>
  <si>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</si>
  <si>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</si>
  <si>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</si>
  <si>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</si>
  <si>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</si>
  <si>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</si>
  <si>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</si>
  <si>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</si>
  <si>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</si>
  <si>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</si>
  <si>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</si>
  <si>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</si>
  <si>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</si>
  <si>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</si>
  <si>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</si>
  <si>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</si>
  <si>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</si>
  <si>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</si>
  <si>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</si>
  <si>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</si>
  <si>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</si>
  <si>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</si>
  <si>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</si>
  <si>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</si>
  <si>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</si>
  <si>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</si>
  <si>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</si>
  <si>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</si>
  <si>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</si>
  <si>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</si>
  <si>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</si>
  <si>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</si>
  <si>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</si>
  <si>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</si>
  <si>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</si>
  <si>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</si>
  <si>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</si>
  <si>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</si>
  <si>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</si>
  <si>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</si>
  <si>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</si>
  <si>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</si>
  <si>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</si>
  <si>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</si>
  <si>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</si>
  <si>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</si>
  <si>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</si>
  <si>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</si>
  <si>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</si>
  <si>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</si>
  <si>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</si>
  <si>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</si>
  <si>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</si>
  <si>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</si>
  <si>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</si>
  <si>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</si>
  <si>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</si>
  <si>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</si>
  <si>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</si>
  <si>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</si>
  <si>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</si>
  <si>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</si>
  <si>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</si>
  <si>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</si>
  <si>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</si>
  <si>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</si>
  <si>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</si>
  <si>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</si>
  <si>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</si>
  <si>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</si>
  <si>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</si>
  <si>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</si>
  <si>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</si>
  <si>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</si>
  <si>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</si>
  <si>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</si>
  <si>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</si>
  <si>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</si>
  <si>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</si>
  <si>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</si>
  <si>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</si>
  <si>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</si>
  <si>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</si>
  <si>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</si>
  <si>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</si>
  <si>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</si>
  <si>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</si>
  <si>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</si>
  <si>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</si>
  <si>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</si>
  <si>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</si>
  <si>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</si>
  <si>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</si>
  <si>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</si>
  <si>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</si>
  <si>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</si>
  <si>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</si>
  <si>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</si>
  <si>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</si>
  <si>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</si>
  <si>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</si>
  <si>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</si>
  <si>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</si>
  <si>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</si>
  <si>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</si>
  <si>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</si>
  <si>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</si>
  <si>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</si>
  <si>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</si>
  <si>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</si>
  <si>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</si>
  <si>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</si>
  <si>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</si>
  <si>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</si>
  <si>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</si>
  <si>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</si>
  <si>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</si>
  <si>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</si>
  <si>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</si>
  <si>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</si>
  <si>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</si>
  <si>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</si>
  <si>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</si>
  <si>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</si>
  <si>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</si>
  <si>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</si>
  <si>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</si>
  <si>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</si>
  <si>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</si>
  <si>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</si>
  <si>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</si>
  <si>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</si>
  <si>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</si>
  <si>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</si>
  <si>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</si>
  <si>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</si>
  <si>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</si>
  <si>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</si>
  <si>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</si>
  <si>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</si>
  <si>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</si>
  <si>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</si>
  <si>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</si>
  <si>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</si>
  <si>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</si>
  <si>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</si>
  <si>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</si>
  <si>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</si>
  <si>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</si>
  <si>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</si>
  <si>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</si>
  <si>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</si>
  <si>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</si>
  <si>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</si>
  <si>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</si>
  <si>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</si>
  <si>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</si>
  <si>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</si>
  <si>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</si>
  <si>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</si>
  <si>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</si>
  <si>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</si>
  <si>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</si>
  <si>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</si>
  <si>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</si>
  <si>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</si>
  <si>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</si>
  <si>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</si>
  <si>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</si>
  <si>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</si>
  <si>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</si>
  <si>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</si>
  <si>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</si>
  <si>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</si>
  <si>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</si>
  <si>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</si>
  <si>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</si>
  <si>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</si>
  <si>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</si>
  <si>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</si>
  <si>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</si>
  <si>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</si>
  <si>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</si>
  <si>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</si>
  <si>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</si>
  <si>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</si>
  <si>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</si>
  <si>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</si>
  <si>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</si>
  <si>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</si>
  <si>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</si>
  <si>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</si>
  <si>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</si>
  <si>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</si>
  <si>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</si>
  <si>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</si>
  <si>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</si>
  <si>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</si>
  <si>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</si>
  <si>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</si>
  <si>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</si>
  <si>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</si>
  <si>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</si>
  <si>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</si>
  <si>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</si>
  <si>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</si>
  <si>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</si>
  <si>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</si>
  <si>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</si>
  <si>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</si>
  <si>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</si>
  <si>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</si>
  <si>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</si>
  <si>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</si>
  <si>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</si>
  <si>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</si>
  <si>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</si>
  <si>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</si>
  <si>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</si>
  <si>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</si>
  <si>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</si>
  <si>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</si>
  <si>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</si>
  <si>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</si>
  <si>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</si>
  <si>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</si>
  <si>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</si>
  <si>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</si>
  <si>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</si>
  <si>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</si>
  <si>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</si>
  <si>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</si>
  <si>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</si>
  <si>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</si>
  <si>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</si>
  <si>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</si>
  <si>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</si>
  <si>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</si>
  <si>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</si>
  <si>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</si>
  <si>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</si>
  <si>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</si>
  <si>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</si>
  <si>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</si>
  <si>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</si>
  <si>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</si>
  <si>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</si>
  <si>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</si>
  <si>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</si>
  <si>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</si>
  <si>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</si>
  <si>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</si>
  <si>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</si>
  <si>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</si>
  <si>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</si>
  <si>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</si>
  <si>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</si>
  <si>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</si>
  <si>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</si>
  <si>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</si>
  <si>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</si>
  <si>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</si>
  <si>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</si>
  <si>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</si>
  <si>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</si>
  <si>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</si>
  <si>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</si>
  <si>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</si>
  <si>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</si>
  <si>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</si>
  <si>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</si>
  <si>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</si>
  <si>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</si>
  <si>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</si>
  <si>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</si>
  <si>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</si>
  <si>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</si>
  <si>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</si>
  <si>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</si>
  <si>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</si>
  <si>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</si>
  <si>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</si>
  <si>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</si>
  <si>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</si>
  <si>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</si>
  <si>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</si>
  <si>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</si>
  <si>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</si>
  <si>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</si>
  <si>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</si>
  <si>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</si>
  <si>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</si>
  <si>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</si>
  <si>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</si>
  <si>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</si>
  <si>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</si>
  <si>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</si>
  <si>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</si>
  <si>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</si>
  <si>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</si>
  <si>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</si>
  <si>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</si>
  <si>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</si>
  <si>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</si>
  <si>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</si>
  <si>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</si>
  <si>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</si>
  <si>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</si>
  <si>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</si>
  <si>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</si>
  <si>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</si>
  <si>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</si>
  <si>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</si>
  <si>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</si>
  <si>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</si>
  <si>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</si>
  <si>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</si>
  <si>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</si>
  <si>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</si>
  <si>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</si>
  <si>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</si>
  <si>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</si>
  <si>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</si>
  <si>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</si>
  <si>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</si>
  <si>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</si>
  <si>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</si>
  <si>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</si>
  <si>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</si>
  <si>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</si>
  <si>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</si>
  <si>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</si>
  <si>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</si>
  <si>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</si>
  <si>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</si>
  <si>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</si>
  <si>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</si>
  <si>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</si>
  <si>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</si>
  <si>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</si>
  <si>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</si>
  <si>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</si>
  <si>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</si>
  <si>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</si>
  <si>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</si>
  <si>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</si>
  <si>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</si>
  <si>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</si>
  <si>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</si>
  <si>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</si>
  <si>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</si>
  <si>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</si>
  <si>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</si>
  <si>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</si>
  <si>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</si>
  <si>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</si>
  <si>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</si>
  <si>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</si>
  <si>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</si>
  <si>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</si>
  <si>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</si>
  <si>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</si>
  <si>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</si>
  <si>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</si>
  <si>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</si>
  <si>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</si>
  <si>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</si>
  <si>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</si>
  <si>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</si>
  <si>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</si>
  <si>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</si>
  <si>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</si>
  <si>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</si>
  <si>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</si>
  <si>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</si>
  <si>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</si>
  <si>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</si>
  <si>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</si>
  <si>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</si>
  <si>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</si>
  <si>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</si>
  <si>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</si>
  <si>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</si>
  <si>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</si>
  <si>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</si>
  <si>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</si>
  <si>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</si>
  <si>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</si>
  <si>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</si>
  <si>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</si>
  <si>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</si>
  <si>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</si>
  <si>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</si>
  <si>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</si>
  <si>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</si>
  <si>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</si>
  <si>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</si>
  <si>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</si>
  <si>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</si>
  <si>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</si>
  <si>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</si>
  <si>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</si>
  <si>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</si>
  <si>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</si>
  <si>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</si>
  <si>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</si>
  <si>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</si>
  <si>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</si>
  <si>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</si>
  <si>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</si>
  <si>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</si>
  <si>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</si>
  <si>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</si>
  <si>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</si>
  <si>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</si>
  <si>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</si>
  <si>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</si>
  <si>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</si>
  <si>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</si>
  <si>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</si>
  <si>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</si>
  <si>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</si>
  <si>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</si>
  <si>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</si>
  <si>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</si>
  <si>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</si>
  <si>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</si>
  <si>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</si>
  <si>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</si>
  <si>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</si>
  <si>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</si>
  <si>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</si>
  <si>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</si>
  <si>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</si>
  <si>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</si>
  <si>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</si>
  <si>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</si>
  <si>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</si>
  <si>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</si>
  <si>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</si>
  <si>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</si>
  <si>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</si>
  <si>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</si>
  <si>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</si>
  <si>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</si>
  <si>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</si>
  <si>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</si>
  <si>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</si>
  <si>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</si>
  <si>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</si>
  <si>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</si>
  <si>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</si>
  <si>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</si>
  <si>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</si>
  <si>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</si>
  <si>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</si>
  <si>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</si>
  <si>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</si>
  <si>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</si>
  <si>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</si>
  <si>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</si>
  <si>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</si>
  <si>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</si>
  <si>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</si>
  <si>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</si>
  <si>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</si>
  <si>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</si>
  <si>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</si>
  <si>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</si>
  <si>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</si>
  <si>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</si>
  <si>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</si>
  <si>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</si>
  <si>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</si>
  <si>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</si>
  <si>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</si>
  <si>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</si>
  <si>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</si>
  <si>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</si>
  <si>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</si>
  <si>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</si>
  <si>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</si>
  <si>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</si>
  <si>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</si>
  <si>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</si>
  <si>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</si>
  <si>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</si>
  <si>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</si>
  <si>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</si>
  <si>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</si>
  <si>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</si>
  <si>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</si>
  <si>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</si>
  <si>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</si>
  <si>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</si>
  <si>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</si>
  <si>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</si>
  <si>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</si>
  <si>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</si>
  <si>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</si>
  <si>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</si>
  <si>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</si>
  <si>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</si>
  <si>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</si>
  <si>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</si>
  <si>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</si>
  <si>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</si>
  <si>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</si>
  <si>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</si>
  <si>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</si>
  <si>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</si>
  <si>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</si>
  <si>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</si>
  <si>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</si>
  <si>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</si>
  <si>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</si>
  <si>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</si>
  <si>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</si>
  <si>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</si>
  <si>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</si>
  <si>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</si>
  <si>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</si>
  <si>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</si>
  <si>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</si>
  <si>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</si>
  <si>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</si>
  <si>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</si>
  <si>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</si>
  <si>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</si>
  <si>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</si>
  <si>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</si>
  <si>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</si>
  <si>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</si>
  <si>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</si>
  <si>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</si>
  <si>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</si>
  <si>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</si>
  <si>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</si>
  <si>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</si>
  <si>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</si>
  <si>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</si>
  <si>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</si>
  <si>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</si>
  <si>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</si>
  <si>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</si>
  <si>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</si>
  <si>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</si>
  <si>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</si>
  <si>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</si>
  <si>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</si>
  <si>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</si>
  <si>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</si>
  <si>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</si>
  <si>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</si>
  <si>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</si>
  <si>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</si>
  <si>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</si>
  <si>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</si>
  <si>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</si>
  <si>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</si>
  <si>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</si>
  <si>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</si>
  <si>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</si>
  <si>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</si>
  <si>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</si>
  <si>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</si>
  <si>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</si>
  <si>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</si>
  <si>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</si>
  <si>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</si>
  <si>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</si>
  <si>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</si>
  <si>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</si>
  <si>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</si>
  <si>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</si>
  <si>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</si>
  <si>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</si>
  <si>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</si>
  <si>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</si>
  <si>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</si>
  <si>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</si>
  <si>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</si>
  <si>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</si>
  <si>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</si>
  <si>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</si>
  <si>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</si>
  <si>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</si>
  <si>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</si>
  <si>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</si>
  <si>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</si>
  <si>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</si>
  <si>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</si>
  <si>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</si>
  <si>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</si>
  <si>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</si>
  <si>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</si>
  <si>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</si>
  <si>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</si>
  <si>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</si>
  <si>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</si>
  <si>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</si>
  <si>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</si>
  <si>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</si>
  <si>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</si>
  <si>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</si>
  <si>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</si>
  <si>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</si>
  <si>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</si>
  <si>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</si>
  <si>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</si>
  <si>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</si>
  <si>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</si>
  <si>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</si>
  <si>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</si>
  <si>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</si>
  <si>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</si>
  <si>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</si>
  <si>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</si>
  <si>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</si>
  <si>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</si>
  <si>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</si>
  <si>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</si>
  <si>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</si>
  <si>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</si>
  <si>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</si>
  <si>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</si>
  <si>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</si>
  <si>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</si>
  <si>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</si>
  <si>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</si>
  <si>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</si>
  <si>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</si>
  <si>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</si>
  <si>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</si>
  <si>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</si>
  <si>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</si>
  <si>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</si>
  <si>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</si>
  <si>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</si>
  <si>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</si>
  <si>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</si>
  <si>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</si>
  <si>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</si>
  <si>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</si>
  <si>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</si>
  <si>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</si>
  <si>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</si>
  <si>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</si>
  <si>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</si>
  <si>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</si>
  <si>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</si>
  <si>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</si>
  <si>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</si>
  <si>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</si>
  <si>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</si>
  <si>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</si>
  <si>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</si>
  <si>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</si>
  <si>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</si>
  <si>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</si>
  <si>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</si>
  <si>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</si>
  <si>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</si>
  <si>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</si>
  <si>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</si>
  <si>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</si>
  <si>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</si>
  <si>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</si>
  <si>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</si>
  <si>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</si>
  <si>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</si>
  <si>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</si>
  <si>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</si>
  <si>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</si>
  <si>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</si>
  <si>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</si>
  <si>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</si>
  <si>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</si>
  <si>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</si>
  <si>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</si>
  <si>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</si>
  <si>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</si>
  <si>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</si>
  <si>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</si>
  <si>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</si>
  <si>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</si>
  <si>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</si>
  <si>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</si>
  <si>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</si>
  <si>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</si>
  <si>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</si>
  <si>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</si>
  <si>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</si>
  <si>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</si>
  <si>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</si>
  <si>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</si>
  <si>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</si>
  <si>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</si>
  <si>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</si>
  <si>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</si>
  <si>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</si>
  <si>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</si>
  <si>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</si>
  <si>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</si>
  <si>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</si>
  <si>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</si>
  <si>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</si>
  <si>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</si>
  <si>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</si>
  <si>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</si>
  <si>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</si>
  <si>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</si>
  <si>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</si>
  <si>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</si>
  <si>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</si>
  <si>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</si>
  <si>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</si>
  <si>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</si>
  <si>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</si>
  <si>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</si>
  <si>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</si>
  <si>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</si>
  <si>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</si>
  <si>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</si>
  <si>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</si>
  <si>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</si>
  <si>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</si>
  <si>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</si>
  <si>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</si>
  <si>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</si>
  <si>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</si>
  <si>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</si>
  <si>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</si>
  <si>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</si>
  <si>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</si>
  <si>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</si>
  <si>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</si>
  <si>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</si>
  <si>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</si>
  <si>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</si>
  <si>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</si>
  <si>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</si>
  <si>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</si>
  <si>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</si>
  <si>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</si>
  <si>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</si>
  <si>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</si>
  <si>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</si>
  <si>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</si>
  <si>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</si>
  <si>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</si>
  <si>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</si>
  <si>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</si>
  <si>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</si>
  <si>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</si>
  <si>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</si>
  <si>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</si>
  <si>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</si>
  <si>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</si>
  <si>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</si>
  <si>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</si>
  <si>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</si>
  <si>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</si>
  <si>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</si>
  <si>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</si>
  <si>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</si>
  <si>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</si>
  <si>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</si>
  <si>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</si>
  <si>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</si>
  <si>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</si>
  <si>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</si>
  <si>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</si>
  <si>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</si>
  <si>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</si>
  <si>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</si>
  <si>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</si>
  <si>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</si>
  <si>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</si>
  <si>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</si>
  <si>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</si>
  <si>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</si>
  <si>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</si>
  <si>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</si>
  <si>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</si>
  <si>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</si>
  <si>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</si>
  <si>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</si>
  <si>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</si>
  <si>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</si>
  <si>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</si>
  <si>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</si>
  <si>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</si>
  <si>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</si>
  <si>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</si>
  <si>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</si>
  <si>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</si>
  <si>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</si>
  <si>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</si>
  <si>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</si>
  <si>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</si>
  <si>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</si>
  <si>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</si>
  <si>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</si>
  <si>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</si>
  <si>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</si>
  <si>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</si>
  <si>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</si>
  <si>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</si>
  <si>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</si>
  <si>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</si>
  <si>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</si>
  <si>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</si>
  <si>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</si>
  <si>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</si>
  <si>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</si>
  <si>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</si>
  <si>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</si>
  <si>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</si>
  <si>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</si>
  <si>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</si>
  <si>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</si>
  <si>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</si>
  <si>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</si>
  <si>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</si>
  <si>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</si>
  <si>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</si>
  <si>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</si>
  <si>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</si>
  <si>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</si>
  <si>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</si>
  <si>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</si>
  <si>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</si>
  <si>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</si>
  <si>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</si>
  <si>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</si>
  <si>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</si>
  <si>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</si>
  <si>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</si>
  <si>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</si>
  <si>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</si>
  <si>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</si>
  <si>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</si>
  <si>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</si>
  <si>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</si>
  <si>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</si>
  <si>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</si>
  <si>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</si>
  <si>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</si>
  <si>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</si>
  <si>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</si>
  <si>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</si>
  <si>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</si>
  <si>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</si>
  <si>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</si>
  <si>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</si>
  <si>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</si>
  <si>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</si>
  <si>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</si>
  <si>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</si>
  <si>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</si>
  <si>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</si>
  <si>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</si>
  <si>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</si>
  <si>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</si>
  <si>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</si>
  <si>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</si>
  <si>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</si>
  <si>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</si>
  <si>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</si>
  <si>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</si>
  <si>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</si>
  <si>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</si>
  <si>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</si>
  <si>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</si>
  <si>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</si>
  <si>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</si>
  <si>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</si>
  <si>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</si>
  <si>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</si>
  <si>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</si>
  <si>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</si>
  <si>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</si>
  <si>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</si>
  <si>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</si>
  <si>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</si>
  <si>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</si>
  <si>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</si>
  <si>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</si>
  <si>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</si>
  <si>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</si>
  <si>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</si>
  <si>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</si>
  <si>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</si>
  <si>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</si>
  <si>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</si>
  <si>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</si>
  <si>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</si>
  <si>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</si>
  <si>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</si>
  <si>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</si>
  <si>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</si>
  <si>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</si>
  <si>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</si>
  <si>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</si>
  <si>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</si>
  <si>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</si>
  <si>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</si>
  <si>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</si>
  <si>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</si>
  <si>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</si>
  <si>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</si>
  <si>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</si>
  <si>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</si>
  <si>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</si>
  <si>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</si>
  <si>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</si>
  <si>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</si>
  <si>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</si>
  <si>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</si>
  <si>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</si>
  <si>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</si>
  <si>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</si>
  <si>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</si>
  <si>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</si>
  <si>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</si>
  <si>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</si>
  <si>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</si>
  <si>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</si>
  <si>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</si>
  <si>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</si>
  <si>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</si>
  <si>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</si>
  <si>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</si>
  <si>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</si>
  <si>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</si>
  <si>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</si>
  <si>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</si>
  <si>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</si>
  <si>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</si>
  <si>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</si>
  <si>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</si>
  <si>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</si>
  <si>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</si>
  <si>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</si>
  <si>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</si>
  <si>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</si>
  <si>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</si>
  <si>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</si>
  <si>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</si>
  <si>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</si>
  <si>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</si>
  <si>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</si>
  <si>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</si>
  <si>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</si>
  <si>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</si>
  <si>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</si>
  <si>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</si>
  <si>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</si>
  <si>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</si>
  <si>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</si>
  <si>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</si>
  <si>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</si>
  <si>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</si>
  <si>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</si>
  <si>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</si>
  <si>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</si>
  <si>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</si>
  <si>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</si>
  <si>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</si>
  <si>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</si>
  <si>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</si>
  <si>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</si>
  <si>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</si>
  <si>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</si>
  <si>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</si>
  <si>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</si>
  <si>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</si>
  <si>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</si>
  <si>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</si>
  <si>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</si>
  <si>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</si>
  <si>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</si>
  <si>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</si>
  <si>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</si>
  <si>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</si>
  <si>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</si>
  <si>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</si>
  <si>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</si>
  <si>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</si>
  <si>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</si>
  <si>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</si>
  <si>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</si>
  <si>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</si>
  <si>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</si>
  <si>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</si>
  <si>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</si>
  <si>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</si>
  <si>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</si>
  <si>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</si>
  <si>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</si>
  <si>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</si>
  <si>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</si>
  <si>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</si>
  <si>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</si>
  <si>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</si>
  <si>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</si>
  <si>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</si>
  <si>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</si>
  <si>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</si>
  <si>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</si>
  <si>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</si>
  <si>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</si>
  <si>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</si>
  <si>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</si>
  <si>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</si>
  <si>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</si>
  <si>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</si>
  <si>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</si>
  <si>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</si>
  <si>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</si>
  <si>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</si>
  <si>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</si>
  <si>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</si>
  <si>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</si>
  <si>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</si>
  <si>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</si>
  <si>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</si>
  <si>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</si>
  <si>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</si>
  <si>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</si>
  <si>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</si>
  <si>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</si>
  <si>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</si>
  <si>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</si>
  <si>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</si>
  <si>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</si>
  <si>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</si>
  <si>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</si>
  <si>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</si>
  <si>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</si>
  <si>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</si>
  <si>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</si>
  <si>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</si>
  <si>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</si>
  <si>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</si>
  <si>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</si>
  <si>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</si>
  <si>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</si>
  <si>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</si>
  <si>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</si>
  <si>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</si>
  <si>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</si>
  <si>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</si>
  <si>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</si>
  <si>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</si>
  <si>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</si>
  <si>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</si>
  <si>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</si>
  <si>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</si>
  <si>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</si>
  <si>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</si>
  <si>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</si>
  <si>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</si>
  <si>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</si>
  <si>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</si>
  <si>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</si>
  <si>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</si>
  <si>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</si>
  <si>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</si>
  <si>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</si>
  <si>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</si>
  <si>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</si>
  <si>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</si>
  <si>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</si>
  <si>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</si>
  <si>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</si>
  <si>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</si>
  <si>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</si>
  <si>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</si>
  <si>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</si>
  <si>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</si>
  <si>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</si>
  <si>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</si>
  <si>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</si>
  <si>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</si>
  <si>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</si>
  <si>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</si>
  <si>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</si>
  <si>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</si>
  <si>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</si>
  <si>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</si>
  <si>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</si>
  <si>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</si>
  <si>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</si>
  <si>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</si>
  <si>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</si>
  <si>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</si>
  <si>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</si>
  <si>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</si>
  <si>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</si>
  <si>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</si>
  <si>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</si>
  <si>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</si>
  <si>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</si>
  <si>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</si>
  <si>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</si>
  <si>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</si>
  <si>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</si>
  <si>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</si>
  <si>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</si>
  <si>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</si>
  <si>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</si>
  <si>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</si>
  <si>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</si>
  <si>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</si>
  <si>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</si>
  <si>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</si>
  <si>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</si>
  <si>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</si>
  <si>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</si>
  <si>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</si>
  <si>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</si>
  <si>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</si>
  <si>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</si>
  <si>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</si>
  <si>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</si>
  <si>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</si>
  <si>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</si>
  <si>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</si>
  <si>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</si>
  <si>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</si>
  <si>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</si>
  <si>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</si>
  <si>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</si>
  <si>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</si>
  <si>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</si>
  <si>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</si>
  <si>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</si>
  <si>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</si>
  <si>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</si>
  <si>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</si>
  <si>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</si>
  <si>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</si>
  <si>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</si>
  <si>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</si>
  <si>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</si>
  <si>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</si>
  <si>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</si>
  <si>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</si>
  <si>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</si>
  <si>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</si>
  <si>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</si>
  <si>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</si>
  <si>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</si>
  <si>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</si>
  <si>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</si>
  <si>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</si>
  <si>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</si>
  <si>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</si>
  <si>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</si>
  <si>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</si>
  <si>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</si>
  <si>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</si>
  <si>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</si>
  <si>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</si>
  <si>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</si>
  <si>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</si>
  <si>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</si>
  <si>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</si>
  <si>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</si>
  <si>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</si>
  <si>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</si>
  <si>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</si>
  <si>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</si>
  <si>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</si>
  <si>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</si>
  <si>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</si>
  <si>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</si>
  <si>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</si>
  <si>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</si>
  <si>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</si>
  <si>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</si>
  <si>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</si>
  <si>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</si>
  <si>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</si>
  <si>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</si>
  <si>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</si>
  <si>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</si>
  <si>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</si>
  <si>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</si>
  <si>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</si>
  <si>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</si>
  <si>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</si>
  <si>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</si>
  <si>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</si>
  <si>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</si>
  <si>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</si>
  <si>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</si>
  <si>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</si>
  <si>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</si>
  <si>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</si>
  <si>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</si>
  <si>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</si>
  <si>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</si>
  <si>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</si>
  <si>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</si>
  <si>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</si>
  <si>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</si>
  <si>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</si>
  <si>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</si>
  <si>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</si>
  <si>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</si>
  <si>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</si>
  <si>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</si>
  <si>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</si>
  <si>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</si>
  <si>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</si>
  <si>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</si>
  <si>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</si>
  <si>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</si>
  <si>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</si>
  <si>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</si>
  <si>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</si>
  <si>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</si>
  <si>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</si>
  <si>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</si>
  <si>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</si>
  <si>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</si>
  <si>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</si>
  <si>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</si>
  <si>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</si>
  <si>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</si>
  <si>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</si>
  <si>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</si>
  <si>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</si>
  <si>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</si>
  <si>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</si>
  <si>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</si>
  <si>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</si>
  <si>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</si>
  <si>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</si>
  <si>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</si>
  <si>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</si>
  <si>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</si>
  <si>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</si>
  <si>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</si>
  <si>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</si>
  <si>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</si>
  <si>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</si>
  <si>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</si>
  <si>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</si>
  <si>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</si>
  <si>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</si>
  <si>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</si>
  <si>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</si>
  <si>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</si>
  <si>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</si>
  <si>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</si>
  <si>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</si>
  <si>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</si>
  <si>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</si>
  <si>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</si>
  <si>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</si>
  <si>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</si>
  <si>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</si>
  <si>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</si>
  <si>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</si>
  <si>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</si>
  <si>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</si>
  <si>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</si>
  <si>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</si>
  <si>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</si>
  <si>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</si>
  <si>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</si>
  <si>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</si>
  <si>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</si>
  <si>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</si>
  <si>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</si>
  <si>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</si>
  <si>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</si>
  <si>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</si>
  <si>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</si>
  <si>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</si>
  <si>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</si>
  <si>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</si>
  <si>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</si>
  <si>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</si>
  <si>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</si>
  <si>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</si>
  <si>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</si>
  <si>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</si>
  <si>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</si>
  <si>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</si>
  <si>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</si>
  <si>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</si>
  <si>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</si>
  <si>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</si>
  <si>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</si>
  <si>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</si>
  <si>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</si>
  <si>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</si>
  <si>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</si>
  <si>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</si>
  <si>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</si>
  <si>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</si>
  <si>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</si>
  <si>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</si>
  <si>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</si>
  <si>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</si>
  <si>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</si>
  <si>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</si>
  <si>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</si>
  <si>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</si>
  <si>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</si>
  <si>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</si>
  <si>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</si>
  <si>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</si>
  <si>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</si>
  <si>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</si>
  <si>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</si>
  <si>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</si>
  <si>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</si>
  <si>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</si>
  <si>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</si>
  <si>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</si>
  <si>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</si>
  <si>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</si>
  <si>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</si>
  <si>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</si>
  <si>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</si>
  <si>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</si>
  <si>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</si>
  <si>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</si>
  <si>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</si>
  <si>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</si>
  <si>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</si>
  <si>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</si>
  <si>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</si>
  <si>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</si>
  <si>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</si>
  <si>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</si>
  <si>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</si>
  <si>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</si>
  <si>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</si>
  <si>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</si>
  <si>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</si>
  <si>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</si>
  <si>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</si>
  <si>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</si>
  <si>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</si>
  <si>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</si>
  <si>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</si>
  <si>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</si>
  <si>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</si>
  <si>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</si>
  <si>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</si>
  <si>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</si>
  <si>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</si>
  <si>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</si>
  <si>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</si>
  <si>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</si>
  <si>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</si>
  <si>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</si>
  <si>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</si>
  <si>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</si>
  <si>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</si>
  <si>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</si>
  <si>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</si>
  <si>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</si>
  <si>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</si>
  <si>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</si>
  <si>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</si>
  <si>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</si>
  <si>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</si>
  <si>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</si>
  <si>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</si>
  <si>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</si>
  <si>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</si>
  <si>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</si>
  <si>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</si>
  <si>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</si>
  <si>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</si>
  <si>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</si>
  <si>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</si>
  <si>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</si>
  <si>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</si>
  <si>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</si>
  <si>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</si>
  <si>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</si>
  <si>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</si>
  <si>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</si>
  <si>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</si>
  <si>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</si>
  <si>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</si>
  <si>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</si>
  <si>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</si>
  <si>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</si>
  <si>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</si>
  <si>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</si>
  <si>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</si>
  <si>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</si>
  <si>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</si>
  <si>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</si>
  <si>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</si>
  <si>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</si>
  <si>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</si>
  <si>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</si>
  <si>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</si>
  <si>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</si>
  <si>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</si>
  <si>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</si>
  <si>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</si>
  <si>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</si>
  <si>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</si>
  <si>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</si>
  <si>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</si>
  <si>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</si>
  <si>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</si>
  <si>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</si>
  <si>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</si>
  <si>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</si>
  <si>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</si>
  <si>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</si>
  <si>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</si>
  <si>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</si>
  <si>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</si>
  <si>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</si>
  <si>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</si>
  <si>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</si>
  <si>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</si>
  <si>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</si>
  <si>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</si>
  <si>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</si>
  <si>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</si>
  <si>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</si>
  <si>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</si>
  <si>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</si>
  <si>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</si>
  <si>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</si>
  <si>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</si>
  <si>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</si>
  <si>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</si>
  <si>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</si>
  <si>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</si>
  <si>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</si>
  <si>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</si>
  <si>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</si>
  <si>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</si>
  <si>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</si>
  <si>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</si>
  <si>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</si>
  <si>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</si>
  <si>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</si>
  <si>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</si>
  <si>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</si>
  <si>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</si>
  <si>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崔锴</t>
  </si>
  <si>
    <t>郑燚</t>
  </si>
  <si>
    <t>复印件</t>
  </si>
  <si>
    <t>居住项目</t>
  </si>
  <si>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</si>
  <si>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</si>
  <si>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</si>
  <si>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</si>
  <si>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</si>
  <si>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</si>
  <si>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</si>
  <si>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</si>
  <si>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</si>
  <si>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</si>
  <si>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</si>
  <si>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</si>
  <si>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</si>
  <si>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</si>
  <si>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</si>
  <si>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</si>
  <si>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</si>
  <si>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</si>
  <si>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</si>
  <si>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</si>
  <si>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</si>
  <si>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</si>
  <si>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</si>
  <si>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</si>
  <si>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</si>
  <si>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</si>
  <si>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</si>
  <si>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</si>
  <si>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</si>
  <si>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大兴区兴业大街（三段）</t>
    <phoneticPr fontId="6" type="noConversion"/>
  </si>
  <si>
    <t>北京隆泰嘉盛科贸有限公司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</si>
  <si>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</si>
  <si>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</si>
  <si>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兴业大街</t>
    <phoneticPr fontId="3" type="noConversion"/>
  </si>
  <si>
    <t>黄村临街商铺</t>
    <phoneticPr fontId="30" type="noConversion"/>
  </si>
  <si>
    <t>兴华大街商铺</t>
    <phoneticPr fontId="30" type="noConversion"/>
  </si>
  <si>
    <t>一般</t>
    <phoneticPr fontId="3" type="noConversion"/>
  </si>
  <si>
    <t>1-2层</t>
  </si>
  <si>
    <t>独立商业</t>
  </si>
  <si>
    <t>独立商业</t>
    <phoneticPr fontId="3" type="noConversion"/>
  </si>
  <si>
    <t>配套商业</t>
  </si>
  <si>
    <t>配套商业</t>
    <phoneticPr fontId="3" type="noConversion"/>
  </si>
  <si>
    <t>银行</t>
    <phoneticPr fontId="30" type="noConversion"/>
  </si>
  <si>
    <t>非银行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</si>
</sst>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94" fillId="7" borderId="5" xfId="0" applyFont="1" applyFill="1" applyBorder="1" applyAlignment="1" applyProtection="1">
      <alignment horizontal="center" vertical="center" wrapText="1"/>
      <protection locked="0"/>
    </xf>
    <xf numFmtId="0" fontId="94" fillId="7" borderId="37" xfId="0" applyNumberFormat="1" applyFont="1" applyFill="1" applyBorder="1" applyAlignment="1" applyProtection="1">
      <alignment horizontal="center" vertical="center" wrapText="1"/>
      <protection locked="0"/>
    </xf>
    <xf numFmtId="0" fontId="51" fillId="23" borderId="23" xfId="0" applyNumberFormat="1" applyFont="1" applyFill="1" applyBorder="1" applyAlignment="1" applyProtection="1">
      <alignment horizontal="center" vertical="center" wrapText="1"/>
      <protection locked="0"/>
    </xf>
    <xf numFmtId="0" fontId="51" fillId="23" borderId="24" xfId="0" applyNumberFormat="1" applyFont="1" applyFill="1" applyBorder="1" applyAlignment="1" applyProtection="1">
      <alignment horizontal="center" vertical="center" wrapText="1"/>
    </xf>
    <xf numFmtId="0" fontId="51" fillId="23" borderId="5" xfId="0" applyNumberFormat="1" applyFont="1" applyFill="1" applyBorder="1" applyAlignment="1" applyProtection="1">
      <alignment horizontal="center" vertical="center" wrapText="1"/>
    </xf>
    <xf numFmtId="0" fontId="58" fillId="23"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北京市大兴区兴业大街（三段）房地产市场价值预评估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受贵公司委托，我公司对北京市大兴区兴业大街（三段）房地产市场价值进行了预评估。</v>
      </c>
    </row>
    <row r="7" spans="1:2" s="1203" customFormat="1">
      <c r="A7" s="1201" t="s">
        <v>566</v>
      </c>
      <c r="B7" s="1202" t="str">
        <f>'预评函-1'!A7</f>
        <v>估价对象为北京市大兴区兴业大街（三段）房地产，为北京隆泰嘉盛科贸有限公司所有。根据《国有土地使用证》[]，估价对象（分摊）出让国有建设用地使用权面积为0平方米，建筑面积为608.3平方米。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2024年7月18日（评估专业人员实地查勘之日）</v>
      </c>
    </row>
    <row r="13" spans="1:2" s="1203" customFormat="1">
      <c r="A13" s="1201" t="s">
        <v>529</v>
      </c>
      <c r="B13" s="1202"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北京市大兴区兴业大街（三段）房地产</v>
      </c>
    </row>
    <row r="42" spans="1:2" s="1203" customFormat="1">
      <c r="A42" s="1201" t="s">
        <v>590</v>
      </c>
      <c r="B42" s="1202" t="str">
        <f>'预评函-3'!B2</f>
        <v>建筑面积</v>
      </c>
    </row>
    <row r="43" spans="1:2" s="1203" customFormat="1">
      <c r="A43" s="1201" t="s">
        <v>591</v>
      </c>
      <c r="B43" s="1202">
        <f>'预评函-3'!B4</f>
        <v>608.29999999999995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业大街（三段）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8"/>
      <c r="B54" s="1554" t="s">
        <v>385</v>
      </c>
      <c r="C54" s="1551" t="s">
        <v>583</v>
      </c>
    </row>
    <row r="55" spans="1:4">
      <c r="A55" s="3658"/>
      <c r="B55" s="1554" t="s">
        <v>386</v>
      </c>
      <c r="C55" s="1551" t="s">
        <v>584</v>
      </c>
    </row>
    <row r="56" spans="1:4">
      <c r="A56" s="3658"/>
      <c r="B56" s="1554" t="s">
        <v>387</v>
      </c>
      <c r="C56" s="1551" t="s">
        <v>588</v>
      </c>
    </row>
    <row r="57" spans="1:4">
      <c r="A57" s="365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659" t="s">
        <v>2579</v>
      </c>
      <c r="J2" s="3659"/>
      <c r="K2" s="3659"/>
      <c r="L2" s="3659"/>
      <c r="M2" s="3659"/>
      <c r="N2" s="3659"/>
      <c r="O2" s="3659"/>
      <c r="P2" s="3659"/>
      <c r="Q2" s="3659"/>
      <c r="R2" s="3659"/>
    </row>
    <row r="3" spans="1:18">
      <c r="A3" s="3016" t="s">
        <v>2500</v>
      </c>
      <c r="B3" s="3017">
        <f>项目基本情况!D3</f>
        <v>45491</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F22" sqref="F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60" t="str">
        <f>IF(B10="北京市","北京市",C10)&amp;F10&amp;IF(结果表!G1="在建","出让国有建设用地使用权及在建建筑物",IF(结果表!G1="土地","出让国有建设用地使用权",))&amp;B9&amp;"预评估"</f>
        <v>北京市大兴区兴业大街（三段）房地产市场价值预评估</v>
      </c>
      <c r="C1" s="3661"/>
      <c r="D1" s="3661"/>
      <c r="E1" s="3661"/>
      <c r="F1" s="3661"/>
      <c r="G1" s="3661"/>
      <c r="H1" s="3661"/>
      <c r="I1" s="366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北京市大兴区兴业大街（三段）房地产市场价值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北京市大兴区兴业大街（三段）房地产</v>
      </c>
      <c r="T2" s="1745"/>
      <c r="U2" s="1745"/>
      <c r="V2" s="1745"/>
      <c r="W2" s="1745"/>
      <c r="X2" s="1745"/>
      <c r="Y2" s="1745"/>
      <c r="Z2" s="1745"/>
      <c r="AA2" s="1745"/>
      <c r="AB2" s="1745"/>
    </row>
    <row r="3" spans="1:30">
      <c r="A3" s="302" t="s">
        <v>2170</v>
      </c>
      <c r="B3" s="3526">
        <v>45491</v>
      </c>
      <c r="C3" s="2374" t="s">
        <v>2171</v>
      </c>
      <c r="D3" s="2373">
        <v>45491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3746</v>
      </c>
      <c r="C4" s="2376">
        <f ca="1">SUMIF(注册房地产估价师,B4,估价师及机构信息!B3:B24)</f>
        <v>1120100036</v>
      </c>
      <c r="D4" s="2375" t="s">
        <v>3747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63"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64"/>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3611" t="s">
        <v>3779</v>
      </c>
      <c r="G10" s="2663"/>
      <c r="H10" s="2664"/>
      <c r="I10" s="2665"/>
      <c r="J10" s="2438"/>
      <c r="K10" s="2613"/>
      <c r="L10" s="2610"/>
      <c r="M10" s="2610"/>
      <c r="N10" s="2438"/>
      <c r="O10" s="2449"/>
      <c r="P10" s="2438"/>
      <c r="Q10" s="2438"/>
      <c r="R10" s="2438"/>
    </row>
    <row r="11" spans="1:30" ht="24">
      <c r="A11" s="2401" t="s">
        <v>2181</v>
      </c>
      <c r="B11" s="2402" t="s">
        <v>3514</v>
      </c>
      <c r="C11" s="3603" t="s">
        <v>3780</v>
      </c>
      <c r="D11" s="2403"/>
      <c r="E11" s="2370"/>
      <c r="F11" s="2370"/>
      <c r="G11" s="2370"/>
      <c r="H11" s="2370"/>
      <c r="I11" s="2370"/>
      <c r="J11" s="3057"/>
      <c r="K11" s="3056"/>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2575</v>
      </c>
      <c r="J12" s="3058"/>
      <c r="K12" s="2610"/>
      <c r="L12" s="2610"/>
      <c r="M12" s="2438"/>
      <c r="N12" s="2449"/>
      <c r="O12" s="2438"/>
      <c r="P12" s="2438"/>
      <c r="Q12" s="2438"/>
      <c r="AD12" s="1745"/>
    </row>
    <row r="13" spans="1:30">
      <c r="A13" s="3419" t="s">
        <v>3592</v>
      </c>
      <c r="B13" s="2406" t="s">
        <v>2190</v>
      </c>
      <c r="C13" s="856"/>
      <c r="D13" s="856"/>
      <c r="E13" s="856"/>
      <c r="F13" s="856"/>
      <c r="G13" s="856"/>
      <c r="H13" s="856"/>
      <c r="I13" s="856"/>
      <c r="J13" s="3058"/>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59"/>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2193</v>
      </c>
      <c r="B16" s="3670"/>
      <c r="C16" s="3671"/>
      <c r="D16" s="3672"/>
      <c r="E16" s="2412" t="s">
        <v>2194</v>
      </c>
      <c r="F16" s="3673"/>
      <c r="G16" s="3674"/>
      <c r="H16" s="3674"/>
      <c r="I16" s="3675"/>
      <c r="J16" s="2438"/>
      <c r="K16" s="2614"/>
      <c r="L16" s="2450"/>
      <c r="M16" s="2450"/>
      <c r="N16" s="2506"/>
      <c r="O16" s="2450"/>
      <c r="P16" s="2506"/>
      <c r="Q16" s="2438"/>
      <c r="R16" s="2438"/>
    </row>
    <row r="17" spans="1:28">
      <c r="A17" s="313" t="s">
        <v>2195</v>
      </c>
      <c r="B17" s="302" t="s">
        <v>2196</v>
      </c>
      <c r="C17" s="8">
        <f>'数据-汇总表'!E3</f>
        <v>608.29999999999995</v>
      </c>
      <c r="D17" s="2322" t="s">
        <v>2197</v>
      </c>
      <c r="E17" s="3676" t="s">
        <v>2198</v>
      </c>
      <c r="F17" s="3677"/>
      <c r="G17" s="3677"/>
      <c r="H17" s="3677"/>
      <c r="I17" s="3678"/>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79" t="s">
        <v>2202</v>
      </c>
      <c r="F18" s="3680"/>
      <c r="G18" s="3680"/>
      <c r="H18" s="3680"/>
      <c r="I18" s="3681"/>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6" t="s">
        <v>2206</v>
      </c>
      <c r="C20" s="3667"/>
      <c r="D20" s="3668" t="s">
        <v>2207</v>
      </c>
      <c r="E20" s="3669"/>
      <c r="F20" s="2644" t="s">
        <v>1056</v>
      </c>
      <c r="G20" s="2661"/>
      <c r="H20" s="2661"/>
      <c r="I20" s="2661"/>
      <c r="J20" s="2438"/>
      <c r="K20" s="3665"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3748</v>
      </c>
      <c r="D21" s="1568" t="s">
        <v>2210</v>
      </c>
      <c r="E21" s="2632" t="s">
        <v>1057</v>
      </c>
      <c r="F21" s="2645"/>
      <c r="G21" s="2661"/>
      <c r="H21" s="2661"/>
      <c r="I21" s="2661"/>
      <c r="J21" s="2438"/>
      <c r="K21" s="366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6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83" t="s">
        <v>2214</v>
      </c>
      <c r="B27" s="320" t="s">
        <v>2215</v>
      </c>
      <c r="C27" s="2415" t="s">
        <v>3749</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83"/>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83"/>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84"/>
      <c r="B30" s="302" t="s">
        <v>2218</v>
      </c>
      <c r="C30" s="3685"/>
      <c r="D30" s="3686"/>
      <c r="E30" s="2661"/>
      <c r="F30" s="2661"/>
      <c r="G30" s="2661"/>
      <c r="H30" s="2661"/>
      <c r="I30" s="2661"/>
      <c r="J30" s="2438"/>
      <c r="K30" s="2613"/>
      <c r="L30" s="2610"/>
      <c r="M30" s="2610"/>
      <c r="N30" s="2438"/>
      <c r="O30" s="2449"/>
      <c r="P30" s="2438"/>
      <c r="Q30" s="2438"/>
      <c r="R30" s="2438"/>
      <c r="S30" s="2438"/>
      <c r="T30" s="2438"/>
      <c r="U30" s="2438"/>
      <c r="V30" s="2438"/>
    </row>
    <row r="31" spans="1:28">
      <c r="A31" s="3687"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8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8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82" t="s">
        <v>2228</v>
      </c>
      <c r="T34" s="2427" t="str">
        <f>NUMBERSTRING(7-K34,1)&amp;"通"</f>
        <v>七通</v>
      </c>
      <c r="U34" s="2438"/>
      <c r="V34" s="2438"/>
    </row>
    <row r="35" spans="1:30">
      <c r="A35" s="2428"/>
      <c r="B35" s="3689" t="s">
        <v>2229</v>
      </c>
      <c r="C35" s="3689"/>
      <c r="D35" s="3689"/>
      <c r="E35" s="3689"/>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82"/>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1"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608.29999999999995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608.29999999999995</v>
      </c>
      <c r="H5" s="13">
        <f t="shared" ref="H5:AT5" si="0">SUM(H13:H656)</f>
        <v>608.29999999999995</v>
      </c>
      <c r="I5" s="13">
        <f t="shared" si="0"/>
        <v>608.29999999999995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608.29999999999995</v>
      </c>
      <c r="BA5" s="15">
        <f t="shared" si="1"/>
        <v>608.29999999999995</v>
      </c>
      <c r="BB5" s="15">
        <f t="shared" si="1"/>
        <v>608.29999999999995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3781</v>
      </c>
      <c r="D13" s="1625" t="s">
        <v>3521</v>
      </c>
      <c r="E13" s="13">
        <f>IF($C$3="是",ROUND($A$3*G13/$B$3,2),ROUND($A$3*(G13-AT13)/$B$3,2))</f>
        <v>0</v>
      </c>
      <c r="F13" s="29"/>
      <c r="G13" s="30">
        <f>H13+AC13+AT13</f>
        <v>305.77</v>
      </c>
      <c r="H13" s="17">
        <f>SUMIF(I$12:AB$12,"总值",I13:AB13)</f>
        <v>305.77</v>
      </c>
      <c r="I13" s="1626">
        <v>305.77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305.77</v>
      </c>
      <c r="BA13" s="13">
        <f>SUM(BB13:BK13)</f>
        <v>305.77</v>
      </c>
      <c r="BB13" s="13">
        <f>IF($D13="是",I13-J13,0)</f>
        <v>305.77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3782</v>
      </c>
      <c r="D14" s="1625" t="s">
        <v>3521</v>
      </c>
      <c r="E14" s="13">
        <f>IF($C$3="是",ROUND($A$3*G14/$B$3,2),ROUND($A$3*(G14-AT14)/$B$3,2))</f>
        <v>0</v>
      </c>
      <c r="F14" s="29"/>
      <c r="G14" s="30">
        <f>H14+AC14+AT14</f>
        <v>302.52999999999997</v>
      </c>
      <c r="H14" s="17">
        <f>SUMIF(I$12:AB$12,"总值",I14:AB14)</f>
        <v>302.52999999999997</v>
      </c>
      <c r="I14" s="1626">
        <v>302.52999999999997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302.52999999999997</v>
      </c>
      <c r="BA14" s="13">
        <f>SUM(BB14:BK14)</f>
        <v>302.52999999999997</v>
      </c>
      <c r="BB14" s="13">
        <f>IF($D14="是",I14-J14,0)</f>
        <v>302.52999999999997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9" t="s">
        <v>1131</v>
      </c>
      <c r="B2" s="3699"/>
      <c r="C2" s="3699"/>
      <c r="D2" s="796" t="s">
        <v>1107</v>
      </c>
      <c r="E2" s="1639" t="s">
        <v>1108</v>
      </c>
      <c r="F2" s="2656"/>
      <c r="G2" s="2647"/>
      <c r="H2" s="2648"/>
      <c r="I2" s="2325" t="s">
        <v>1132</v>
      </c>
      <c r="J2" s="2656"/>
      <c r="K2" s="2656"/>
      <c r="L2" s="2656"/>
      <c r="M2" s="2656"/>
      <c r="N2" s="2658"/>
      <c r="O2" s="2656"/>
      <c r="P2" s="2656"/>
    </row>
    <row r="3" spans="1:16" ht="15.75" thickBot="1">
      <c r="A3" s="3700" t="s">
        <v>1105</v>
      </c>
      <c r="B3" s="3700"/>
      <c r="C3" s="3700"/>
      <c r="D3" s="43">
        <f>'数据-基础表'!AY6</f>
        <v>0</v>
      </c>
      <c r="E3" s="43">
        <f>'数据-基础表'!AZ5</f>
        <v>608.29999999999995</v>
      </c>
      <c r="F3" s="2656"/>
      <c r="G3" s="1145"/>
      <c r="H3" s="1026" t="s">
        <v>1106</v>
      </c>
      <c r="I3" s="855" t="e">
        <f>ROUND('数据-基础表'!B3/'数据-基础表'!A3,2)</f>
        <v>#DIV/0!</v>
      </c>
      <c r="J3" s="2656"/>
      <c r="K3" s="2656"/>
      <c r="L3" s="2656"/>
      <c r="M3" s="2656"/>
      <c r="N3" s="2658"/>
      <c r="O3" s="2656"/>
      <c r="P3" s="2656"/>
    </row>
    <row r="4" spans="1:16" ht="15">
      <c r="A4" s="3701"/>
      <c r="B4" s="3702"/>
      <c r="C4" s="3703"/>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704" t="s">
        <v>1110</v>
      </c>
      <c r="C5" s="3704"/>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704" t="s">
        <v>1111</v>
      </c>
      <c r="C6" s="3704"/>
      <c r="D6" s="45">
        <f>ROUND($D$3*E6/$E$3,2)</f>
        <v>0</v>
      </c>
      <c r="E6" s="46">
        <f>E3-E5</f>
        <v>608.29999999999995</v>
      </c>
      <c r="F6" s="2656"/>
      <c r="G6" s="2650" t="s">
        <v>1112</v>
      </c>
      <c r="H6" s="1146" t="s">
        <v>1113</v>
      </c>
      <c r="I6" s="2651" t="e">
        <f>ROUND(F31/D31,2)</f>
        <v>#DIV/0!</v>
      </c>
      <c r="J6" s="2656"/>
      <c r="K6" s="2656"/>
      <c r="L6" s="2656"/>
      <c r="M6" s="2656"/>
      <c r="N6" s="2656"/>
      <c r="O6" s="2656"/>
      <c r="P6" s="2656"/>
    </row>
    <row r="7" spans="1:16" ht="15.75" thickBot="1">
      <c r="A7" s="3696"/>
      <c r="B7" s="3697"/>
      <c r="C7" s="3698"/>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608.29999999999995</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608.29999999999995</v>
      </c>
      <c r="F16" s="2656"/>
      <c r="G16" s="2657"/>
      <c r="H16" s="1648" t="s">
        <v>1135</v>
      </c>
      <c r="I16" s="1649"/>
      <c r="J16" s="1139"/>
      <c r="K16" s="3693" t="s">
        <v>1135</v>
      </c>
      <c r="L16" s="3694"/>
      <c r="M16" s="3694"/>
      <c r="N16" s="3694"/>
      <c r="O16" s="3694"/>
      <c r="P16" s="3695"/>
    </row>
    <row r="17" spans="1:19" ht="15">
      <c r="A17" s="1650" t="s">
        <v>1136</v>
      </c>
      <c r="B17" s="1651" t="s">
        <v>1137</v>
      </c>
      <c r="C17" s="1652" t="s">
        <v>1138</v>
      </c>
      <c r="D17" s="1653" t="s">
        <v>1126</v>
      </c>
      <c r="E17" s="1654" t="s">
        <v>1127</v>
      </c>
      <c r="F17" s="1655"/>
      <c r="G17" s="1656"/>
      <c r="H17" s="1657" t="s">
        <v>1139</v>
      </c>
      <c r="I17" s="1658" t="s">
        <v>1124</v>
      </c>
      <c r="J17" s="1139"/>
      <c r="K17" s="3690" t="s">
        <v>1140</v>
      </c>
      <c r="L17" s="3691"/>
      <c r="M17" s="3692"/>
      <c r="N17" s="3690" t="s">
        <v>1141</v>
      </c>
      <c r="O17" s="3691"/>
      <c r="P17" s="369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3522</v>
      </c>
      <c r="D19" s="45">
        <f>ROUND($D$3*E19/$E$3,2)</f>
        <v>0</v>
      </c>
      <c r="E19" s="53">
        <f t="shared" ref="E19:E26" si="1">SUM(F19:G19)</f>
        <v>608.29999999999995</v>
      </c>
      <c r="F19" s="2791">
        <f>'数据-基础表'!I5</f>
        <v>608.29999999999995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608.29999999999995</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608.29999999999995</v>
      </c>
      <c r="F27" s="1140">
        <f>IF(SUM(F19:F26)=E8,SUM(F19:F26),"地上面积有误")</f>
        <v>608.29999999999995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608.29999999999995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608.29999999999995</v>
      </c>
      <c r="F31" s="677">
        <f>F27+F30</f>
        <v>608.29999999999995</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42" sqref="L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608.29999999999995</v>
      </c>
      <c r="L6" s="733">
        <v>4500</v>
      </c>
      <c r="M6" s="67">
        <f t="shared" ref="M6:M14" si="0">ROUND(K6*L6/10000,0)</f>
        <v>274</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3572</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608.29999999999995</v>
      </c>
      <c r="L16" s="93">
        <f>ROUND(M16*10000/SUM(K6:K14),0)</f>
        <v>4504</v>
      </c>
      <c r="M16" s="93">
        <f>SUM(M6:M14)</f>
        <v>274</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527" t="s">
        <v>3523</v>
      </c>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527" t="s">
        <v>3524</v>
      </c>
      <c r="N18" s="2667">
        <f>ROUND(1-(2023-N17)/60,2)</f>
        <v>0.75</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527" t="s">
        <v>3573</v>
      </c>
      <c r="N19" s="3544">
        <v>0.8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2667"/>
      <c r="N20" s="2667">
        <f>(N19+N18)/2</f>
        <v>0.77500000000000002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12.166</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3574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05" t="s">
        <v>2282</v>
      </c>
      <c r="B1" s="3706"/>
      <c r="C1" s="3706"/>
      <c r="D1" s="3706"/>
      <c r="E1" s="3706"/>
      <c r="F1" s="3706"/>
      <c r="G1" s="370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8"/>
      <c r="D3" s="2463"/>
      <c r="E3" s="2441" t="s">
        <v>2280</v>
      </c>
      <c r="F3" s="2464" t="s">
        <v>2253</v>
      </c>
      <c r="G3" s="2465" t="s">
        <v>2281</v>
      </c>
      <c r="H3" s="799"/>
      <c r="I3" s="799"/>
      <c r="J3" s="799"/>
      <c r="K3" s="799"/>
      <c r="L3" s="799"/>
      <c r="M3" s="799"/>
      <c r="N3" s="799"/>
      <c r="O3" s="799"/>
      <c r="P3" s="799"/>
      <c r="Q3" s="799"/>
      <c r="R3" s="799"/>
    </row>
    <row r="4" spans="1:29" ht="36">
      <c r="A4" s="2441"/>
      <c r="B4" s="323" t="s">
        <v>2254</v>
      </c>
      <c r="C4" s="3529" t="s">
        <v>3786</v>
      </c>
      <c r="D4" s="2463"/>
      <c r="E4" s="2466"/>
      <c r="F4" s="1373" t="s">
        <v>2255</v>
      </c>
      <c r="G4" s="2467" t="s">
        <v>2256</v>
      </c>
      <c r="H4" s="799"/>
      <c r="I4" s="799"/>
      <c r="J4" s="799"/>
      <c r="K4" s="799"/>
      <c r="L4" s="799"/>
      <c r="M4" s="799"/>
      <c r="N4" s="799"/>
      <c r="O4" s="799"/>
      <c r="P4" s="799"/>
      <c r="Q4" s="799"/>
      <c r="R4" s="799"/>
    </row>
    <row r="5" spans="1:29" ht="24">
      <c r="A5" s="2441"/>
      <c r="B5" s="323" t="s">
        <v>2257</v>
      </c>
      <c r="C5" s="3529"/>
      <c r="D5" s="2463"/>
      <c r="E5" s="2466"/>
      <c r="F5" s="323" t="s">
        <v>2258</v>
      </c>
      <c r="G5" s="2467" t="s">
        <v>2259</v>
      </c>
      <c r="H5" s="799"/>
      <c r="I5" s="799"/>
      <c r="J5" s="799"/>
      <c r="K5" s="799"/>
      <c r="L5" s="799"/>
      <c r="M5" s="799"/>
      <c r="N5" s="799"/>
      <c r="O5" s="799"/>
      <c r="P5" s="799"/>
      <c r="Q5" s="799"/>
      <c r="R5" s="799"/>
    </row>
    <row r="6" spans="1:29">
      <c r="A6" s="2441"/>
      <c r="B6" s="323" t="s">
        <v>2260</v>
      </c>
      <c r="C6" s="3530" t="s">
        <v>3786</v>
      </c>
      <c r="D6" s="2463"/>
      <c r="E6" s="2466"/>
      <c r="F6" s="323" t="s">
        <v>2261</v>
      </c>
      <c r="G6" s="2467" t="s">
        <v>2262</v>
      </c>
      <c r="H6" s="799"/>
      <c r="I6" s="799"/>
      <c r="J6" s="799"/>
      <c r="K6" s="799"/>
      <c r="L6" s="799"/>
      <c r="M6" s="799"/>
      <c r="N6" s="799"/>
      <c r="O6" s="799"/>
      <c r="P6" s="799"/>
      <c r="Q6" s="799"/>
      <c r="R6" s="799"/>
    </row>
    <row r="7" spans="1:29" ht="24.75" thickBot="1">
      <c r="A7" s="2441"/>
      <c r="B7" s="323" t="s">
        <v>2258</v>
      </c>
      <c r="C7" s="3530" t="s">
        <v>3786</v>
      </c>
      <c r="D7" s="2468"/>
      <c r="E7" s="2469"/>
      <c r="F7" s="2470" t="s">
        <v>2263</v>
      </c>
      <c r="G7" s="2471" t="s">
        <v>2264</v>
      </c>
      <c r="H7" s="799"/>
      <c r="I7" s="799"/>
      <c r="J7" s="799"/>
      <c r="K7" s="799"/>
      <c r="L7" s="799"/>
      <c r="M7" s="799"/>
      <c r="N7" s="799"/>
      <c r="O7" s="799"/>
      <c r="P7" s="799"/>
      <c r="Q7" s="799"/>
      <c r="R7" s="799"/>
    </row>
    <row r="8" spans="1:29">
      <c r="A8" s="2441"/>
      <c r="B8" s="323" t="s">
        <v>2261</v>
      </c>
      <c r="C8" s="3530" t="s">
        <v>3526</v>
      </c>
      <c r="D8" s="2468"/>
      <c r="E8" s="2468"/>
      <c r="F8" s="2472"/>
      <c r="G8" s="2472"/>
      <c r="H8" s="799"/>
      <c r="I8" s="799"/>
      <c r="J8" s="799"/>
      <c r="K8" s="799"/>
      <c r="L8" s="799"/>
      <c r="M8" s="799"/>
      <c r="N8" s="799"/>
      <c r="O8" s="799"/>
      <c r="P8" s="799"/>
      <c r="Q8" s="799"/>
      <c r="R8" s="799"/>
    </row>
    <row r="9" spans="1:29">
      <c r="A9" s="2441"/>
      <c r="B9" s="323" t="s">
        <v>2265</v>
      </c>
      <c r="C9" s="3529" t="s">
        <v>3786</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f>C3</f>
        <v>0</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f>C5</f>
        <v>0</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1" sqref="K2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608.29999999999995</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45491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SUM(D14:D23)</f>
        <v>2833</v>
      </c>
      <c r="C5" s="2509" t="e">
        <f ca="1">IF(B5=D14,结果表!H102,ROUND(B5*10000/$B$1,0))</f>
        <v>#DIV/0!</v>
      </c>
      <c r="D5" s="2509" t="e">
        <f>ROUND(B5*10000/$B$2,0)</f>
        <v>#DIV/0!</v>
      </c>
      <c r="E5" s="2682"/>
      <c r="F5" s="2683"/>
      <c r="G5" s="2683"/>
      <c r="H5" s="2684"/>
      <c r="I5" s="2684"/>
      <c r="J5" s="2684"/>
      <c r="K5" s="2684"/>
    </row>
    <row r="6" spans="1:11" ht="16.5">
      <c r="A6" s="2509" t="s">
        <v>656</v>
      </c>
      <c r="B6" s="2509">
        <f>SUM(G14:G23)</f>
        <v>2833</v>
      </c>
      <c r="C6" s="2509" t="e">
        <f ca="1">IF(B6=G14,结果表!H108,ROUND(B6*10000/$B$1,0))</f>
        <v>#DIV/0!</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2833</v>
      </c>
      <c r="C10" s="2509" t="s">
        <v>3357</v>
      </c>
      <c r="D10" s="2509" t="s">
        <v>3358</v>
      </c>
      <c r="E10" s="3437">
        <f>'比较法-商业'!C49</f>
        <v>7.4</v>
      </c>
      <c r="F10" s="3440" t="s">
        <v>3359</v>
      </c>
      <c r="G10" s="3543">
        <v>5.8000000000000003E-2</v>
      </c>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608.29999999999995</v>
      </c>
      <c r="C14" s="2515"/>
      <c r="D14" s="2515">
        <f>B10</f>
        <v>2833</v>
      </c>
      <c r="E14" s="2515">
        <f>ROUND(D14*10000/B14,0)</f>
        <v>46572</v>
      </c>
      <c r="F14" s="2515" t="e">
        <f>ROUND(D14*10000/C14,0)</f>
        <v>#DIV/0!</v>
      </c>
      <c r="G14" s="2515">
        <f>D14</f>
        <v>2833</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3567</v>
      </c>
      <c r="H1" s="1750" t="str">
        <f>IF(G1="现房","——","估价对象范围")</f>
        <v>——</v>
      </c>
      <c r="I1" s="1751" t="s">
        <v>3568</v>
      </c>
    </row>
    <row r="2" spans="1:12" ht="21.75" customHeight="1" thickBot="1">
      <c r="A2" s="3774" t="str">
        <f>项目基本情况!S2</f>
        <v>北京市大兴区兴业大街（三段）房地产</v>
      </c>
      <c r="B2" s="3775"/>
      <c r="C2" s="3775"/>
      <c r="D2" s="3775"/>
      <c r="E2" s="3775"/>
      <c r="F2" s="3775"/>
      <c r="G2" s="3775"/>
      <c r="H2" s="3775"/>
      <c r="I2" s="3776"/>
    </row>
    <row r="3" spans="1:12" ht="12.75">
      <c r="A3" s="3778" t="s">
        <v>1264</v>
      </c>
      <c r="B3" s="3779"/>
      <c r="C3" s="3779"/>
      <c r="D3" s="3779"/>
      <c r="E3" s="3779"/>
      <c r="F3" s="3779"/>
      <c r="G3" s="3779"/>
      <c r="H3" s="3779"/>
      <c r="I3" s="3779"/>
    </row>
    <row r="4" spans="1:12" ht="14.25">
      <c r="A4" s="1754" t="s">
        <v>1265</v>
      </c>
      <c r="B4" s="1755" t="s">
        <v>1266</v>
      </c>
      <c r="C4" s="1756"/>
      <c r="D4" s="1756"/>
      <c r="E4" s="3783" t="s">
        <v>1267</v>
      </c>
      <c r="F4" s="3784"/>
      <c r="G4" s="3784"/>
      <c r="H4" s="3784"/>
      <c r="I4" s="378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22" t="s">
        <v>1268</v>
      </c>
      <c r="B5" s="3777">
        <v>25</v>
      </c>
      <c r="C5" s="3780"/>
      <c r="D5" s="3768"/>
      <c r="E5" s="131" t="s">
        <v>1269</v>
      </c>
      <c r="F5" s="1757"/>
      <c r="G5" s="1757"/>
      <c r="H5" s="1757"/>
      <c r="I5" s="1373"/>
    </row>
    <row r="6" spans="1:12" ht="12.75">
      <c r="A6" s="3722"/>
      <c r="B6" s="3777"/>
      <c r="C6" s="3782"/>
      <c r="D6" s="3768"/>
      <c r="E6" s="131" t="s">
        <v>1270</v>
      </c>
      <c r="F6" s="1757"/>
      <c r="G6" s="1757"/>
      <c r="H6" s="1757"/>
      <c r="I6" s="1373"/>
    </row>
    <row r="7" spans="1:12" ht="12.75">
      <c r="A7" s="3722"/>
      <c r="B7" s="3777"/>
      <c r="C7" s="3781"/>
      <c r="D7" s="3768"/>
      <c r="E7" s="131" t="s">
        <v>1271</v>
      </c>
      <c r="F7" s="1757"/>
      <c r="G7" s="1757"/>
      <c r="H7" s="1757"/>
      <c r="I7" s="1373"/>
    </row>
    <row r="8" spans="1:12" ht="12.75">
      <c r="A8" s="3722" t="s">
        <v>1272</v>
      </c>
      <c r="B8" s="3777">
        <v>15</v>
      </c>
      <c r="C8" s="3780"/>
      <c r="D8" s="3768"/>
      <c r="E8" s="131" t="s">
        <v>1273</v>
      </c>
      <c r="F8" s="1757"/>
      <c r="G8" s="1757"/>
      <c r="H8" s="1757"/>
      <c r="I8" s="1373"/>
    </row>
    <row r="9" spans="1:12" ht="12.75">
      <c r="A9" s="3722"/>
      <c r="B9" s="3777"/>
      <c r="C9" s="3781"/>
      <c r="D9" s="3768"/>
      <c r="E9" s="131" t="s">
        <v>1274</v>
      </c>
      <c r="F9" s="1757"/>
      <c r="G9" s="1757"/>
      <c r="H9" s="1757"/>
      <c r="I9" s="1373"/>
    </row>
    <row r="10" spans="1:12" ht="12.75">
      <c r="A10" s="3722" t="s">
        <v>1275</v>
      </c>
      <c r="B10" s="3777">
        <v>15</v>
      </c>
      <c r="C10" s="3780"/>
      <c r="D10" s="3768"/>
      <c r="E10" s="131" t="s">
        <v>1276</v>
      </c>
      <c r="F10" s="1757"/>
      <c r="G10" s="1757"/>
      <c r="H10" s="1757"/>
      <c r="I10" s="1373"/>
    </row>
    <row r="11" spans="1:12" ht="12.75">
      <c r="A11" s="3722"/>
      <c r="B11" s="3777"/>
      <c r="C11" s="3781"/>
      <c r="D11" s="3768"/>
      <c r="E11" s="131" t="s">
        <v>1277</v>
      </c>
      <c r="F11" s="1757"/>
      <c r="G11" s="1757"/>
      <c r="H11" s="1757"/>
      <c r="I11" s="1373"/>
    </row>
    <row r="12" spans="1:12" ht="12.75">
      <c r="A12" s="3722" t="s">
        <v>1278</v>
      </c>
      <c r="B12" s="3777">
        <v>15</v>
      </c>
      <c r="C12" s="3780"/>
      <c r="D12" s="3768"/>
      <c r="E12" s="131" t="s">
        <v>1279</v>
      </c>
      <c r="F12" s="1757"/>
      <c r="G12" s="1757"/>
      <c r="H12" s="1757"/>
      <c r="I12" s="1373"/>
    </row>
    <row r="13" spans="1:12" ht="12.75">
      <c r="A13" s="3722"/>
      <c r="B13" s="3777"/>
      <c r="C13" s="3781"/>
      <c r="D13" s="3768"/>
      <c r="E13" s="131" t="s">
        <v>1280</v>
      </c>
      <c r="F13" s="1757"/>
      <c r="G13" s="1757"/>
      <c r="H13" s="1757"/>
      <c r="I13" s="1373"/>
    </row>
    <row r="14" spans="1:12" ht="12.75">
      <c r="A14" s="3722" t="s">
        <v>1281</v>
      </c>
      <c r="B14" s="3777">
        <v>30</v>
      </c>
      <c r="C14" s="3780"/>
      <c r="D14" s="3768"/>
      <c r="E14" s="131" t="s">
        <v>1282</v>
      </c>
      <c r="F14" s="1757"/>
      <c r="G14" s="1757"/>
      <c r="H14" s="1757"/>
      <c r="I14" s="1373"/>
    </row>
    <row r="15" spans="1:12" ht="12.75">
      <c r="A15" s="3722"/>
      <c r="B15" s="3777"/>
      <c r="C15" s="3782"/>
      <c r="D15" s="3768"/>
      <c r="E15" s="131" t="s">
        <v>1283</v>
      </c>
      <c r="F15" s="1757"/>
      <c r="G15" s="1757"/>
      <c r="H15" s="1757"/>
      <c r="I15" s="1373"/>
    </row>
    <row r="16" spans="1:12" ht="12.75">
      <c r="A16" s="3722"/>
      <c r="B16" s="3777"/>
      <c r="C16" s="3781"/>
      <c r="D16" s="376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99" t="s">
        <v>2131</v>
      </c>
      <c r="F18" s="3800"/>
      <c r="G18" s="3800"/>
      <c r="H18" s="3800"/>
      <c r="I18" s="3800"/>
      <c r="K18" s="302" t="s">
        <v>1289</v>
      </c>
      <c r="L18" s="302">
        <f>IF(C1="",'数据-汇总表'!E3,SUMIF(项目类型,C1,'数据-汇总表'!E17:E26)+SUMIF(项目类型,C1,'数据-汇总表'!I17:I26))</f>
        <v>608.29999999999995</v>
      </c>
      <c r="M18" s="302">
        <f>IF(C1="",'数据-汇总表'!E3,SUMIF(项目类型,C1,'数据-汇总表'!E17:E26))</f>
        <v>608.29999999999995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92" t="s">
        <v>1299</v>
      </c>
      <c r="B24" s="1762" t="s">
        <v>1291</v>
      </c>
      <c r="C24" s="136">
        <f>IF(B30=0,0,D30)</f>
        <v>0</v>
      </c>
      <c r="D24" s="1769"/>
      <c r="E24" s="129"/>
      <c r="F24" s="129"/>
      <c r="G24" s="129"/>
      <c r="H24" s="129"/>
      <c r="I24" s="129"/>
    </row>
    <row r="25" spans="1:36" ht="14.25">
      <c r="A25" s="37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69" t="s">
        <v>1312</v>
      </c>
      <c r="B36" s="1787" t="s">
        <v>1313</v>
      </c>
      <c r="C36" s="145"/>
      <c r="D36" s="1788"/>
      <c r="E36" s="1789"/>
      <c r="F36" s="1790"/>
      <c r="G36" s="129"/>
      <c r="H36" s="129"/>
      <c r="I36" s="129"/>
    </row>
    <row r="37" spans="1:15" ht="15.75" thickBot="1">
      <c r="A37" s="3770"/>
      <c r="B37" s="1674" t="s">
        <v>1314</v>
      </c>
      <c r="C37" s="147"/>
      <c r="D37" s="1139"/>
      <c r="E37" s="1139"/>
      <c r="F37" s="1790"/>
      <c r="G37" s="129"/>
      <c r="H37" s="129"/>
      <c r="I37" s="129"/>
    </row>
    <row r="38" spans="1:15" ht="15.75" thickBot="1">
      <c r="A38" s="37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9" t="s">
        <v>1326</v>
      </c>
      <c r="B45" s="3790"/>
      <c r="C45" s="3791"/>
      <c r="D45" s="155" t="e">
        <f ca="1">ROUND(H101*F45,0)</f>
        <v>#REF!</v>
      </c>
      <c r="E45" s="156" t="s">
        <v>1327</v>
      </c>
      <c r="F45" s="157">
        <v>1</v>
      </c>
      <c r="G45" s="158" t="s">
        <v>1328</v>
      </c>
      <c r="H45" s="129"/>
      <c r="I45" s="129"/>
      <c r="J45" s="3709" t="s">
        <v>1329</v>
      </c>
      <c r="K45" s="3709"/>
      <c r="L45" s="3709"/>
      <c r="M45" s="3709"/>
      <c r="N45" s="3709"/>
      <c r="O45" s="3709"/>
    </row>
    <row r="46" spans="1:15" ht="14.25" customHeight="1">
      <c r="A46" s="3786" t="s">
        <v>1330</v>
      </c>
      <c r="B46" s="3787"/>
      <c r="C46" s="3787"/>
      <c r="D46" s="3787"/>
      <c r="E46" s="3787"/>
      <c r="F46" s="3787"/>
      <c r="G46" s="3788"/>
      <c r="H46" s="1806"/>
      <c r="I46" s="159"/>
      <c r="J46" s="2520">
        <v>1</v>
      </c>
      <c r="K46" s="3710" t="s">
        <v>1331</v>
      </c>
      <c r="L46" s="3710"/>
      <c r="M46" s="3711"/>
      <c r="N46" s="3711"/>
      <c r="O46" s="3711"/>
    </row>
    <row r="47" spans="1:15" ht="12" customHeight="1">
      <c r="A47" s="160" t="s">
        <v>1332</v>
      </c>
      <c r="B47" s="161"/>
      <c r="C47" s="162"/>
      <c r="D47" s="1087" t="s">
        <v>1333</v>
      </c>
      <c r="E47" s="302" t="s">
        <v>1334</v>
      </c>
      <c r="F47" s="163" t="s">
        <v>1335</v>
      </c>
      <c r="G47" s="2543" t="s">
        <v>1336</v>
      </c>
      <c r="H47" s="2544"/>
      <c r="I47" s="159"/>
      <c r="J47" s="2520">
        <v>2</v>
      </c>
      <c r="K47" s="3710" t="s">
        <v>1337</v>
      </c>
      <c r="L47" s="3710"/>
      <c r="M47" s="3712">
        <f>'数据-取费表'!B2</f>
        <v>45491</v>
      </c>
      <c r="N47" s="3712"/>
      <c r="O47" s="3712"/>
    </row>
    <row r="48" spans="1:15" ht="25.5">
      <c r="A48" s="3772" t="s">
        <v>1338</v>
      </c>
      <c r="B48" s="3773"/>
      <c r="C48" s="3773"/>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10" t="s">
        <v>1340</v>
      </c>
      <c r="L48" s="3710"/>
      <c r="M48" s="3713" t="e">
        <f ca="1">H101</f>
        <v>#REF!</v>
      </c>
      <c r="N48" s="3713"/>
      <c r="O48" s="3713"/>
    </row>
    <row r="49" spans="1:35" ht="25.5" customHeight="1">
      <c r="A49" s="2333" t="s">
        <v>1341</v>
      </c>
      <c r="B49" s="3758" t="s">
        <v>1342</v>
      </c>
      <c r="C49" s="3758"/>
      <c r="D49" s="1590">
        <v>0</v>
      </c>
      <c r="E49" s="324" t="s">
        <v>1343</v>
      </c>
      <c r="F49" s="2423" t="s">
        <v>28</v>
      </c>
      <c r="G49" s="3741"/>
      <c r="H49" s="2310" t="s">
        <v>2134</v>
      </c>
      <c r="I49" s="2311"/>
      <c r="J49" s="2520">
        <v>4</v>
      </c>
      <c r="K49" s="3710" t="str">
        <f>IF(项目基本情况!E8="房地产抵押价值","房地产抵押价值","抵押担保权已注销时的房地产抵押价值")</f>
        <v>抵押担保权已注销时的房地产抵押价值</v>
      </c>
      <c r="L49" s="3710"/>
      <c r="M49" s="3713" t="str">
        <f>IF(项目基本情况!E8="房地产抵押价值",H107,H109)</f>
        <v>——</v>
      </c>
      <c r="N49" s="3713"/>
      <c r="O49" s="3713"/>
    </row>
    <row r="50" spans="1:35" ht="25.5" customHeight="1">
      <c r="A50" s="2548"/>
      <c r="B50" s="3758" t="s">
        <v>1344</v>
      </c>
      <c r="C50" s="3758"/>
      <c r="D50" s="2549"/>
      <c r="E50" s="332"/>
      <c r="F50" s="2423"/>
      <c r="G50" s="3742"/>
      <c r="H50" s="2312" t="s">
        <v>2135</v>
      </c>
      <c r="I50" s="2311"/>
      <c r="J50" s="3709" t="s">
        <v>1345</v>
      </c>
      <c r="K50" s="3709"/>
      <c r="L50" s="3709"/>
      <c r="M50" s="3709"/>
      <c r="N50" s="3709"/>
      <c r="O50" s="3709"/>
    </row>
    <row r="51" spans="1:35" ht="20.45" customHeight="1">
      <c r="A51" s="2550"/>
      <c r="B51" s="3758" t="s">
        <v>1346</v>
      </c>
      <c r="C51" s="3758"/>
      <c r="D51" s="1087"/>
      <c r="E51" s="327"/>
      <c r="F51" s="2423"/>
      <c r="G51" s="3743"/>
      <c r="H51" s="2312" t="s">
        <v>2136</v>
      </c>
      <c r="I51" s="2311"/>
      <c r="J51" s="2521" t="s">
        <v>1347</v>
      </c>
      <c r="K51" s="3710" t="s">
        <v>1348</v>
      </c>
      <c r="L51" s="3710"/>
      <c r="M51" s="2521" t="s">
        <v>1349</v>
      </c>
      <c r="N51" s="2521" t="s">
        <v>1350</v>
      </c>
      <c r="O51" s="2521" t="s">
        <v>1351</v>
      </c>
    </row>
    <row r="52" spans="1:35" ht="24" customHeight="1">
      <c r="A52" s="2335" t="s">
        <v>1352</v>
      </c>
      <c r="B52" s="3758" t="s">
        <v>1353</v>
      </c>
      <c r="C52" s="3758"/>
      <c r="D52" s="1087" t="e">
        <f ca="1">ROUND(D45*'数据-取费表'!B41/(1+'数据-取费表'!C42),0)</f>
        <v>#REF!</v>
      </c>
      <c r="E52" s="2334" t="s">
        <v>1354</v>
      </c>
      <c r="F52" s="2551">
        <f>'数据-取费表'!B41</f>
        <v>5.6000000000000001E-2</v>
      </c>
      <c r="G52" s="2552"/>
      <c r="H52" s="2541"/>
      <c r="I52" s="1807"/>
      <c r="J52" s="2520">
        <v>1</v>
      </c>
      <c r="K52" s="3735" t="s">
        <v>1355</v>
      </c>
      <c r="L52" s="3735"/>
      <c r="M52" s="2522" t="b">
        <f>D48</f>
        <v>0</v>
      </c>
      <c r="N52" s="2520" t="str">
        <f>E48</f>
        <v>销售额×税（费）率</v>
      </c>
      <c r="O52" s="2523">
        <f>F48</f>
        <v>5.6000000000000001E-2</v>
      </c>
    </row>
    <row r="53" spans="1:35" ht="12" customHeight="1">
      <c r="A53" s="2335" t="s">
        <v>1356</v>
      </c>
      <c r="B53" s="3759" t="s">
        <v>2287</v>
      </c>
      <c r="C53" s="3760"/>
      <c r="D53" s="1087" t="e">
        <f ca="1">ROUND(D45*'数据-取费表'!B41/(1+'数据-取费表'!C42),0)</f>
        <v>#REF!</v>
      </c>
      <c r="E53" s="2334" t="s">
        <v>1354</v>
      </c>
      <c r="F53" s="2551">
        <f>'数据-取费表'!B41</f>
        <v>5.6000000000000001E-2</v>
      </c>
      <c r="G53" s="2552"/>
      <c r="H53" s="2541"/>
      <c r="I53" s="1807"/>
      <c r="J53" s="2520">
        <v>2</v>
      </c>
      <c r="K53" s="3735" t="s">
        <v>1357</v>
      </c>
      <c r="L53" s="3735"/>
      <c r="M53" s="2522" t="e">
        <f t="shared" ref="M53:O54" ca="1" si="0">D55</f>
        <v>#REF!</v>
      </c>
      <c r="N53" s="2520" t="str">
        <f t="shared" si="0"/>
        <v>销售额×税（费）率</v>
      </c>
      <c r="O53" s="2523" t="str">
        <f t="shared" si="0"/>
        <v>免征</v>
      </c>
    </row>
    <row r="54" spans="1:35" ht="12" customHeight="1">
      <c r="A54" s="2335" t="s">
        <v>1358</v>
      </c>
      <c r="B54" s="3759" t="s">
        <v>2288</v>
      </c>
      <c r="C54" s="3760"/>
      <c r="D54" s="1087" t="e">
        <f ca="1">C68</f>
        <v>#REF!</v>
      </c>
      <c r="E54" s="327" t="s">
        <v>1359</v>
      </c>
      <c r="F54" s="2551">
        <f>'数据-取费表'!B41</f>
        <v>5.6000000000000001E-2</v>
      </c>
      <c r="G54" s="2552"/>
      <c r="H54" s="2553"/>
      <c r="I54" s="1807"/>
      <c r="J54" s="2520">
        <v>3</v>
      </c>
      <c r="K54" s="3735" t="s">
        <v>1360</v>
      </c>
      <c r="L54" s="3735"/>
      <c r="M54" s="2522" t="e">
        <f t="shared" ca="1" si="0"/>
        <v>#REF!</v>
      </c>
      <c r="N54" s="2520" t="str">
        <f t="shared" si="0"/>
        <v>增值额×税（费）率</v>
      </c>
      <c r="O54" s="2524" t="str">
        <f t="shared" si="0"/>
        <v>免征</v>
      </c>
    </row>
    <row r="55" spans="1:35" ht="24" customHeight="1">
      <c r="A55" s="3795" t="s">
        <v>1361</v>
      </c>
      <c r="B55" s="3773"/>
      <c r="C55" s="3773"/>
      <c r="D55" s="2324" t="e">
        <f ca="1">IF(H55="个人住宅",0,ROUND(D45*I55,0))</f>
        <v>#REF!</v>
      </c>
      <c r="E55" s="2334" t="s">
        <v>1362</v>
      </c>
      <c r="F55" s="2551" t="str">
        <f>IF(H55="正常",I55,"免征")</f>
        <v>免征</v>
      </c>
      <c r="G55" s="2552"/>
      <c r="H55" s="2547"/>
      <c r="I55" s="165">
        <f>'数据-取费表'!B49</f>
        <v>5.0000000000000001E-4</v>
      </c>
      <c r="J55" s="2520">
        <f>IF(H59="非个人房产","",4)</f>
        <v>4</v>
      </c>
      <c r="K55" s="3735" t="str">
        <f>IF(H59="非个人房产","——","个人所得税")</f>
        <v>个人所得税</v>
      </c>
      <c r="L55" s="3735"/>
      <c r="M55" s="2525" t="e">
        <f ca="1">D59</f>
        <v>#REF!</v>
      </c>
      <c r="N55" s="2040" t="str">
        <f>E59</f>
        <v>差额计税</v>
      </c>
      <c r="O55" s="2526">
        <f>F59</f>
        <v>0.01</v>
      </c>
    </row>
    <row r="56" spans="1:35" ht="24.75">
      <c r="A56" s="3795" t="s">
        <v>1363</v>
      </c>
      <c r="B56" s="3773"/>
      <c r="C56" s="3773"/>
      <c r="D56" s="2324" t="e">
        <f ca="1">IF(H56="个人住宅",D57,D58)</f>
        <v>#REF!</v>
      </c>
      <c r="E56" s="2334" t="s">
        <v>1364</v>
      </c>
      <c r="F56" s="2551" t="str">
        <f>IF(H56="正常",F58,"免征")</f>
        <v>免征</v>
      </c>
      <c r="G56" s="2554" t="s">
        <v>1365</v>
      </c>
      <c r="H56" s="2555"/>
      <c r="I56" s="1808"/>
      <c r="J56" s="2520" t="str">
        <f>IF(项目基本情况!K6="上海银行",IF(J55="",4,J55+1),"")</f>
        <v/>
      </c>
      <c r="K56" s="3716" t="str">
        <f>IF(项目基本情况!K6="上海银行","其他处置费用","")</f>
        <v/>
      </c>
      <c r="L56" s="3717"/>
      <c r="M56" s="2522" t="str">
        <f>IF(项目基本情况!K6="上海银行",M69,"")</f>
        <v/>
      </c>
      <c r="N56" s="3716" t="str">
        <f>IF(项目基本情况!K6="上海银行","包含处置中涉及的律师、诉讼、拍卖、评估等费用","")</f>
        <v/>
      </c>
      <c r="O56" s="3719"/>
    </row>
    <row r="57" spans="1:35" ht="12.75">
      <c r="A57" s="2335" t="s">
        <v>1341</v>
      </c>
      <c r="B57" s="3759" t="s">
        <v>1366</v>
      </c>
      <c r="C57" s="3760"/>
      <c r="D57" s="1590">
        <v>0</v>
      </c>
      <c r="E57" s="324" t="s">
        <v>1343</v>
      </c>
      <c r="F57" s="302"/>
      <c r="G57" s="2552"/>
      <c r="H57" s="2556"/>
      <c r="I57" s="1808"/>
      <c r="J57" s="3735">
        <f>IF(AND(J55="",J56=""),4,IF(项目基本情况!K6="上海银行",结果表!J56+1,结果表!J55+1))</f>
        <v>5</v>
      </c>
      <c r="K57" s="3735" t="s">
        <v>1367</v>
      </c>
      <c r="L57" s="2527" t="s">
        <v>1368</v>
      </c>
      <c r="M57" s="2528"/>
      <c r="N57" s="2529">
        <f ca="1">SUMIF(M52:M56,"&lt;9e307")</f>
        <v>0</v>
      </c>
      <c r="O57" s="2530"/>
      <c r="P57" s="2686" t="e">
        <f ca="1">N57/M49</f>
        <v>#VALUE!</v>
      </c>
    </row>
    <row r="58" spans="1:35" ht="24.75">
      <c r="A58" s="2335" t="s">
        <v>1352</v>
      </c>
      <c r="B58" s="3759" t="s">
        <v>1369</v>
      </c>
      <c r="C58" s="3758"/>
      <c r="D58" s="2324" t="e">
        <f ca="1">IF(H58="转让取得",C81,C97)</f>
        <v>#REF!</v>
      </c>
      <c r="E58" s="2334" t="s">
        <v>1364</v>
      </c>
      <c r="F58" s="302" t="s">
        <v>28</v>
      </c>
      <c r="G58" s="2552"/>
      <c r="H58" s="2555"/>
      <c r="I58" s="1808"/>
      <c r="J58" s="3735"/>
      <c r="K58" s="3735"/>
      <c r="L58" s="2527" t="s">
        <v>1370</v>
      </c>
      <c r="M58" s="2531"/>
      <c r="N58" s="2532" t="str">
        <f ca="1">NUMBERSTRING(INT(N57*10000),2)&amp;"元整"</f>
        <v>零元整</v>
      </c>
      <c r="O58" s="2533"/>
    </row>
    <row r="59" spans="1:35" ht="24.75" thickBot="1">
      <c r="A59" s="3739" t="s">
        <v>1371</v>
      </c>
      <c r="B59" s="3740"/>
      <c r="C59" s="374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37">
        <f>J57+1</f>
        <v>6</v>
      </c>
      <c r="K59" s="3735" t="s">
        <v>1372</v>
      </c>
      <c r="L59" s="2520" t="s">
        <v>1368</v>
      </c>
      <c r="M59" s="2534"/>
      <c r="N59" s="2535" t="e">
        <f ca="1">M49-N57</f>
        <v>#VALUE!</v>
      </c>
      <c r="O59" s="2536"/>
    </row>
    <row r="60" spans="1:35" ht="12" customHeight="1">
      <c r="A60" s="1809"/>
      <c r="B60" s="1747"/>
      <c r="C60" s="1747"/>
      <c r="D60" s="1747"/>
      <c r="E60" s="1578"/>
      <c r="F60" s="1808"/>
      <c r="G60" s="1808"/>
      <c r="H60" s="1810"/>
      <c r="I60" s="129"/>
      <c r="J60" s="3738"/>
      <c r="K60" s="3735"/>
      <c r="L60" s="2527" t="s">
        <v>1370</v>
      </c>
      <c r="M60" s="2531"/>
      <c r="N60" s="2532" t="e">
        <f ca="1">NUMBERSTRING(INT(N59*10000),2)&amp;"元整"</f>
        <v>#VALUE!</v>
      </c>
      <c r="O60" s="2533"/>
    </row>
    <row r="61" spans="1:35" ht="13.5" thickBot="1">
      <c r="A61" s="3794" t="s">
        <v>1373</v>
      </c>
      <c r="B61" s="3794"/>
      <c r="C61" s="3794"/>
      <c r="D61" s="3794"/>
      <c r="E61" s="3794"/>
      <c r="F61" s="1808"/>
      <c r="G61" s="1808"/>
      <c r="H61" s="1810"/>
      <c r="I61" s="129"/>
      <c r="J61" s="2520">
        <f>J59+1</f>
        <v>7</v>
      </c>
      <c r="K61" s="3735" t="s">
        <v>1374</v>
      </c>
      <c r="L61" s="3735"/>
      <c r="M61" s="2537"/>
      <c r="N61" s="2538" t="e">
        <f ca="1">ROUND(N59*10000/'数据-汇总表'!E3,0)</f>
        <v>#VALUE!</v>
      </c>
      <c r="O61" s="2539"/>
    </row>
    <row r="62" spans="1:35" ht="12.75">
      <c r="A62" s="3754" t="s">
        <v>1375</v>
      </c>
      <c r="B62" s="3755"/>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18"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1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18"/>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18"/>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1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18"/>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18"/>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62" t="s">
        <v>1394</v>
      </c>
      <c r="B70" s="3763"/>
      <c r="C70" s="3763"/>
      <c r="D70" s="3763"/>
      <c r="E70" s="3763"/>
      <c r="F70" s="3763"/>
      <c r="G70" s="3763"/>
      <c r="H70" s="376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54" t="s">
        <v>1375</v>
      </c>
      <c r="B71" s="3755"/>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59" t="s">
        <v>1402</v>
      </c>
      <c r="F76" s="3758"/>
      <c r="G76" s="3758"/>
      <c r="H76" s="376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51" t="s">
        <v>1406</v>
      </c>
      <c r="F78" s="3752"/>
      <c r="G78" s="3752"/>
      <c r="H78" s="37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62" t="s">
        <v>1410</v>
      </c>
      <c r="B83" s="3763"/>
      <c r="C83" s="3763"/>
      <c r="D83" s="3763"/>
      <c r="E83" s="3763"/>
      <c r="F83" s="3763"/>
      <c r="G83" s="3763"/>
      <c r="H83" s="376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54" t="s">
        <v>1375</v>
      </c>
      <c r="B84" s="375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20" t="s">
        <v>2129</v>
      </c>
      <c r="H90" s="372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51" t="s">
        <v>1419</v>
      </c>
      <c r="F91" s="3752"/>
      <c r="G91" s="37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51" t="s">
        <v>1422</v>
      </c>
      <c r="F92" s="3752"/>
      <c r="G92" s="3752"/>
      <c r="H92" s="3753"/>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51" t="s">
        <v>1406</v>
      </c>
      <c r="F93" s="3752"/>
      <c r="G93" s="3752"/>
      <c r="H93" s="37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96" t="s">
        <v>1426</v>
      </c>
      <c r="F94" s="3797"/>
      <c r="G94" s="3797"/>
      <c r="H94" s="37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01" t="s">
        <v>1428</v>
      </c>
      <c r="B100" s="3702"/>
      <c r="C100" s="3702"/>
      <c r="D100" s="3736"/>
      <c r="E100" s="3702" t="s">
        <v>1429</v>
      </c>
      <c r="F100" s="3702"/>
      <c r="G100" s="3702"/>
      <c r="H100" s="3736"/>
      <c r="I100" s="129"/>
    </row>
    <row r="101" spans="1:35" ht="18.75" customHeight="1">
      <c r="A101" s="3744" t="s">
        <v>1430</v>
      </c>
      <c r="B101" s="3745"/>
      <c r="C101" s="2582">
        <f>C4</f>
        <v>0</v>
      </c>
      <c r="D101" s="2583">
        <f>D4</f>
        <v>0</v>
      </c>
      <c r="E101" s="3714" t="s">
        <v>1431</v>
      </c>
      <c r="F101" s="3715"/>
      <c r="G101" s="1827" t="s">
        <v>1432</v>
      </c>
      <c r="H101" s="2592" t="e">
        <f ca="1">H118</f>
        <v>#REF!</v>
      </c>
      <c r="I101" s="129"/>
    </row>
    <row r="102" spans="1:35" ht="18.75" customHeight="1">
      <c r="A102" s="3746" t="s">
        <v>1433</v>
      </c>
      <c r="B102" s="2581" t="s">
        <v>1432</v>
      </c>
      <c r="C102" s="2582" t="e">
        <f ca="1">IF(D32="楼面单价",ROUND(C19,0),C19)</f>
        <v>#REF!</v>
      </c>
      <c r="D102" s="2583" t="e">
        <f ca="1">IF(D32="楼面单价",ROUND(D19,0),D19)</f>
        <v>#REF!</v>
      </c>
      <c r="E102" s="3714"/>
      <c r="F102" s="3715"/>
      <c r="G102" s="1827" t="s">
        <v>1434</v>
      </c>
      <c r="H102" s="2552" t="e">
        <f ca="1">I118</f>
        <v>#REF!</v>
      </c>
      <c r="I102" s="129"/>
    </row>
    <row r="103" spans="1:35" ht="42.75" customHeight="1">
      <c r="A103" s="3746"/>
      <c r="B103" s="2581" t="s">
        <v>1434</v>
      </c>
      <c r="C103" s="2584" t="e">
        <f ca="1">C20</f>
        <v>#REF!</v>
      </c>
      <c r="D103" s="2585" t="e">
        <f ca="1">D20</f>
        <v>#REF!</v>
      </c>
      <c r="E103" s="3707" t="s">
        <v>1435</v>
      </c>
      <c r="F103" s="3708"/>
      <c r="G103" s="1828" t="s">
        <v>1436</v>
      </c>
      <c r="H103" s="2592">
        <f>IF(D36="正常操作",H104+H105+H106,H105+H106)</f>
        <v>0</v>
      </c>
      <c r="I103" s="129"/>
    </row>
    <row r="104" spans="1:35" ht="18.75" customHeight="1">
      <c r="A104" s="3746"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56"/>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7" t="str">
        <f>IF(项目基本情况!E8="已注销","——","3.房地产抵押价值")</f>
        <v>3.房地产抵押价值</v>
      </c>
      <c r="F107" s="3715"/>
      <c r="G107" s="1827" t="s">
        <v>1432</v>
      </c>
      <c r="H107" s="2592" t="e">
        <f ca="1">IF(E107="——","——",H101-H103)</f>
        <v>#REF!</v>
      </c>
      <c r="I107" s="129"/>
    </row>
    <row r="108" spans="1:35" ht="18.75" customHeight="1">
      <c r="A108" s="129"/>
      <c r="B108" s="129"/>
      <c r="C108" s="129"/>
      <c r="D108" s="129"/>
      <c r="E108" s="3747"/>
      <c r="F108" s="3715"/>
      <c r="G108" s="1827" t="s">
        <v>1434</v>
      </c>
      <c r="H108" s="2552" t="e">
        <f ca="1">IF(H107=H101,H102,ROUND(H107*10000/'数据-汇总表'!E3,0))</f>
        <v>#REF!</v>
      </c>
      <c r="I108" s="129"/>
    </row>
    <row r="109" spans="1:35" ht="18.75" customHeight="1">
      <c r="A109" s="129"/>
      <c r="B109" s="129"/>
      <c r="C109" s="129"/>
      <c r="D109" s="129"/>
      <c r="E109" s="3747" t="str">
        <f>IF(项目基本情况!E8="已注销及未注销","4.抵押担保权已注销时的房地产抵押价值",IF(项目基本情况!E8="已注销","3.抵押担保权已注销时的房地产抵押价值","——"))</f>
        <v>——</v>
      </c>
      <c r="F109" s="3715"/>
      <c r="G109" s="1827" t="s">
        <v>1432</v>
      </c>
      <c r="H109" s="2595" t="str">
        <f>IF(E109="——","——",H101-H105-H106)</f>
        <v>——</v>
      </c>
      <c r="I109" s="129"/>
    </row>
    <row r="110" spans="1:35" ht="18.75" customHeight="1">
      <c r="A110" s="129"/>
      <c r="B110" s="129"/>
      <c r="C110" s="129"/>
      <c r="D110" s="129"/>
      <c r="E110" s="3747"/>
      <c r="F110" s="3715"/>
      <c r="G110" s="1827" t="s">
        <v>1434</v>
      </c>
      <c r="H110" s="2552" t="str">
        <f>IF(H109="——","——",ROUND(H109*10000/'数据-汇总表'!E3,0))</f>
        <v>——</v>
      </c>
      <c r="I110" s="129"/>
    </row>
    <row r="111" spans="1:35" ht="18.75" customHeight="1">
      <c r="A111" s="129"/>
      <c r="B111" s="129"/>
      <c r="C111" s="129"/>
      <c r="D111" s="129"/>
      <c r="E111" s="3748" t="str">
        <f>IF(项目基本情况!E9="抵押净值",IF(OR(项目基本情况!E8="已注销",项目基本情况!E8="房地产抵押价值"),"4.抵押净值","5.抵押净值"),"——")</f>
        <v>——</v>
      </c>
      <c r="F111" s="3734"/>
      <c r="G111" s="1827" t="s">
        <v>1432</v>
      </c>
      <c r="H111" s="2592" t="str">
        <f>IF(E111="——","——",N59)</f>
        <v>——</v>
      </c>
      <c r="I111" s="129"/>
    </row>
    <row r="112" spans="1:35" ht="18.75" customHeight="1" thickBot="1">
      <c r="A112" s="129"/>
      <c r="B112" s="129"/>
      <c r="C112" s="129"/>
      <c r="D112" s="129"/>
      <c r="E112" s="3749"/>
      <c r="F112" s="3750"/>
      <c r="G112" s="1830" t="s">
        <v>1434</v>
      </c>
      <c r="H112" s="2596" t="str">
        <f>IF(E111="——","——",N61)</f>
        <v>——</v>
      </c>
      <c r="I112" s="129"/>
    </row>
    <row r="113" spans="1:27" ht="18.75" customHeight="1">
      <c r="A113" s="129"/>
      <c r="B113" s="129"/>
      <c r="C113" s="129"/>
      <c r="D113" s="129"/>
      <c r="E113" s="3757" t="s">
        <v>1440</v>
      </c>
      <c r="F113" s="3757"/>
      <c r="G113" s="3757"/>
      <c r="H113" s="3757"/>
      <c r="I113" s="129"/>
    </row>
    <row r="114" spans="1:27" ht="3.75" customHeight="1">
      <c r="A114" s="1747"/>
      <c r="B114" s="1747"/>
      <c r="C114" s="1747"/>
      <c r="D114" s="1747"/>
      <c r="E114" s="1809"/>
      <c r="F114" s="1809"/>
      <c r="G114" s="1809"/>
      <c r="H114" s="1809"/>
      <c r="I114" s="1747"/>
    </row>
    <row r="115" spans="1:27" ht="18.75" customHeight="1">
      <c r="A115" s="3765" t="s">
        <v>1442</v>
      </c>
      <c r="B115" s="3766"/>
      <c r="C115" s="3766"/>
      <c r="D115" s="3766"/>
      <c r="E115" s="3766"/>
      <c r="F115" s="3766"/>
      <c r="G115" s="3766"/>
      <c r="H115" s="3766"/>
      <c r="I115" s="3767"/>
    </row>
    <row r="116" spans="1:27" ht="27" customHeight="1">
      <c r="A116" s="3722" t="s">
        <v>1443</v>
      </c>
      <c r="B116" s="3726" t="s">
        <v>1444</v>
      </c>
      <c r="C116" s="3726" t="s">
        <v>1445</v>
      </c>
      <c r="D116" s="3732" t="s">
        <v>1446</v>
      </c>
      <c r="E116" s="3733"/>
      <c r="F116" s="3764" t="s">
        <v>1447</v>
      </c>
      <c r="G116" s="3764"/>
      <c r="H116" s="3722" t="s">
        <v>1448</v>
      </c>
      <c r="I116" s="3722"/>
    </row>
    <row r="117" spans="1:27" ht="18.75" customHeight="1">
      <c r="A117" s="3722"/>
      <c r="B117" s="3727"/>
      <c r="C117" s="3727"/>
      <c r="D117" s="2329" t="s">
        <v>1449</v>
      </c>
      <c r="E117" s="2329" t="s">
        <v>1450</v>
      </c>
      <c r="F117" s="2329" t="s">
        <v>1449</v>
      </c>
      <c r="G117" s="2329" t="s">
        <v>1451</v>
      </c>
      <c r="H117" s="2329" t="s">
        <v>1449</v>
      </c>
      <c r="I117" s="2329" t="s">
        <v>1451</v>
      </c>
    </row>
    <row r="118" spans="1:27" ht="24.75" customHeight="1">
      <c r="A118" s="2597" t="str">
        <f>项目基本情况!S2</f>
        <v>北京市大兴区兴业大街（三段）房地产</v>
      </c>
      <c r="B118" s="2329">
        <f>M18</f>
        <v>608.29999999999995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22" t="s">
        <v>1452</v>
      </c>
      <c r="B119" s="3722"/>
      <c r="C119" s="3722"/>
      <c r="D119" s="3728" t="e">
        <f ca="1">NUMBERSTRING(INT(D118*10000),2)&amp;"元整"</f>
        <v>#REF!</v>
      </c>
      <c r="E119" s="3729"/>
      <c r="F119" s="3728" t="e">
        <f ca="1">NUMBERSTRING(INT(F118*10000),2)&amp;"元整"</f>
        <v>#REF!</v>
      </c>
      <c r="G119" s="3729"/>
      <c r="H119" s="3728" t="e">
        <f ca="1">NUMBERSTRING(INT(H118*10000),2)&amp;"元整"</f>
        <v>#REF!</v>
      </c>
      <c r="I119" s="3729"/>
    </row>
    <row r="120" spans="1:27" ht="18.75" customHeight="1">
      <c r="A120" s="3723" t="str">
        <f>IF(项目基本情况!B9="房地产市场价值","",MID(E103,3,LEN(E103)-2))</f>
        <v/>
      </c>
      <c r="B120" s="3724"/>
      <c r="C120" s="3725"/>
      <c r="D120" s="3723">
        <f>H103</f>
        <v>0</v>
      </c>
      <c r="E120" s="3724"/>
      <c r="F120" s="3724"/>
      <c r="G120" s="3724"/>
      <c r="H120" s="3724"/>
      <c r="I120" s="372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8" t="s">
        <v>1452</v>
      </c>
      <c r="B121" s="3730"/>
      <c r="C121" s="3729"/>
      <c r="D121" s="3728" t="str">
        <f>IF(D120=0,"零元整",NUMBERSTRING(INT(D120*10000),2)&amp;"元整")</f>
        <v>零元整</v>
      </c>
      <c r="E121" s="3730"/>
      <c r="F121" s="3730"/>
      <c r="G121" s="3730"/>
      <c r="H121" s="3730"/>
      <c r="I121" s="3729"/>
      <c r="AA121" s="725"/>
    </row>
    <row r="122" spans="1:27" ht="18.75" customHeight="1">
      <c r="A122" s="3734" t="str">
        <f>IF(项目基本情况!B9="房地产市场价值","",MID(E107,3,LEN(E107)-2))</f>
        <v/>
      </c>
      <c r="B122" s="3734"/>
      <c r="C122" s="3734"/>
      <c r="D122" s="3723" t="e">
        <f ca="1">H107</f>
        <v>#REF!</v>
      </c>
      <c r="E122" s="3724"/>
      <c r="F122" s="3724"/>
      <c r="G122" s="3724"/>
      <c r="H122" s="3724"/>
      <c r="I122" s="3725"/>
      <c r="AA122" s="725"/>
    </row>
    <row r="123" spans="1:27" ht="18.75" customHeight="1">
      <c r="A123" s="3722" t="s">
        <v>1452</v>
      </c>
      <c r="B123" s="3722"/>
      <c r="C123" s="3722"/>
      <c r="D123" s="3728" t="e">
        <f ca="1">NUMBERSTRING(INT(D122*10000),2)&amp;"元整"</f>
        <v>#REF!</v>
      </c>
      <c r="E123" s="3730"/>
      <c r="F123" s="3730"/>
      <c r="G123" s="3730"/>
      <c r="H123" s="3730"/>
      <c r="I123" s="3729"/>
      <c r="AA123" s="725"/>
    </row>
    <row r="124" spans="1:27" ht="18.75" customHeight="1">
      <c r="A124" s="3734" t="str">
        <f>IF(项目基本情况!B9="房地产市场价值","",MID(E109,3,LEN(E109)-2))</f>
        <v/>
      </c>
      <c r="B124" s="3734"/>
      <c r="C124" s="3734"/>
      <c r="D124" s="3723" t="str">
        <f>H109</f>
        <v>——</v>
      </c>
      <c r="E124" s="3724"/>
      <c r="F124" s="3724"/>
      <c r="G124" s="3724"/>
      <c r="H124" s="3724"/>
      <c r="I124" s="3725"/>
      <c r="AA124" s="725"/>
    </row>
    <row r="125" spans="1:27" ht="18.75" customHeight="1">
      <c r="A125" s="3722" t="s">
        <v>1452</v>
      </c>
      <c r="B125" s="3722"/>
      <c r="C125" s="3722"/>
      <c r="D125" s="3728" t="e">
        <f>NUMBERSTRING(INT(D124*10000),2)&amp;"元整"</f>
        <v>#VALUE!</v>
      </c>
      <c r="E125" s="3730"/>
      <c r="F125" s="3730"/>
      <c r="G125" s="3730"/>
      <c r="H125" s="3730"/>
      <c r="I125" s="3729"/>
      <c r="AA125" s="725"/>
    </row>
    <row r="126" spans="1:27" ht="18.75" customHeight="1">
      <c r="A126" s="3734" t="str">
        <f>IF(项目基本情况!B9="房地产市场价值","",MID(E111,3,LEN(E111)-2))</f>
        <v/>
      </c>
      <c r="B126" s="3734"/>
      <c r="C126" s="3734"/>
      <c r="D126" s="3723" t="str">
        <f>H111</f>
        <v>——</v>
      </c>
      <c r="E126" s="3724"/>
      <c r="F126" s="3724"/>
      <c r="G126" s="3724"/>
      <c r="H126" s="3724"/>
      <c r="I126" s="3725"/>
      <c r="AA126" s="725"/>
    </row>
    <row r="127" spans="1:27" ht="18.75" customHeight="1">
      <c r="A127" s="3722" t="s">
        <v>1452</v>
      </c>
      <c r="B127" s="3722"/>
      <c r="C127" s="3722"/>
      <c r="D127" s="3728" t="e">
        <f>NUMBERSTRING(INT(D126*10000),2)&amp;"元整"</f>
        <v>#VALUE!</v>
      </c>
      <c r="E127" s="3730"/>
      <c r="F127" s="3730"/>
      <c r="G127" s="3730"/>
      <c r="H127" s="3730"/>
      <c r="I127" s="3729"/>
      <c r="AA127" s="725"/>
    </row>
    <row r="128" spans="1:27" ht="21.75" customHeight="1">
      <c r="A128" s="3731" t="s">
        <v>1453</v>
      </c>
      <c r="B128" s="3731"/>
      <c r="C128" s="3731"/>
      <c r="D128" s="3731"/>
      <c r="E128" s="3731"/>
      <c r="F128" s="3731"/>
      <c r="G128" s="3731"/>
      <c r="H128" s="3731"/>
      <c r="I128" s="37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12.166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608.29999999999995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608.29999999999995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274</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608.29999999999995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801" t="s">
        <v>1544</v>
      </c>
    </row>
    <row r="43" spans="1:7" ht="13.5" customHeight="1">
      <c r="A43" s="780" t="s">
        <v>347</v>
      </c>
      <c r="B43" s="215" t="s">
        <v>1545</v>
      </c>
      <c r="C43" s="238">
        <f ca="1">ROUND(IF('数据-取费表'!B22&lt;=1,C39*F22*'数据-取费表'!B21/2,C39*(POWER((1+F22),'数据-取费表'!B21/2)-1)),0)</f>
        <v>0</v>
      </c>
      <c r="D43" s="238"/>
      <c r="E43" s="238"/>
      <c r="F43" s="239"/>
      <c r="G43" s="3802"/>
    </row>
    <row r="44" spans="1:7" ht="13.5" customHeight="1">
      <c r="A44" s="780" t="s">
        <v>348</v>
      </c>
      <c r="B44" s="215" t="s">
        <v>1546</v>
      </c>
      <c r="C44" s="238">
        <f ca="1">ROUND(IF('数据-取费表'!B22&lt;=1,C40*F22*'数据-取费表'!B21/2,C40*(POWER((1+F22),'数据-取费表'!B21/2)-1)),4)</f>
        <v>6.9999999999999999E-4</v>
      </c>
      <c r="D44" s="238"/>
      <c r="E44" s="238"/>
      <c r="F44" s="239"/>
      <c r="G44" s="3803"/>
    </row>
    <row r="45" spans="1:7" s="214" customFormat="1" ht="13.5" customHeight="1">
      <c r="A45" s="255" t="s">
        <v>1547</v>
      </c>
      <c r="B45" s="244" t="s">
        <v>1513</v>
      </c>
      <c r="C45" s="245">
        <f ca="1">C46</f>
        <v>61</v>
      </c>
      <c r="D45" s="235">
        <f ca="1">C47</f>
        <v>4.0000000000000001E-3</v>
      </c>
      <c r="E45" s="236" t="s">
        <v>1539</v>
      </c>
      <c r="F45" s="246">
        <f ca="1">F27</f>
        <v>0.2</v>
      </c>
      <c r="G45" s="247" t="s">
        <v>1548</v>
      </c>
    </row>
    <row r="46" spans="1:7" s="214" customFormat="1" ht="13.5" customHeight="1">
      <c r="A46" s="780" t="s">
        <v>346</v>
      </c>
      <c r="B46" s="248" t="s">
        <v>1549</v>
      </c>
      <c r="C46" s="249">
        <f ca="1">ROUND((C33+C39)*F27,0)</f>
        <v>61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407</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315</v>
      </c>
      <c r="D51" s="232"/>
      <c r="E51" s="232"/>
      <c r="F51" s="264"/>
      <c r="G51" s="234" t="s">
        <v>1560</v>
      </c>
    </row>
    <row r="52" spans="1:7" s="208" customFormat="1" ht="16.5" thickBot="1">
      <c r="A52" s="265" t="s">
        <v>1561</v>
      </c>
      <c r="B52" s="266"/>
      <c r="C52" s="267">
        <f ca="1">C31+C51</f>
        <v>349</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8" t="str">
        <f>项目基本情况!B1</f>
        <v>北京市大兴区兴业大街（三段）房地产市场价值预评估</v>
      </c>
      <c r="C37" s="3618"/>
      <c r="D37" s="3618"/>
      <c r="E37" s="3618"/>
      <c r="F37" s="3618"/>
      <c r="G37" s="3618"/>
      <c r="H37" s="3618"/>
      <c r="I37" s="361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39" zoomScale="70" zoomScaleNormal="70" zoomScaleSheetLayoutView="70" workbookViewId="0">
      <selection activeCell="L49" sqref="L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3566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0.4501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7.4</v>
      </c>
      <c r="C3" s="354" t="s">
        <v>1768</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23" t="s">
        <v>1770</v>
      </c>
      <c r="D4" s="3824"/>
      <c r="E4" s="3825" t="s">
        <v>1771</v>
      </c>
      <c r="F4" s="3826"/>
      <c r="G4" s="3823" t="s">
        <v>1772</v>
      </c>
      <c r="H4" s="3824"/>
      <c r="I4" s="3823" t="s">
        <v>1773</v>
      </c>
      <c r="J4" s="3824"/>
      <c r="K4" s="559" t="s">
        <v>1774</v>
      </c>
      <c r="L4" s="2711"/>
      <c r="M4" s="2712"/>
      <c r="N4" s="2712"/>
      <c r="O4" s="2712"/>
      <c r="P4" s="3827" t="s">
        <v>1775</v>
      </c>
      <c r="Q4" s="3828"/>
      <c r="R4" s="3810" t="s">
        <v>1771</v>
      </c>
      <c r="S4" s="3811"/>
      <c r="T4" s="3810" t="s">
        <v>1772</v>
      </c>
      <c r="U4" s="3811"/>
      <c r="V4" s="3807" t="s">
        <v>1773</v>
      </c>
      <c r="W4" s="3807"/>
      <c r="X4" s="1355"/>
      <c r="Y4" s="3810" t="s">
        <v>1775</v>
      </c>
      <c r="Z4" s="3811"/>
      <c r="AA4" s="3804" t="s">
        <v>1771</v>
      </c>
      <c r="AB4" s="3807" t="s">
        <v>1772</v>
      </c>
      <c r="AC4" s="3804" t="s">
        <v>1773</v>
      </c>
    </row>
    <row r="5" spans="1:29" ht="15">
      <c r="A5" s="358"/>
      <c r="B5" s="359"/>
      <c r="C5" s="3816" t="s">
        <v>3783</v>
      </c>
      <c r="D5" s="3817"/>
      <c r="E5" s="3814" t="s">
        <v>3785</v>
      </c>
      <c r="F5" s="3815"/>
      <c r="G5" s="3814" t="s">
        <v>3784</v>
      </c>
      <c r="H5" s="3815"/>
      <c r="I5" s="3814" t="s">
        <v>3784</v>
      </c>
      <c r="J5" s="3815"/>
      <c r="K5" s="559"/>
      <c r="L5" s="2711"/>
      <c r="M5" s="2712"/>
      <c r="N5" s="2712"/>
      <c r="O5" s="2712"/>
      <c r="P5" s="3829"/>
      <c r="Q5" s="3830"/>
      <c r="R5" s="3812"/>
      <c r="S5" s="3813"/>
      <c r="T5" s="3812"/>
      <c r="U5" s="3813"/>
      <c r="V5" s="3807"/>
      <c r="W5" s="3807"/>
      <c r="X5" s="1355"/>
      <c r="Y5" s="3812"/>
      <c r="Z5" s="3813"/>
      <c r="AA5" s="3805"/>
      <c r="AB5" s="3807"/>
      <c r="AC5" s="3805"/>
    </row>
    <row r="6" spans="1:29" ht="15.75" thickBot="1">
      <c r="A6" s="360"/>
      <c r="B6" s="361"/>
      <c r="C6" s="3818" t="s">
        <v>1677</v>
      </c>
      <c r="D6" s="3819"/>
      <c r="E6" s="3820" t="s">
        <v>1677</v>
      </c>
      <c r="F6" s="3821"/>
      <c r="G6" s="3818" t="s">
        <v>1677</v>
      </c>
      <c r="H6" s="3819"/>
      <c r="I6" s="3818" t="s">
        <v>1677</v>
      </c>
      <c r="J6" s="3819"/>
      <c r="K6" s="559" t="s">
        <v>1678</v>
      </c>
      <c r="L6" s="2711"/>
      <c r="M6" s="2712"/>
      <c r="N6" s="2712"/>
      <c r="O6" s="2712"/>
      <c r="P6" s="3831"/>
      <c r="Q6" s="3832"/>
      <c r="R6" s="3812"/>
      <c r="S6" s="3813"/>
      <c r="T6" s="3833"/>
      <c r="U6" s="3834"/>
      <c r="V6" s="3807"/>
      <c r="W6" s="3807"/>
      <c r="X6" s="1355"/>
      <c r="Y6" s="3833"/>
      <c r="Z6" s="3834"/>
      <c r="AA6" s="3806"/>
      <c r="AB6" s="3807"/>
      <c r="AC6" s="3806"/>
    </row>
    <row r="7" spans="1:29" s="108" customFormat="1" ht="15.7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3"/>
      <c r="M7" s="2714"/>
      <c r="N7" s="2714"/>
      <c r="O7" s="2714"/>
      <c r="P7" s="3808" t="s">
        <v>1680</v>
      </c>
      <c r="Q7" s="3835"/>
      <c r="R7" s="701" t="s">
        <v>14</v>
      </c>
      <c r="S7" s="702">
        <f t="shared" ref="S7:S15" si="0">F7</f>
        <v>100</v>
      </c>
      <c r="T7" s="701" t="s">
        <v>14</v>
      </c>
      <c r="U7" s="702">
        <f t="shared" ref="U7:U15" si="1">H7</f>
        <v>100</v>
      </c>
      <c r="V7" s="701" t="s">
        <v>14</v>
      </c>
      <c r="W7" s="702">
        <f t="shared" ref="W7:W15" si="2">J7</f>
        <v>100</v>
      </c>
      <c r="X7" s="703"/>
      <c r="Y7" s="3808" t="s">
        <v>1680</v>
      </c>
      <c r="Z7" s="3809"/>
      <c r="AA7" s="704">
        <f>D7/F7</f>
        <v>1</v>
      </c>
      <c r="AB7" s="704">
        <f>D7/H7</f>
        <v>1</v>
      </c>
      <c r="AC7" s="704">
        <f>D7/J7</f>
        <v>1</v>
      </c>
    </row>
    <row r="8" spans="1:29" s="108" customFormat="1" ht="15.75" thickBot="1">
      <c r="A8" s="362" t="s">
        <v>1681</v>
      </c>
      <c r="B8" s="363"/>
      <c r="C8" s="368" t="s">
        <v>3556</v>
      </c>
      <c r="D8" s="365">
        <v>100</v>
      </c>
      <c r="E8" s="368" t="s">
        <v>3596</v>
      </c>
      <c r="F8" s="367">
        <f>SUMIF(61:61,E8,62:62)-SUMIF(61:61,C8,62:62)+100</f>
        <v>102</v>
      </c>
      <c r="G8" s="368" t="s">
        <v>3596</v>
      </c>
      <c r="H8" s="365">
        <f>SUMIF(61:61,G8,62:62)-SUMIF(61:61,C8,62:62)+100</f>
        <v>102</v>
      </c>
      <c r="I8" s="368" t="s">
        <v>3596</v>
      </c>
      <c r="J8" s="365">
        <f>SUMIF(61:61,I8,62:62)-SUMIF(61:61,C8,62:62)+100</f>
        <v>102</v>
      </c>
      <c r="K8" s="560"/>
      <c r="L8" s="2713"/>
      <c r="M8" s="2714"/>
      <c r="N8" s="2714"/>
      <c r="O8" s="2714"/>
      <c r="P8" s="3808" t="s">
        <v>1683</v>
      </c>
      <c r="Q8" s="3809"/>
      <c r="R8" s="701" t="s">
        <v>14</v>
      </c>
      <c r="S8" s="702">
        <f t="shared" si="0"/>
        <v>102</v>
      </c>
      <c r="T8" s="701" t="s">
        <v>14</v>
      </c>
      <c r="U8" s="702">
        <f t="shared" si="1"/>
        <v>102</v>
      </c>
      <c r="V8" s="701" t="s">
        <v>14</v>
      </c>
      <c r="W8" s="702">
        <f t="shared" si="2"/>
        <v>102</v>
      </c>
      <c r="X8" s="703"/>
      <c r="Y8" s="3808" t="s">
        <v>1683</v>
      </c>
      <c r="Z8" s="380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0"/>
      <c r="J10" s="127">
        <f>SUMIF(65:65,I10,66:66)-SUMIF(65:65,C10,66:66)+100</f>
        <v>100</v>
      </c>
      <c r="K10" s="560"/>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22"/>
      <c r="Q11" s="1343" t="str">
        <f t="shared" si="6"/>
        <v>容积率</v>
      </c>
      <c r="R11" s="701" t="s">
        <v>14</v>
      </c>
      <c r="S11" s="702">
        <f t="shared" si="0"/>
        <v>100</v>
      </c>
      <c r="T11" s="701" t="s">
        <v>14</v>
      </c>
      <c r="U11" s="702">
        <f t="shared" si="1"/>
        <v>100</v>
      </c>
      <c r="V11" s="701" t="s">
        <v>14</v>
      </c>
      <c r="W11" s="702">
        <f t="shared" si="2"/>
        <v>100</v>
      </c>
      <c r="X11" s="703"/>
      <c r="Y11" s="3777"/>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22"/>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22"/>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22"/>
      <c r="Q14" s="1343">
        <f t="shared" si="6"/>
        <v>111</v>
      </c>
      <c r="R14" s="701" t="s">
        <v>14</v>
      </c>
      <c r="S14" s="702">
        <f t="shared" si="0"/>
        <v>100</v>
      </c>
      <c r="T14" s="701" t="s">
        <v>14</v>
      </c>
      <c r="U14" s="702">
        <f t="shared" si="1"/>
        <v>100</v>
      </c>
      <c r="V14" s="701" t="s">
        <v>14</v>
      </c>
      <c r="W14" s="702">
        <f t="shared" si="2"/>
        <v>100</v>
      </c>
      <c r="X14" s="703"/>
      <c r="Y14" s="3777"/>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609" t="s">
        <v>3759</v>
      </c>
      <c r="F15" s="394">
        <f>SUMIF(76:76,E16,77:77)-SUMIF(76:76,C16,77:77)+100</f>
        <v>100</v>
      </c>
      <c r="G15" s="403" t="s">
        <v>3500</v>
      </c>
      <c r="H15" s="392">
        <f>SUMIF(76:76,G16,77:77)-SUMIF(76:76,C16,77:77)+100</f>
        <v>102</v>
      </c>
      <c r="I15" s="3609" t="s">
        <v>3759</v>
      </c>
      <c r="J15" s="392">
        <f>SUMIF(76:76,I16,77:77)-SUMIF(76:76,C16,77:77)+100</f>
        <v>100</v>
      </c>
      <c r="K15" s="563">
        <v>2</v>
      </c>
      <c r="L15" s="2718"/>
      <c r="M15" s="2712"/>
      <c r="N15" s="2712"/>
      <c r="O15" s="2712"/>
      <c r="P15" s="3836" t="s">
        <v>1691</v>
      </c>
      <c r="Q15" s="1352" t="str">
        <f t="shared" si="6"/>
        <v>商业繁华度</v>
      </c>
      <c r="R15" s="705" t="s">
        <v>14</v>
      </c>
      <c r="S15" s="706">
        <f t="shared" si="0"/>
        <v>100</v>
      </c>
      <c r="T15" s="705" t="s">
        <v>14</v>
      </c>
      <c r="U15" s="706">
        <f t="shared" si="1"/>
        <v>102</v>
      </c>
      <c r="V15" s="705" t="s">
        <v>14</v>
      </c>
      <c r="W15" s="706">
        <f t="shared" si="2"/>
        <v>100</v>
      </c>
      <c r="X15" s="1355"/>
      <c r="Y15" s="3838" t="s">
        <v>1691</v>
      </c>
      <c r="Z15" s="1356" t="str">
        <f t="shared" si="7"/>
        <v>商业繁华度</v>
      </c>
      <c r="AA15" s="1353">
        <f t="shared" si="3"/>
        <v>1</v>
      </c>
      <c r="AB15" s="1353">
        <f t="shared" si="4"/>
        <v>0.98039215686274506</v>
      </c>
      <c r="AC15" s="1353">
        <f t="shared" si="5"/>
        <v>1</v>
      </c>
    </row>
    <row r="16" spans="1:29" ht="18.75" customHeight="1" thickBot="1">
      <c r="A16" s="379"/>
      <c r="B16" s="397"/>
      <c r="C16" s="398" t="s">
        <v>3530</v>
      </c>
      <c r="D16" s="399"/>
      <c r="E16" s="398" t="s">
        <v>3530</v>
      </c>
      <c r="F16" s="400"/>
      <c r="G16" s="1898" t="s">
        <v>3500</v>
      </c>
      <c r="H16" s="401"/>
      <c r="I16" s="398" t="s">
        <v>3530</v>
      </c>
      <c r="J16" s="399"/>
      <c r="K16" s="564"/>
      <c r="L16" s="2718"/>
      <c r="M16" s="2712"/>
      <c r="N16" s="2712"/>
      <c r="O16" s="2712"/>
      <c r="P16" s="3837"/>
      <c r="Q16" s="1352"/>
      <c r="R16" s="705"/>
      <c r="S16" s="706"/>
      <c r="T16" s="705"/>
      <c r="U16" s="706"/>
      <c r="V16" s="705"/>
      <c r="W16" s="706"/>
      <c r="X16" s="1355"/>
      <c r="Y16" s="3839"/>
      <c r="Z16" s="1356"/>
      <c r="AA16" s="1353">
        <v>1</v>
      </c>
      <c r="AB16" s="1353">
        <v>1</v>
      </c>
      <c r="AC16" s="1353">
        <v>1</v>
      </c>
    </row>
    <row r="17" spans="1:29" ht="18.75" customHeight="1">
      <c r="A17" s="379"/>
      <c r="B17" s="402" t="s">
        <v>1259</v>
      </c>
      <c r="C17" s="1900" t="str">
        <f>估价对象房地状况!C6</f>
        <v>一般</v>
      </c>
      <c r="D17" s="401">
        <v>100</v>
      </c>
      <c r="E17" s="3609" t="s">
        <v>3759</v>
      </c>
      <c r="F17" s="404">
        <f>SUMIF(78:78,E18,79:79)-SUMIF(78:78,C18,79:79)+100</f>
        <v>100</v>
      </c>
      <c r="G17" s="403" t="s">
        <v>3500</v>
      </c>
      <c r="H17" s="406">
        <f>SUMIF(78:78,G18,79:79)-SUMIF(78:78,C18,79:79)+100</f>
        <v>102</v>
      </c>
      <c r="I17" s="3609" t="s">
        <v>3759</v>
      </c>
      <c r="J17" s="406">
        <f>SUMIF(78:78,I18,79:79)-SUMIF(78:78,C18,79:79)+100</f>
        <v>100</v>
      </c>
      <c r="K17" s="563">
        <v>2</v>
      </c>
      <c r="L17" s="2718"/>
      <c r="M17" s="2712"/>
      <c r="N17" s="2712"/>
      <c r="O17" s="2712"/>
      <c r="P17" s="3837"/>
      <c r="Q17" s="1352" t="str">
        <f>B17</f>
        <v>交通便捷度</v>
      </c>
      <c r="R17" s="705" t="s">
        <v>14</v>
      </c>
      <c r="S17" s="706">
        <f>F17</f>
        <v>100</v>
      </c>
      <c r="T17" s="705" t="s">
        <v>14</v>
      </c>
      <c r="U17" s="706">
        <f>H17</f>
        <v>102</v>
      </c>
      <c r="V17" s="705" t="s">
        <v>14</v>
      </c>
      <c r="W17" s="706">
        <f>J17</f>
        <v>100</v>
      </c>
      <c r="X17" s="1355"/>
      <c r="Y17" s="3839"/>
      <c r="Z17" s="1356" t="str">
        <f>Q17</f>
        <v>交通便捷度</v>
      </c>
      <c r="AA17" s="1353">
        <f t="shared" si="3"/>
        <v>1</v>
      </c>
      <c r="AB17" s="1353">
        <f t="shared" si="4"/>
        <v>0.98039215686274506</v>
      </c>
      <c r="AC17" s="1353">
        <f t="shared" si="5"/>
        <v>1</v>
      </c>
    </row>
    <row r="18" spans="1:29" ht="18.75" customHeight="1" thickBot="1">
      <c r="A18" s="379"/>
      <c r="B18" s="407"/>
      <c r="C18" s="398" t="s">
        <v>3530</v>
      </c>
      <c r="D18" s="401"/>
      <c r="E18" s="398" t="s">
        <v>3530</v>
      </c>
      <c r="F18" s="404"/>
      <c r="G18" s="1903" t="s">
        <v>3500</v>
      </c>
      <c r="H18" s="399"/>
      <c r="I18" s="398" t="s">
        <v>3530</v>
      </c>
      <c r="J18" s="399"/>
      <c r="K18" s="564"/>
      <c r="L18" s="2718"/>
      <c r="M18" s="2712"/>
      <c r="N18" s="2712"/>
      <c r="O18" s="2712"/>
      <c r="P18" s="3837"/>
      <c r="Q18" s="1352"/>
      <c r="R18" s="705"/>
      <c r="S18" s="706"/>
      <c r="T18" s="705"/>
      <c r="U18" s="706"/>
      <c r="V18" s="705"/>
      <c r="W18" s="706"/>
      <c r="X18" s="1355"/>
      <c r="Y18" s="3839"/>
      <c r="Z18" s="1356"/>
      <c r="AA18" s="1353">
        <v>1</v>
      </c>
      <c r="AB18" s="1353">
        <v>1</v>
      </c>
      <c r="AC18" s="1353">
        <v>1</v>
      </c>
    </row>
    <row r="19" spans="1:29" ht="18.75" customHeight="1">
      <c r="A19" s="379"/>
      <c r="B19" s="402" t="s">
        <v>1778</v>
      </c>
      <c r="C19" s="1900" t="str">
        <f>估价对象房地状况!C7</f>
        <v>一般</v>
      </c>
      <c r="D19" s="406">
        <v>100</v>
      </c>
      <c r="E19" s="3609" t="s">
        <v>3759</v>
      </c>
      <c r="F19" s="409">
        <f>SUMIF(80:80,E20,81:81)-SUMIF(80:80,C20,81:81)+100</f>
        <v>100</v>
      </c>
      <c r="G19" s="3609" t="s">
        <v>3759</v>
      </c>
      <c r="H19" s="401">
        <f>SUMIF(80:80,G20,81:81)-SUMIF(80:80,C20,81:81)+100</f>
        <v>100</v>
      </c>
      <c r="I19" s="3609" t="s">
        <v>3759</v>
      </c>
      <c r="J19" s="401">
        <f>SUMIF(80:80,I20,81:81)-SUMIF(80:80,C20,81:81)+100</f>
        <v>100</v>
      </c>
      <c r="K19" s="563">
        <v>2</v>
      </c>
      <c r="L19" s="2718"/>
      <c r="M19" s="2712"/>
      <c r="N19" s="2712"/>
      <c r="O19" s="2712"/>
      <c r="P19" s="3837"/>
      <c r="Q19" s="1352" t="str">
        <f>B19</f>
        <v>公共配套设施</v>
      </c>
      <c r="R19" s="705" t="s">
        <v>14</v>
      </c>
      <c r="S19" s="706">
        <f>F19</f>
        <v>100</v>
      </c>
      <c r="T19" s="705" t="s">
        <v>14</v>
      </c>
      <c r="U19" s="706">
        <f>H19</f>
        <v>100</v>
      </c>
      <c r="V19" s="705" t="s">
        <v>14</v>
      </c>
      <c r="W19" s="706">
        <f>J19</f>
        <v>100</v>
      </c>
      <c r="X19" s="1355"/>
      <c r="Y19" s="3839"/>
      <c r="Z19" s="1356" t="str">
        <f>Q19</f>
        <v>公共配套设施</v>
      </c>
      <c r="AA19" s="1353">
        <f t="shared" si="3"/>
        <v>1</v>
      </c>
      <c r="AB19" s="1353">
        <f t="shared" si="4"/>
        <v>1</v>
      </c>
      <c r="AC19" s="1353">
        <f t="shared" si="5"/>
        <v>1</v>
      </c>
    </row>
    <row r="20" spans="1:29" ht="18.75" customHeight="1">
      <c r="A20" s="379"/>
      <c r="B20" s="407"/>
      <c r="C20" s="398" t="s">
        <v>3530</v>
      </c>
      <c r="D20" s="399"/>
      <c r="E20" s="398" t="s">
        <v>3530</v>
      </c>
      <c r="F20" s="400"/>
      <c r="G20" s="398" t="s">
        <v>3530</v>
      </c>
      <c r="H20" s="399"/>
      <c r="I20" s="398" t="s">
        <v>3530</v>
      </c>
      <c r="J20" s="399"/>
      <c r="K20" s="564"/>
      <c r="L20" s="2718"/>
      <c r="M20" s="2712"/>
      <c r="N20" s="2712"/>
      <c r="O20" s="2712"/>
      <c r="P20" s="3837"/>
      <c r="Q20" s="1352"/>
      <c r="R20" s="705"/>
      <c r="S20" s="706"/>
      <c r="T20" s="705"/>
      <c r="U20" s="706"/>
      <c r="V20" s="705"/>
      <c r="W20" s="706"/>
      <c r="X20" s="1355"/>
      <c r="Y20" s="3839"/>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37"/>
      <c r="Q21" s="1352" t="str">
        <f>B21</f>
        <v>基础设施水平</v>
      </c>
      <c r="R21" s="705" t="s">
        <v>14</v>
      </c>
      <c r="S21" s="706">
        <f>F21</f>
        <v>100</v>
      </c>
      <c r="T21" s="705" t="s">
        <v>14</v>
      </c>
      <c r="U21" s="706">
        <f>H21</f>
        <v>100</v>
      </c>
      <c r="V21" s="705" t="s">
        <v>14</v>
      </c>
      <c r="W21" s="706">
        <f>J21</f>
        <v>100</v>
      </c>
      <c r="X21" s="1355"/>
      <c r="Y21" s="3839"/>
      <c r="Z21" s="1356" t="str">
        <f>Q21</f>
        <v>基础设施水平</v>
      </c>
      <c r="AA21" s="1353">
        <f t="shared" ref="AA21" si="8">D21/F21</f>
        <v>1</v>
      </c>
      <c r="AB21" s="1353">
        <f t="shared" ref="AB21" si="9">D21/H21</f>
        <v>1</v>
      </c>
      <c r="AC21" s="1353">
        <f t="shared" ref="AC21" si="10">D21/J21</f>
        <v>1</v>
      </c>
    </row>
    <row r="22" spans="1:29" ht="18.75" customHeight="1" thickBot="1">
      <c r="A22" s="379"/>
      <c r="B22" s="1131"/>
      <c r="C22" s="1901" t="s">
        <v>3501</v>
      </c>
      <c r="D22" s="399"/>
      <c r="E22" s="398" t="s">
        <v>3501</v>
      </c>
      <c r="F22" s="400"/>
      <c r="G22" s="398" t="s">
        <v>3501</v>
      </c>
      <c r="H22" s="399"/>
      <c r="I22" s="398" t="s">
        <v>3501</v>
      </c>
      <c r="J22" s="399"/>
      <c r="K22" s="1130"/>
      <c r="L22" s="2718"/>
      <c r="M22" s="2712"/>
      <c r="N22" s="2712"/>
      <c r="O22" s="2712"/>
      <c r="P22" s="3837"/>
      <c r="Q22" s="1352"/>
      <c r="R22" s="705"/>
      <c r="S22" s="706"/>
      <c r="T22" s="705"/>
      <c r="U22" s="706"/>
      <c r="V22" s="705"/>
      <c r="W22" s="706"/>
      <c r="X22" s="1355"/>
      <c r="Y22" s="3839"/>
      <c r="Z22" s="1356"/>
      <c r="AA22" s="1353">
        <v>1</v>
      </c>
      <c r="AB22" s="1353">
        <v>1</v>
      </c>
      <c r="AC22" s="1353">
        <v>1</v>
      </c>
    </row>
    <row r="23" spans="1:29" ht="18.75" customHeight="1">
      <c r="A23" s="379"/>
      <c r="B23" s="402" t="s">
        <v>1261</v>
      </c>
      <c r="C23" s="1955" t="str">
        <f>估价对象房地状况!C9</f>
        <v>一般</v>
      </c>
      <c r="D23" s="401">
        <v>100</v>
      </c>
      <c r="E23" s="3609" t="s">
        <v>3759</v>
      </c>
      <c r="F23" s="404">
        <f>SUMIF(84:84,E24,85:85)-SUMIF(84:84,C24,85:85)+100</f>
        <v>100</v>
      </c>
      <c r="G23" s="3609" t="s">
        <v>3759</v>
      </c>
      <c r="H23" s="401">
        <f>SUMIF(84:84,G24,85:85)-SUMIF(84:84,C24,85:85)+100</f>
        <v>100</v>
      </c>
      <c r="I23" s="3609" t="s">
        <v>3759</v>
      </c>
      <c r="J23" s="401">
        <f>SUMIF(84:84,I24,85:85)-SUMIF(84:84,C24,85:85)+100</f>
        <v>100</v>
      </c>
      <c r="K23" s="563">
        <v>2</v>
      </c>
      <c r="L23" s="2718"/>
      <c r="M23" s="2712"/>
      <c r="N23" s="2712"/>
      <c r="O23" s="2712"/>
      <c r="P23" s="3837"/>
      <c r="Q23" s="1352" t="str">
        <f>B23</f>
        <v>自然及人文环境</v>
      </c>
      <c r="R23" s="705" t="s">
        <v>14</v>
      </c>
      <c r="S23" s="706">
        <f>F23</f>
        <v>100</v>
      </c>
      <c r="T23" s="705" t="s">
        <v>14</v>
      </c>
      <c r="U23" s="706">
        <f>H23</f>
        <v>100</v>
      </c>
      <c r="V23" s="705" t="s">
        <v>14</v>
      </c>
      <c r="W23" s="706">
        <f>J23</f>
        <v>100</v>
      </c>
      <c r="X23" s="1355"/>
      <c r="Y23" s="3839"/>
      <c r="Z23" s="1356" t="str">
        <f>Q23</f>
        <v>自然及人文环境</v>
      </c>
      <c r="AA23" s="1353">
        <f t="shared" si="3"/>
        <v>1</v>
      </c>
      <c r="AB23" s="1353">
        <f t="shared" si="4"/>
        <v>1</v>
      </c>
      <c r="AC23" s="1353">
        <f t="shared" si="5"/>
        <v>1</v>
      </c>
    </row>
    <row r="24" spans="1:29" ht="15">
      <c r="A24" s="379"/>
      <c r="B24" s="407"/>
      <c r="C24" s="398" t="s">
        <v>3530</v>
      </c>
      <c r="D24" s="399"/>
      <c r="E24" s="398" t="s">
        <v>3530</v>
      </c>
      <c r="F24" s="400"/>
      <c r="G24" s="398" t="s">
        <v>3530</v>
      </c>
      <c r="H24" s="399"/>
      <c r="I24" s="398" t="s">
        <v>3530</v>
      </c>
      <c r="J24" s="399"/>
      <c r="K24" s="564"/>
      <c r="L24" s="2718"/>
      <c r="M24" s="2712"/>
      <c r="N24" s="2712"/>
      <c r="O24" s="2712"/>
      <c r="P24" s="3837"/>
      <c r="Q24" s="1352"/>
      <c r="R24" s="705"/>
      <c r="S24" s="706"/>
      <c r="T24" s="705"/>
      <c r="U24" s="706"/>
      <c r="V24" s="705"/>
      <c r="W24" s="706"/>
      <c r="X24" s="1355"/>
      <c r="Y24" s="3839"/>
      <c r="Z24" s="1356"/>
      <c r="AA24" s="1353">
        <v>1</v>
      </c>
      <c r="AB24" s="1353">
        <v>1</v>
      </c>
      <c r="AC24" s="1353">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37"/>
      <c r="Q25" s="1352" t="str">
        <f t="shared" ref="Q25:Q46" si="11">B25</f>
        <v>临街状况</v>
      </c>
      <c r="R25" s="705" t="s">
        <v>14</v>
      </c>
      <c r="S25" s="706">
        <f>F25</f>
        <v>100</v>
      </c>
      <c r="T25" s="705" t="s">
        <v>14</v>
      </c>
      <c r="U25" s="706">
        <f>H25</f>
        <v>100</v>
      </c>
      <c r="V25" s="705" t="s">
        <v>14</v>
      </c>
      <c r="W25" s="706">
        <f>J25</f>
        <v>100</v>
      </c>
      <c r="X25" s="1355"/>
      <c r="Y25" s="3839"/>
      <c r="Z25" s="1356" t="str">
        <f>Q25</f>
        <v>临街状况</v>
      </c>
      <c r="AA25" s="1353">
        <f t="shared" si="3"/>
        <v>1</v>
      </c>
      <c r="AB25" s="1353">
        <f t="shared" si="4"/>
        <v>1</v>
      </c>
      <c r="AC25" s="1353">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37"/>
      <c r="Q26" s="1352" t="str">
        <f t="shared" si="11"/>
        <v>平面位置/可视性</v>
      </c>
      <c r="R26" s="705" t="s">
        <v>14</v>
      </c>
      <c r="S26" s="706">
        <f>F26</f>
        <v>100</v>
      </c>
      <c r="T26" s="705" t="s">
        <v>14</v>
      </c>
      <c r="U26" s="706">
        <f>H26</f>
        <v>100</v>
      </c>
      <c r="V26" s="705" t="s">
        <v>14</v>
      </c>
      <c r="W26" s="706">
        <f>J26</f>
        <v>100</v>
      </c>
      <c r="X26" s="1355"/>
      <c r="Y26" s="3839"/>
      <c r="Z26" s="1356" t="str">
        <f>Q26</f>
        <v>平面位置/可视性</v>
      </c>
      <c r="AA26" s="1353">
        <f t="shared" si="3"/>
        <v>1</v>
      </c>
      <c r="AB26" s="1353">
        <f t="shared" si="4"/>
        <v>1</v>
      </c>
      <c r="AC26" s="1353">
        <f t="shared" si="5"/>
        <v>1</v>
      </c>
    </row>
    <row r="27" spans="1:29" s="108" customFormat="1" ht="15">
      <c r="A27" s="382"/>
      <c r="B27" s="402" t="s">
        <v>1782</v>
      </c>
      <c r="C27" s="1956" t="s">
        <v>3530</v>
      </c>
      <c r="D27" s="413">
        <v>100</v>
      </c>
      <c r="E27" s="1956" t="s">
        <v>3530</v>
      </c>
      <c r="F27" s="415">
        <f>SUMIF(90:90,E27,91:91)-SUMIF(90:90,C27,91:91)+100</f>
        <v>100</v>
      </c>
      <c r="G27" s="1956" t="s">
        <v>3500</v>
      </c>
      <c r="H27" s="413">
        <f>SUMIF(90:90,G27,91:91)-SUMIF(90:90,C27,91:91)+100</f>
        <v>102</v>
      </c>
      <c r="I27" s="1956" t="s">
        <v>3530</v>
      </c>
      <c r="J27" s="413">
        <f>SUMIF(90:90,I27,91:91)-SUMIF(90:90,C27,91:91)+100</f>
        <v>100</v>
      </c>
      <c r="K27" s="561">
        <v>2</v>
      </c>
      <c r="L27" s="2713"/>
      <c r="M27" s="2714"/>
      <c r="N27" s="2714"/>
      <c r="O27" s="2714"/>
      <c r="P27" s="3837"/>
      <c r="Q27" s="1343" t="str">
        <f t="shared" si="11"/>
        <v>人流量</v>
      </c>
      <c r="R27" s="701" t="s">
        <v>14</v>
      </c>
      <c r="S27" s="702">
        <f>F27</f>
        <v>100</v>
      </c>
      <c r="T27" s="701" t="s">
        <v>14</v>
      </c>
      <c r="U27" s="702">
        <f>H27</f>
        <v>102</v>
      </c>
      <c r="V27" s="701" t="s">
        <v>14</v>
      </c>
      <c r="W27" s="702">
        <f>J27</f>
        <v>100</v>
      </c>
      <c r="X27" s="703"/>
      <c r="Y27" s="3839"/>
      <c r="Z27" s="52" t="str">
        <f>Q27</f>
        <v>人流量</v>
      </c>
      <c r="AA27" s="1353">
        <f>D27/F27</f>
        <v>1</v>
      </c>
      <c r="AB27" s="1353">
        <f>D27/H27</f>
        <v>0.98039215686274506</v>
      </c>
      <c r="AC27" s="1353">
        <f>D27/J27</f>
        <v>1</v>
      </c>
    </row>
    <row r="28" spans="1:29" ht="15">
      <c r="A28" s="379"/>
      <c r="B28" s="375" t="s">
        <v>1783</v>
      </c>
      <c r="C28" s="565" t="s">
        <v>3787</v>
      </c>
      <c r="D28" s="386">
        <v>100</v>
      </c>
      <c r="E28" s="565" t="s">
        <v>3504</v>
      </c>
      <c r="F28" s="412">
        <f>SUMIF(92:92,E28,93:93)-SUMIF(92:92,C28,93:93)+100</f>
        <v>117</v>
      </c>
      <c r="G28" s="565" t="s">
        <v>3504</v>
      </c>
      <c r="H28" s="386">
        <f>SUMIF(92:92,G28,93:93)-SUMIF(92:92,C28,93:93)+100</f>
        <v>117</v>
      </c>
      <c r="I28" s="565" t="s">
        <v>3504</v>
      </c>
      <c r="J28" s="386">
        <f>SUMIF(92:92,I28,93:93)-SUMIF(92:92,C28,93:93)+100</f>
        <v>117</v>
      </c>
      <c r="K28" s="562"/>
      <c r="L28" s="2718"/>
      <c r="M28" s="2712"/>
      <c r="N28" s="2712"/>
      <c r="O28" s="2712"/>
      <c r="P28" s="3837"/>
      <c r="Q28" s="1352" t="str">
        <f t="shared" si="11"/>
        <v>楼层</v>
      </c>
      <c r="R28" s="705" t="s">
        <v>14</v>
      </c>
      <c r="S28" s="706">
        <f t="shared" ref="S28:S46" si="12">F28</f>
        <v>117</v>
      </c>
      <c r="T28" s="705" t="s">
        <v>14</v>
      </c>
      <c r="U28" s="706">
        <f t="shared" ref="U28:U46" si="13">H28</f>
        <v>117</v>
      </c>
      <c r="V28" s="705" t="s">
        <v>14</v>
      </c>
      <c r="W28" s="706">
        <f t="shared" ref="W28:W46" si="14">J28</f>
        <v>117</v>
      </c>
      <c r="X28" s="1355"/>
      <c r="Y28" s="3839"/>
      <c r="Z28" s="1356" t="str">
        <f t="shared" ref="Z28:Z46" si="15">Q28</f>
        <v>楼层</v>
      </c>
      <c r="AA28" s="1353">
        <f t="shared" si="3"/>
        <v>0.85470085470085466</v>
      </c>
      <c r="AB28" s="1353">
        <f t="shared" si="4"/>
        <v>0.85470085470085466</v>
      </c>
      <c r="AC28" s="1353">
        <f t="shared" si="5"/>
        <v>0.85470085470085466</v>
      </c>
    </row>
    <row r="29" spans="1:29" ht="15.75" thickBot="1">
      <c r="A29" s="379"/>
      <c r="B29" s="3554" t="s">
        <v>3752</v>
      </c>
      <c r="C29" s="3537"/>
      <c r="D29" s="386">
        <v>100</v>
      </c>
      <c r="E29" s="3537"/>
      <c r="F29" s="412">
        <f>SUMIF(94:94,E29,95:95)-SUMIF(94:94,C29,95:95)+100</f>
        <v>100</v>
      </c>
      <c r="G29" s="3537"/>
      <c r="H29" s="386">
        <f>SUMIF(94:94,G29,95:95)-SUMIF(94:94,C29,95:95)+100</f>
        <v>100</v>
      </c>
      <c r="I29" s="3537"/>
      <c r="J29" s="386">
        <f>SUMIF(94:94,I29,95:95)-SUMIF(94:94,C29,95:95)+100</f>
        <v>100</v>
      </c>
      <c r="K29" s="562"/>
      <c r="L29" s="2718"/>
      <c r="M29" s="2712"/>
      <c r="N29" s="2712"/>
      <c r="O29" s="2712"/>
      <c r="P29" s="3837"/>
      <c r="Q29" s="1352" t="str">
        <f t="shared" si="11"/>
        <v>主要临路</v>
      </c>
      <c r="R29" s="705" t="s">
        <v>14</v>
      </c>
      <c r="S29" s="706">
        <f t="shared" si="12"/>
        <v>100</v>
      </c>
      <c r="T29" s="705" t="s">
        <v>14</v>
      </c>
      <c r="U29" s="706">
        <f t="shared" si="13"/>
        <v>100</v>
      </c>
      <c r="V29" s="705" t="s">
        <v>14</v>
      </c>
      <c r="W29" s="706">
        <f t="shared" si="14"/>
        <v>100</v>
      </c>
      <c r="X29" s="1355"/>
      <c r="Y29" s="3839"/>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37"/>
      <c r="Q30" s="1352">
        <f t="shared" si="11"/>
        <v>111</v>
      </c>
      <c r="R30" s="705" t="s">
        <v>14</v>
      </c>
      <c r="S30" s="706">
        <f t="shared" si="12"/>
        <v>100</v>
      </c>
      <c r="T30" s="705" t="s">
        <v>14</v>
      </c>
      <c r="U30" s="706">
        <f t="shared" si="13"/>
        <v>100</v>
      </c>
      <c r="V30" s="705" t="s">
        <v>14</v>
      </c>
      <c r="W30" s="706">
        <f t="shared" si="14"/>
        <v>100</v>
      </c>
      <c r="X30" s="1355"/>
      <c r="Y30" s="383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37"/>
      <c r="Q31" s="1352">
        <f t="shared" si="11"/>
        <v>111</v>
      </c>
      <c r="R31" s="705" t="s">
        <v>14</v>
      </c>
      <c r="S31" s="706">
        <f t="shared" si="12"/>
        <v>100</v>
      </c>
      <c r="T31" s="705" t="s">
        <v>14</v>
      </c>
      <c r="U31" s="706">
        <f t="shared" si="13"/>
        <v>100</v>
      </c>
      <c r="V31" s="705" t="s">
        <v>14</v>
      </c>
      <c r="W31" s="706">
        <f t="shared" si="14"/>
        <v>100</v>
      </c>
      <c r="X31" s="1355"/>
      <c r="Y31" s="3839"/>
      <c r="Z31" s="1356">
        <f t="shared" si="15"/>
        <v>111</v>
      </c>
      <c r="AA31" s="1353">
        <f t="shared" si="3"/>
        <v>1</v>
      </c>
      <c r="AB31" s="1353">
        <f t="shared" si="4"/>
        <v>1</v>
      </c>
      <c r="AC31" s="1353">
        <f t="shared" si="5"/>
        <v>1</v>
      </c>
    </row>
    <row r="32" spans="1:29" ht="15">
      <c r="A32" s="391" t="s">
        <v>1694</v>
      </c>
      <c r="B32" s="63" t="s">
        <v>1784</v>
      </c>
      <c r="C32" s="1910" t="s">
        <v>3790</v>
      </c>
      <c r="D32" s="418">
        <v>100</v>
      </c>
      <c r="E32" s="1910" t="s">
        <v>3790</v>
      </c>
      <c r="F32" s="412">
        <f>SUMIF(100:100,E32,101:101)-SUMIF(100:100,C32,101:101)+100</f>
        <v>100</v>
      </c>
      <c r="G32" s="1910" t="s">
        <v>3788</v>
      </c>
      <c r="H32" s="386">
        <f>SUMIF(100:100,G32,101:101)-SUMIF(100:100,C32,101:101)+100</f>
        <v>102</v>
      </c>
      <c r="I32" s="1910" t="s">
        <v>3790</v>
      </c>
      <c r="J32" s="418">
        <f>SUMIF(100:100,I32,101:101)-SUMIF(100:100,C32,101:101)+100</f>
        <v>100</v>
      </c>
      <c r="K32" s="561">
        <v>2</v>
      </c>
      <c r="L32" s="2718"/>
      <c r="M32" s="2712"/>
      <c r="N32" s="2712"/>
      <c r="O32" s="2712"/>
      <c r="P32" s="3840" t="s">
        <v>1696</v>
      </c>
      <c r="Q32" s="1352" t="str">
        <f t="shared" si="11"/>
        <v>商业类型</v>
      </c>
      <c r="R32" s="705" t="s">
        <v>14</v>
      </c>
      <c r="S32" s="706">
        <f t="shared" si="12"/>
        <v>100</v>
      </c>
      <c r="T32" s="705" t="s">
        <v>14</v>
      </c>
      <c r="U32" s="706">
        <f t="shared" si="13"/>
        <v>102</v>
      </c>
      <c r="V32" s="705" t="s">
        <v>14</v>
      </c>
      <c r="W32" s="706">
        <f t="shared" si="14"/>
        <v>100</v>
      </c>
      <c r="X32" s="1355"/>
      <c r="Y32" s="3843" t="s">
        <v>1696</v>
      </c>
      <c r="Z32" s="1356" t="str">
        <f t="shared" si="15"/>
        <v>商业类型</v>
      </c>
      <c r="AA32" s="1353">
        <f t="shared" si="3"/>
        <v>1</v>
      </c>
      <c r="AB32" s="1353">
        <f t="shared" si="4"/>
        <v>0.98039215686274506</v>
      </c>
      <c r="AC32" s="1353">
        <f t="shared" si="5"/>
        <v>1</v>
      </c>
    </row>
    <row r="33" spans="1:29" s="422" customFormat="1" ht="15">
      <c r="A33" s="419"/>
      <c r="B33" s="375" t="s">
        <v>1697</v>
      </c>
      <c r="C33" s="420">
        <f>'数据-汇总表'!F19</f>
        <v>608.29999999999995</v>
      </c>
      <c r="D33" s="127">
        <v>100</v>
      </c>
      <c r="E33" s="381">
        <v>171</v>
      </c>
      <c r="F33" s="376">
        <f>LOOKUP(E33,103:103,104:104)-LOOKUP(C33,103:103,104:104)+100</f>
        <v>102</v>
      </c>
      <c r="G33" s="380">
        <v>172</v>
      </c>
      <c r="H33" s="127">
        <f>LOOKUP(G33,103:103,104:104)-LOOKUP(C33,103:103,104:104)+100</f>
        <v>102</v>
      </c>
      <c r="I33" s="380">
        <v>80</v>
      </c>
      <c r="J33" s="127">
        <f>LOOKUP(I33,103:103,104:104)-LOOKUP(C33,103:103,104:104)+100</f>
        <v>103</v>
      </c>
      <c r="K33" s="562"/>
      <c r="L33" s="2717"/>
      <c r="M33" s="2719"/>
      <c r="N33" s="2719"/>
      <c r="O33" s="2719"/>
      <c r="P33" s="3841"/>
      <c r="Q33" s="707" t="str">
        <f t="shared" si="11"/>
        <v>项目建筑规模</v>
      </c>
      <c r="R33" s="708" t="s">
        <v>14</v>
      </c>
      <c r="S33" s="709">
        <f t="shared" si="12"/>
        <v>102</v>
      </c>
      <c r="T33" s="708" t="s">
        <v>14</v>
      </c>
      <c r="U33" s="709">
        <f t="shared" si="13"/>
        <v>102</v>
      </c>
      <c r="V33" s="708" t="s">
        <v>14</v>
      </c>
      <c r="W33" s="709">
        <f t="shared" si="14"/>
        <v>103</v>
      </c>
      <c r="X33" s="710"/>
      <c r="Y33" s="3843"/>
      <c r="Z33" s="711" t="str">
        <f t="shared" si="15"/>
        <v>项目建筑规模</v>
      </c>
      <c r="AA33" s="1353">
        <f t="shared" si="3"/>
        <v>0.98039215686274506</v>
      </c>
      <c r="AB33" s="1353">
        <f t="shared" si="4"/>
        <v>0.98039215686274506</v>
      </c>
      <c r="AC33" s="1353">
        <f t="shared" si="5"/>
        <v>0.970873786407767</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41"/>
      <c r="Q34" s="1352" t="str">
        <f t="shared" si="11"/>
        <v>建筑结构</v>
      </c>
      <c r="R34" s="705" t="s">
        <v>14</v>
      </c>
      <c r="S34" s="706">
        <f t="shared" si="12"/>
        <v>100</v>
      </c>
      <c r="T34" s="705" t="s">
        <v>14</v>
      </c>
      <c r="U34" s="706">
        <f t="shared" si="13"/>
        <v>100</v>
      </c>
      <c r="V34" s="705" t="s">
        <v>14</v>
      </c>
      <c r="W34" s="706">
        <f t="shared" si="14"/>
        <v>100</v>
      </c>
      <c r="X34" s="1355"/>
      <c r="Y34" s="3843"/>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41"/>
      <c r="Q35" s="1352" t="str">
        <f t="shared" si="11"/>
        <v>公共部分装修</v>
      </c>
      <c r="R35" s="705" t="s">
        <v>14</v>
      </c>
      <c r="S35" s="706">
        <f t="shared" si="12"/>
        <v>100</v>
      </c>
      <c r="T35" s="705" t="s">
        <v>14</v>
      </c>
      <c r="U35" s="706">
        <f t="shared" si="13"/>
        <v>100</v>
      </c>
      <c r="V35" s="705" t="s">
        <v>14</v>
      </c>
      <c r="W35" s="706">
        <f t="shared" si="14"/>
        <v>100</v>
      </c>
      <c r="X35" s="1355"/>
      <c r="Y35" s="3843"/>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41"/>
      <c r="Q36" s="1352" t="str">
        <f t="shared" si="11"/>
        <v>成新度</v>
      </c>
      <c r="R36" s="705" t="s">
        <v>14</v>
      </c>
      <c r="S36" s="706">
        <f t="shared" si="12"/>
        <v>100</v>
      </c>
      <c r="T36" s="705" t="s">
        <v>14</v>
      </c>
      <c r="U36" s="706">
        <f t="shared" si="13"/>
        <v>100</v>
      </c>
      <c r="V36" s="705" t="s">
        <v>14</v>
      </c>
      <c r="W36" s="706">
        <f t="shared" si="14"/>
        <v>100</v>
      </c>
      <c r="X36" s="1355"/>
      <c r="Y36" s="3843"/>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41"/>
      <c r="Q37" s="1343" t="str">
        <f t="shared" si="11"/>
        <v>市政基础设施</v>
      </c>
      <c r="R37" s="701" t="s">
        <v>14</v>
      </c>
      <c r="S37" s="702">
        <f t="shared" si="12"/>
        <v>100</v>
      </c>
      <c r="T37" s="701" t="s">
        <v>14</v>
      </c>
      <c r="U37" s="702">
        <f t="shared" si="13"/>
        <v>100</v>
      </c>
      <c r="V37" s="701" t="s">
        <v>14</v>
      </c>
      <c r="W37" s="702">
        <f t="shared" si="14"/>
        <v>100</v>
      </c>
      <c r="X37" s="703"/>
      <c r="Y37" s="3843"/>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41" t="s">
        <v>1696</v>
      </c>
      <c r="Q38" s="1352" t="str">
        <f t="shared" si="11"/>
        <v>业态</v>
      </c>
      <c r="R38" s="705" t="s">
        <v>14</v>
      </c>
      <c r="S38" s="706">
        <f t="shared" si="12"/>
        <v>100</v>
      </c>
      <c r="T38" s="705" t="s">
        <v>14</v>
      </c>
      <c r="U38" s="706">
        <f t="shared" si="13"/>
        <v>100</v>
      </c>
      <c r="V38" s="705" t="s">
        <v>14</v>
      </c>
      <c r="W38" s="706">
        <f t="shared" si="14"/>
        <v>100</v>
      </c>
      <c r="X38" s="1355"/>
      <c r="Y38" s="3843"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41"/>
      <c r="Q39" s="1352" t="str">
        <f t="shared" si="11"/>
        <v>层高</v>
      </c>
      <c r="R39" s="705" t="s">
        <v>14</v>
      </c>
      <c r="S39" s="706">
        <f t="shared" si="12"/>
        <v>100</v>
      </c>
      <c r="T39" s="705" t="s">
        <v>14</v>
      </c>
      <c r="U39" s="706">
        <f t="shared" si="13"/>
        <v>100</v>
      </c>
      <c r="V39" s="705" t="s">
        <v>14</v>
      </c>
      <c r="W39" s="706">
        <f t="shared" si="14"/>
        <v>100</v>
      </c>
      <c r="X39" s="1355"/>
      <c r="Y39" s="3843"/>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41"/>
      <c r="Q40" s="1352" t="str">
        <f t="shared" si="11"/>
        <v>单套建筑面积</v>
      </c>
      <c r="R40" s="705" t="s">
        <v>14</v>
      </c>
      <c r="S40" s="706">
        <f t="shared" si="12"/>
        <v>100</v>
      </c>
      <c r="T40" s="705" t="s">
        <v>14</v>
      </c>
      <c r="U40" s="706">
        <f t="shared" si="13"/>
        <v>100</v>
      </c>
      <c r="V40" s="705" t="s">
        <v>14</v>
      </c>
      <c r="W40" s="706">
        <f t="shared" si="14"/>
        <v>100</v>
      </c>
      <c r="X40" s="1355"/>
      <c r="Y40" s="3843"/>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41"/>
      <c r="Q41" s="707" t="str">
        <f t="shared" si="11"/>
        <v>进深比</v>
      </c>
      <c r="R41" s="708" t="s">
        <v>14</v>
      </c>
      <c r="S41" s="709">
        <f t="shared" si="12"/>
        <v>100</v>
      </c>
      <c r="T41" s="708" t="s">
        <v>14</v>
      </c>
      <c r="U41" s="709">
        <f t="shared" si="13"/>
        <v>100</v>
      </c>
      <c r="V41" s="708" t="s">
        <v>14</v>
      </c>
      <c r="W41" s="709">
        <f t="shared" si="14"/>
        <v>100</v>
      </c>
      <c r="X41" s="710"/>
      <c r="Y41" s="3843"/>
      <c r="Z41" s="711" t="str">
        <f t="shared" si="15"/>
        <v>进深比</v>
      </c>
      <c r="AA41" s="1353">
        <f t="shared" si="3"/>
        <v>1</v>
      </c>
      <c r="AB41" s="1353">
        <f t="shared" si="4"/>
        <v>1</v>
      </c>
      <c r="AC41" s="1353">
        <f t="shared" si="5"/>
        <v>1</v>
      </c>
    </row>
    <row r="42" spans="1:29" ht="15">
      <c r="A42" s="423"/>
      <c r="B42" s="375" t="s">
        <v>1792</v>
      </c>
      <c r="C42" s="3614" t="s">
        <v>3597</v>
      </c>
      <c r="D42" s="3615">
        <v>100</v>
      </c>
      <c r="E42" s="3614" t="s">
        <v>3597</v>
      </c>
      <c r="F42" s="3616">
        <f>SUMIF(122:122,E42,123:123)-SUMIF(122:122,C42,123:123)+100</f>
        <v>100</v>
      </c>
      <c r="G42" s="3614" t="s">
        <v>3597</v>
      </c>
      <c r="H42" s="3615">
        <f>SUMIF(122:122,G42,123:123)-SUMIF(122:122,C42,123:123)+100</f>
        <v>100</v>
      </c>
      <c r="I42" s="3614" t="s">
        <v>3597</v>
      </c>
      <c r="J42" s="3615">
        <f>SUMIF(122:122,I42,123:123)-SUMIF(122:122,C42,123:123)+100</f>
        <v>100</v>
      </c>
      <c r="K42" s="3617">
        <v>3</v>
      </c>
      <c r="L42" s="2718"/>
      <c r="M42" s="2712"/>
      <c r="N42" s="2712"/>
      <c r="O42" s="2712"/>
      <c r="P42" s="3841"/>
      <c r="Q42" s="1352" t="str">
        <f t="shared" si="11"/>
        <v>内部装修</v>
      </c>
      <c r="R42" s="705" t="s">
        <v>14</v>
      </c>
      <c r="S42" s="706">
        <f t="shared" si="12"/>
        <v>100</v>
      </c>
      <c r="T42" s="705" t="s">
        <v>14</v>
      </c>
      <c r="U42" s="706">
        <f t="shared" si="13"/>
        <v>100</v>
      </c>
      <c r="V42" s="705" t="s">
        <v>14</v>
      </c>
      <c r="W42" s="706">
        <f t="shared" si="14"/>
        <v>100</v>
      </c>
      <c r="X42" s="1355"/>
      <c r="Y42" s="3843"/>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41"/>
      <c r="Q43" s="1352" t="str">
        <f t="shared" si="11"/>
        <v>内部装修维护情况</v>
      </c>
      <c r="R43" s="705" t="s">
        <v>14</v>
      </c>
      <c r="S43" s="706">
        <f t="shared" si="12"/>
        <v>100</v>
      </c>
      <c r="T43" s="705" t="s">
        <v>14</v>
      </c>
      <c r="U43" s="706">
        <f t="shared" si="13"/>
        <v>100</v>
      </c>
      <c r="V43" s="705" t="s">
        <v>14</v>
      </c>
      <c r="W43" s="706">
        <f t="shared" si="14"/>
        <v>100</v>
      </c>
      <c r="X43" s="1355"/>
      <c r="Y43" s="3843"/>
      <c r="Z43" s="1356" t="str">
        <f t="shared" si="15"/>
        <v>内部装修维护情况</v>
      </c>
      <c r="AA43" s="1353">
        <f t="shared" si="3"/>
        <v>1</v>
      </c>
      <c r="AB43" s="1353">
        <f t="shared" si="4"/>
        <v>1</v>
      </c>
      <c r="AC43" s="1353">
        <f t="shared" si="5"/>
        <v>1</v>
      </c>
    </row>
    <row r="44" spans="1:29" s="108" customFormat="1" ht="15">
      <c r="A44" s="424"/>
      <c r="B44" s="3612"/>
      <c r="C44" s="3613"/>
      <c r="D44" s="127">
        <v>100</v>
      </c>
      <c r="E44" s="3613"/>
      <c r="F44" s="376">
        <f>SUMIF(126:126,E44,127:127)-SUMIF(126:126,C44,127:127)+100</f>
        <v>100</v>
      </c>
      <c r="G44" s="3613"/>
      <c r="H44" s="127">
        <f>SUMIF(126:126,G44,127:127)-SUMIF(126:126,C44,127:127)+100</f>
        <v>100</v>
      </c>
      <c r="I44" s="3613"/>
      <c r="J44" s="127">
        <f>SUMIF(126:126,I44,127:127)-SUMIF(126:126,C44,127:127)+100</f>
        <v>100</v>
      </c>
      <c r="K44" s="562"/>
      <c r="L44" s="2713"/>
      <c r="M44" s="2714"/>
      <c r="N44" s="2714"/>
      <c r="O44" s="2714"/>
      <c r="P44" s="3841"/>
      <c r="Q44" s="1343">
        <f t="shared" si="11"/>
        <v>0</v>
      </c>
      <c r="R44" s="701" t="s">
        <v>14</v>
      </c>
      <c r="S44" s="702">
        <f t="shared" si="12"/>
        <v>100</v>
      </c>
      <c r="T44" s="701" t="s">
        <v>14</v>
      </c>
      <c r="U44" s="702">
        <f t="shared" si="13"/>
        <v>100</v>
      </c>
      <c r="V44" s="701" t="s">
        <v>14</v>
      </c>
      <c r="W44" s="702">
        <f t="shared" si="14"/>
        <v>100</v>
      </c>
      <c r="X44" s="703"/>
      <c r="Y44" s="3843"/>
      <c r="Z44" s="52">
        <f t="shared" si="15"/>
        <v>0</v>
      </c>
      <c r="AA44" s="704">
        <f t="shared" si="3"/>
        <v>1</v>
      </c>
      <c r="AB44" s="704">
        <f t="shared" si="4"/>
        <v>1</v>
      </c>
      <c r="AC44" s="704">
        <f t="shared" si="5"/>
        <v>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41"/>
      <c r="Q45" s="1352">
        <f t="shared" si="11"/>
        <v>0</v>
      </c>
      <c r="R45" s="705" t="s">
        <v>14</v>
      </c>
      <c r="S45" s="706">
        <f t="shared" si="12"/>
        <v>100</v>
      </c>
      <c r="T45" s="705" t="s">
        <v>14</v>
      </c>
      <c r="U45" s="706">
        <f t="shared" si="13"/>
        <v>100</v>
      </c>
      <c r="V45" s="705" t="s">
        <v>14</v>
      </c>
      <c r="W45" s="706">
        <f t="shared" si="14"/>
        <v>100</v>
      </c>
      <c r="X45" s="1355"/>
      <c r="Y45" s="3843"/>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v>0.1</v>
      </c>
      <c r="M46" s="2712"/>
      <c r="N46" s="2712"/>
      <c r="O46" s="2712"/>
      <c r="P46" s="3842"/>
      <c r="Q46" s="1352">
        <f t="shared" si="11"/>
        <v>0</v>
      </c>
      <c r="R46" s="705" t="s">
        <v>14</v>
      </c>
      <c r="S46" s="706">
        <f t="shared" si="12"/>
        <v>100</v>
      </c>
      <c r="T46" s="705" t="s">
        <v>14</v>
      </c>
      <c r="U46" s="706">
        <f t="shared" si="13"/>
        <v>100</v>
      </c>
      <c r="V46" s="705" t="s">
        <v>14</v>
      </c>
      <c r="W46" s="706">
        <f t="shared" si="14"/>
        <v>100</v>
      </c>
      <c r="X46" s="1355"/>
      <c r="Y46" s="3844"/>
      <c r="Z46" s="1356">
        <f t="shared" si="15"/>
        <v>0</v>
      </c>
      <c r="AA46" s="1353">
        <f t="shared" si="3"/>
        <v>1</v>
      </c>
      <c r="AB46" s="1353">
        <f t="shared" si="4"/>
        <v>1</v>
      </c>
      <c r="AC46" s="1353">
        <f t="shared" si="5"/>
        <v>1</v>
      </c>
    </row>
    <row r="47" spans="1:29" ht="15">
      <c r="A47" s="430" t="s">
        <v>1708</v>
      </c>
      <c r="B47" s="431"/>
      <c r="C47" s="1154" t="s">
        <v>0</v>
      </c>
      <c r="D47" s="1155"/>
      <c r="E47" s="1156">
        <v>9.1199999999999992</v>
      </c>
      <c r="F47" s="1157"/>
      <c r="G47" s="1158">
        <v>10</v>
      </c>
      <c r="H47" s="1159"/>
      <c r="I47" s="1156">
        <v>8.67</v>
      </c>
      <c r="J47" s="1159"/>
      <c r="K47" s="714"/>
      <c r="L47" s="2720"/>
      <c r="M47" s="2721"/>
      <c r="N47" s="2712"/>
      <c r="O47" s="2721"/>
      <c r="P47" s="3845" t="str">
        <f>A47</f>
        <v>成交单价（元/平方米）</v>
      </c>
      <c r="Q47" s="3845"/>
      <c r="R47" s="3807">
        <f>E47</f>
        <v>9.1199999999999992</v>
      </c>
      <c r="S47" s="3807"/>
      <c r="T47" s="3807">
        <f>G47</f>
        <v>10</v>
      </c>
      <c r="U47" s="3807"/>
      <c r="V47" s="3807">
        <f>I47</f>
        <v>8.67</v>
      </c>
      <c r="W47" s="3807"/>
      <c r="X47" s="690"/>
      <c r="Y47" s="712"/>
      <c r="Z47" s="690"/>
      <c r="AA47" s="690"/>
      <c r="AB47" s="690"/>
      <c r="AC47" s="690"/>
    </row>
    <row r="48" spans="1:29" ht="15.75" thickBot="1">
      <c r="A48" s="437" t="s">
        <v>1793</v>
      </c>
      <c r="B48" s="438"/>
      <c r="C48" s="1160">
        <f>R49</f>
        <v>7.4</v>
      </c>
      <c r="D48" s="2317" t="s">
        <v>2138</v>
      </c>
      <c r="E48" s="1161">
        <f>R48</f>
        <v>7.5</v>
      </c>
      <c r="F48" s="2318"/>
      <c r="G48" s="1160">
        <f>T48</f>
        <v>7.6</v>
      </c>
      <c r="H48" s="2318"/>
      <c r="I48" s="1161">
        <f>V48</f>
        <v>7.1</v>
      </c>
      <c r="J48" s="2318"/>
      <c r="K48" s="2320">
        <f>F48+H48+J48</f>
        <v>0</v>
      </c>
      <c r="L48" s="3604" t="s">
        <v>3750</v>
      </c>
      <c r="M48" s="3605" t="s">
        <v>3751</v>
      </c>
      <c r="N48" s="2712"/>
      <c r="O48" s="2721"/>
      <c r="P48" s="3845" t="str">
        <f>A48</f>
        <v>比较价值（元/平方米）</v>
      </c>
      <c r="Q48" s="3845"/>
      <c r="R48" s="3846">
        <f>IF(F1="售价",ROUND(PRODUCT(R47,AA7:AA46),0),ROUND(PRODUCT(R47,AA7:AA46),1))</f>
        <v>7.5</v>
      </c>
      <c r="S48" s="3846"/>
      <c r="T48" s="3846">
        <f>IF(F1="售价",ROUND(PRODUCT(T47,AB7:AB46),0),ROUND(PRODUCT(T47,AB7:AB46),1))</f>
        <v>7.6</v>
      </c>
      <c r="U48" s="3846"/>
      <c r="V48" s="3846">
        <f>IF(F1="售价",ROUND(PRODUCT(V47,AC7:AC46),0),ROUND(PRODUCT(V47,AC7:AC46),1))</f>
        <v>7.1</v>
      </c>
      <c r="W48" s="3846"/>
      <c r="X48" s="690"/>
      <c r="Y48" s="690"/>
      <c r="Z48" s="690"/>
      <c r="AA48" s="690"/>
      <c r="AB48" s="690"/>
      <c r="AC48" s="690"/>
    </row>
    <row r="49" spans="1:29" ht="15.75" thickBot="1">
      <c r="A49" s="441" t="s">
        <v>1794</v>
      </c>
      <c r="B49" s="442"/>
      <c r="C49" s="1163">
        <f>R49</f>
        <v>7.4</v>
      </c>
      <c r="D49" s="1163"/>
      <c r="E49" s="1163"/>
      <c r="F49" s="1163"/>
      <c r="G49" s="1163"/>
      <c r="H49" s="1163"/>
      <c r="I49" s="1163"/>
      <c r="J49" s="1163"/>
      <c r="K49" s="715"/>
      <c r="L49" s="3606">
        <f>ROUND(C49*(1-L46),1)</f>
        <v>6.7</v>
      </c>
      <c r="M49" s="3606">
        <f>ROUND(C49*(1+L46),1)</f>
        <v>8.1</v>
      </c>
      <c r="N49" s="2712"/>
      <c r="O49" s="2721"/>
      <c r="P49" s="3847" t="str">
        <f>A49</f>
        <v>估价对象XX用房的比较价值（楼面单价，元/平方米）</v>
      </c>
      <c r="Q49" s="3848"/>
      <c r="R49" s="3849">
        <f>IF(F1="售价",ROUND(IF(D48="简单平均",AVERAGE(R48:V48),R48*F48+T48*H48+V48*J48),0),ROUND(IF(D48="简单平均",AVERAGE(R48:V48),R48*F48+T48*H48+V48*J48),1))</f>
        <v>7.4</v>
      </c>
      <c r="S49" s="3849"/>
      <c r="T49" s="3849"/>
      <c r="U49" s="3849"/>
      <c r="V49" s="3849"/>
      <c r="W49" s="384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3610" t="s">
        <v>3777</v>
      </c>
      <c r="M51" s="2721" t="s">
        <v>3778</v>
      </c>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0.21599999999999997</v>
      </c>
      <c r="F52" s="449" t="str">
        <f>IF(OR(E52&gt;=0.3,E52&lt;=-0.3),"超过30%","")</f>
        <v/>
      </c>
      <c r="G52" s="448">
        <f>IF(G47&lt;G48,G48/G47-1,G47/G48-1)</f>
        <v>0.31578947368421062</v>
      </c>
      <c r="H52" s="449" t="str">
        <f>IF(OR(G52&gt;=0.3,G52&lt;=-0.3),"超过30%","")</f>
        <v>超过30%</v>
      </c>
      <c r="I52" s="448">
        <f>IF(I47&lt;I48,I48/I47-1,I47/I48-1)</f>
        <v>0.22112676056338043</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1.3333333333333197E-2</v>
      </c>
      <c r="F53" s="449" t="str">
        <f>IF(OR(E53&gt;=0.2,E53&lt;=-0.2),"超过20%","")</f>
        <v/>
      </c>
      <c r="G53" s="448">
        <f>IF(G48&lt;I48,I48/G48-1,G48/I48-1)</f>
        <v>7.0422535211267512E-2</v>
      </c>
      <c r="H53" s="449" t="str">
        <f>IF(OR(G53&gt;=0.2,G53&lt;=-0.2),"超过20%","")</f>
        <v/>
      </c>
      <c r="I53" s="448">
        <f>IF(I48&lt;E48,E48/I48-1,I48/E48-1)</f>
        <v>5.6338028169014231E-2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9.6491228070175517E-2</v>
      </c>
      <c r="F54" s="449" t="str">
        <f>IF(OR(E54&gt;=0.3,E54&lt;=-0.3),"超过30%","")</f>
        <v/>
      </c>
      <c r="G54" s="448">
        <f>IF(G47&lt;I47,I47/G47-1,G47/I47-1)</f>
        <v>0.15340253748558252</v>
      </c>
      <c r="H54" s="449" t="str">
        <f>IF(OR(G54&gt;=0.3,G54&lt;=-0.3),"超过30%","")</f>
        <v/>
      </c>
      <c r="I54" s="448">
        <f>IF(I47&lt;E47,E47/I47-1,I47/E47-1)</f>
        <v>5.1903114186851118E-2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c r="F92" s="3532"/>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117</v>
      </c>
      <c r="D93" s="485">
        <v>100</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t="str">
        <f>B29</f>
        <v>主要临路</v>
      </c>
      <c r="C94" s="3532" t="s">
        <v>3753</v>
      </c>
      <c r="D94" s="3532" t="s">
        <v>3754</v>
      </c>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v>100</v>
      </c>
      <c r="D95" s="485">
        <v>95</v>
      </c>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3789</v>
      </c>
      <c r="D100" s="3533" t="s">
        <v>3791</v>
      </c>
      <c r="E100" s="3534"/>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0</v>
      </c>
      <c r="C126" s="3532" t="s">
        <v>3792</v>
      </c>
      <c r="D126" s="3532" t="s">
        <v>3793</v>
      </c>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v>98</v>
      </c>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0</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0</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608.29999999999995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608.29999999999995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-0.16600000000000037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608.29999999999995</v>
      </c>
      <c r="E20" s="21">
        <f>'数据-取费表'!B28</f>
        <v>200</v>
      </c>
      <c r="F20" s="804"/>
      <c r="G20" s="12"/>
      <c r="H20" s="809"/>
      <c r="I20" s="809"/>
      <c r="J20" s="809"/>
      <c r="K20" s="810"/>
    </row>
    <row r="21" spans="1:33" s="803" customFormat="1" ht="13.5" customHeight="1">
      <c r="A21" s="790" t="s">
        <v>357</v>
      </c>
      <c r="B21" s="813" t="s">
        <v>1628</v>
      </c>
      <c r="C21" s="814">
        <f ca="1">C16+C17+C18</f>
        <v>-0.16600000000000037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52" t="s">
        <v>694</v>
      </c>
      <c r="C6" s="1074">
        <f ca="1">ROUND(F6*F8*F7*(1-F9)/10000,0)</f>
        <v>0</v>
      </c>
      <c r="D6" s="155" t="s">
        <v>2109</v>
      </c>
      <c r="E6" s="302" t="s">
        <v>696</v>
      </c>
      <c r="F6" s="303">
        <f ca="1">INDIRECT("'数据-取费表'!u"&amp;$G$1)</f>
        <v>0</v>
      </c>
      <c r="G6" s="1384"/>
      <c r="H6" s="1069" t="s">
        <v>398</v>
      </c>
      <c r="I6" s="3852" t="s">
        <v>694</v>
      </c>
      <c r="J6" s="301">
        <f ca="1">ROUND(M6*M8*M7*(1-M9)/10000,0)</f>
        <v>0</v>
      </c>
      <c r="K6" s="155" t="s">
        <v>2108</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0</v>
      </c>
      <c r="G7" s="1384"/>
      <c r="H7" s="304"/>
      <c r="I7" s="3853"/>
      <c r="J7" s="306"/>
      <c r="K7" s="307"/>
      <c r="L7" s="302" t="s">
        <v>697</v>
      </c>
      <c r="M7" s="303">
        <f ca="1">F7</f>
        <v>0</v>
      </c>
    </row>
    <row r="8" spans="1:37" ht="18" customHeight="1">
      <c r="A8" s="304"/>
      <c r="B8" s="3853"/>
      <c r="C8" s="306"/>
      <c r="D8" s="307"/>
      <c r="E8" s="302" t="s">
        <v>698</v>
      </c>
      <c r="F8" s="303">
        <f ca="1">INDIRECT("'数据-取费表'!ai"&amp;$G$1)</f>
        <v>0</v>
      </c>
      <c r="G8" s="1384"/>
      <c r="H8" s="304"/>
      <c r="I8" s="3853"/>
      <c r="J8" s="306"/>
      <c r="K8" s="307"/>
      <c r="L8" s="302" t="s">
        <v>698</v>
      </c>
      <c r="M8" s="303">
        <f ca="1">INDIRECT("'数据-取费表'!ai"&amp;$G$1)</f>
        <v>0</v>
      </c>
    </row>
    <row r="9" spans="1:37" ht="18" customHeight="1">
      <c r="A9" s="304"/>
      <c r="B9" s="3854"/>
      <c r="C9" s="306"/>
      <c r="D9" s="307"/>
      <c r="E9" s="302" t="s">
        <v>699</v>
      </c>
      <c r="F9" s="312">
        <f ca="1">INDIRECT("'数据-取费表'!w"&amp;$G$1)</f>
        <v>0</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50" t="s">
        <v>837</v>
      </c>
      <c r="L53" s="38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0</v>
      </c>
      <c r="C2" s="1387" t="s">
        <v>879</v>
      </c>
      <c r="D2" s="1471">
        <f ca="1">C40+J29+L46</f>
        <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2745492</v>
      </c>
      <c r="D5" s="1364" t="s">
        <v>889</v>
      </c>
      <c r="E5" s="1071"/>
      <c r="F5" s="1072"/>
      <c r="G5" s="1384"/>
      <c r="H5" s="299">
        <v>1</v>
      </c>
      <c r="I5" s="300" t="s">
        <v>888</v>
      </c>
      <c r="J5" s="1070">
        <f ca="1">J6+J10+J12</f>
        <v>0</v>
      </c>
      <c r="K5" s="1364" t="s">
        <v>889</v>
      </c>
      <c r="L5" s="1071"/>
      <c r="M5" s="1072"/>
    </row>
    <row r="6" spans="1:37" ht="18" customHeight="1">
      <c r="A6" s="1069" t="s">
        <v>398</v>
      </c>
      <c r="B6" s="3852" t="s">
        <v>694</v>
      </c>
      <c r="C6" s="1074">
        <f ca="1">ROUND(F6*F8*F7*(1-F9),0)</f>
        <v>2742064</v>
      </c>
      <c r="D6" s="155" t="s">
        <v>2106</v>
      </c>
      <c r="E6" s="302" t="s">
        <v>696</v>
      </c>
      <c r="F6" s="303">
        <f ca="1">INDIRECT("'数据-取费表'!u"&amp;$G$1)</f>
        <v>13</v>
      </c>
      <c r="G6" s="1384"/>
      <c r="H6" s="1069" t="s">
        <v>398</v>
      </c>
      <c r="I6" s="3852" t="s">
        <v>694</v>
      </c>
      <c r="J6" s="301">
        <f ca="1">ROUND(M6*M8*M7*(1-M9),0)</f>
        <v>0</v>
      </c>
      <c r="K6" s="1376" t="s">
        <v>2107</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608.29999999999995</v>
      </c>
      <c r="G7" s="1384"/>
      <c r="H7" s="304"/>
      <c r="I7" s="3853"/>
      <c r="J7" s="306"/>
      <c r="K7" s="307"/>
      <c r="L7" s="302" t="s">
        <v>697</v>
      </c>
      <c r="M7" s="303">
        <f ca="1">F7</f>
        <v>608.29999999999995</v>
      </c>
    </row>
    <row r="8" spans="1:37" ht="18" customHeight="1">
      <c r="A8" s="304"/>
      <c r="B8" s="3853"/>
      <c r="C8" s="306"/>
      <c r="D8" s="307"/>
      <c r="E8" s="302" t="s">
        <v>698</v>
      </c>
      <c r="F8" s="303">
        <f ca="1">INDIRECT("'数据-取费表'!ai"&amp;$G$1)</f>
        <v>365</v>
      </c>
      <c r="G8" s="1384"/>
      <c r="H8" s="304"/>
      <c r="I8" s="3853"/>
      <c r="J8" s="306"/>
      <c r="K8" s="307"/>
      <c r="L8" s="302" t="s">
        <v>698</v>
      </c>
      <c r="M8" s="303">
        <f ca="1">INDIRECT("'数据-取费表'!ai"&amp;$G$1)</f>
        <v>365</v>
      </c>
    </row>
    <row r="9" spans="1:37" ht="18" customHeight="1">
      <c r="A9" s="304"/>
      <c r="B9" s="3854"/>
      <c r="C9" s="306"/>
      <c r="D9" s="307"/>
      <c r="E9" s="302" t="s">
        <v>699</v>
      </c>
      <c r="F9" s="312">
        <f ca="1">INDIRECT("'数据-取费表'!w"&amp;$G$1)</f>
        <v>0.05</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3428</v>
      </c>
      <c r="D10" s="1366" t="s">
        <v>2116</v>
      </c>
      <c r="E10" s="313" t="s">
        <v>701</v>
      </c>
      <c r="F10" s="1116" t="s">
        <v>3570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3156440</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2737350</v>
      </c>
      <c r="D14" s="1345" t="s">
        <v>708</v>
      </c>
      <c r="E14" s="1342"/>
      <c r="F14" s="319"/>
      <c r="G14" s="1384"/>
      <c r="H14" s="982" t="s">
        <v>398</v>
      </c>
      <c r="I14" s="302" t="s">
        <v>709</v>
      </c>
      <c r="J14" s="21">
        <f ca="1">C29</f>
        <v>4072826</v>
      </c>
      <c r="K14" s="12"/>
      <c r="L14" s="807"/>
      <c r="M14" s="808"/>
    </row>
    <row r="15" spans="1:37" s="1397" customFormat="1" ht="18" customHeight="1" thickBot="1">
      <c r="A15" s="982" t="s">
        <v>399</v>
      </c>
      <c r="B15" s="302" t="s">
        <v>710</v>
      </c>
      <c r="C15" s="21">
        <f ca="1">ROUND(C14*F15,0)</f>
        <v>82121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61092</v>
      </c>
      <c r="K16" s="1087" t="s">
        <v>715</v>
      </c>
      <c r="L16" s="1088"/>
      <c r="M16" s="1072"/>
    </row>
    <row r="17" spans="1:37" s="1397" customFormat="1" ht="18" customHeight="1">
      <c r="A17" s="982" t="s">
        <v>681</v>
      </c>
      <c r="B17" s="302" t="s">
        <v>716</v>
      </c>
      <c r="C17" s="21">
        <f ca="1">ROUND(F17*(F43+INDIRECT("'数据-取费表'!S"&amp;$G$1)),0)</f>
        <v>121660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41060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2982191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59644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61092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104944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-61092</v>
      </c>
      <c r="K25" s="1095" t="s">
        <v>753</v>
      </c>
      <c r="L25" s="1096"/>
      <c r="M25" s="1097"/>
    </row>
    <row r="26" spans="1:37" ht="18" customHeight="1">
      <c r="A26" s="982" t="s">
        <v>397</v>
      </c>
      <c r="B26" s="302" t="s">
        <v>754</v>
      </c>
      <c r="C26" s="21">
        <f ca="1">ROUND((C19+C20)*F26,0)</f>
        <v>608367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4072826</v>
      </c>
      <c r="D29" s="1092"/>
      <c r="E29" s="1090"/>
      <c r="F29" s="1093"/>
      <c r="G29" s="1396"/>
      <c r="H29" s="334" t="s">
        <v>396</v>
      </c>
      <c r="I29" s="335" t="s">
        <v>768</v>
      </c>
      <c r="J29" s="336">
        <f ca="1">ROUND(J26/(1+F40)^F41,0)</f>
        <v>0</v>
      </c>
      <c r="K29" s="337" t="s">
        <v>769</v>
      </c>
      <c r="L29" s="338"/>
      <c r="M29" s="339">
        <f ca="1">INDIRECT("'数据-取费表'!k"&amp;$G$1)</f>
        <v>608.29999999999995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552904</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459622</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IF(项目基本情况!B11="自然人","——",ROUND(C6*F32/(1+'数据-取费表'!C42),0))</f>
        <v>146243</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313379</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61092</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ROUND(C13*F37,0)</f>
        <v>4735</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ROUND(C5*F38,0)</f>
        <v>27455</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2192588</v>
      </c>
      <c r="D39" s="1095" t="s">
        <v>773</v>
      </c>
      <c r="E39" s="1096"/>
      <c r="F39" s="1097"/>
      <c r="G39" s="1384"/>
      <c r="H39" s="2696"/>
      <c r="I39" s="1398"/>
      <c r="J39" s="1399"/>
      <c r="K39" s="2700"/>
      <c r="L39" s="2696"/>
      <c r="M39" s="2696"/>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608.29999999999995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f ca="1">ROUND((C68-C40)/10000,4)</f>
        <v>0</v>
      </c>
      <c r="D45" s="3428"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3571</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4072826</v>
      </c>
      <c r="R49" s="1420" t="s">
        <v>818</v>
      </c>
    </row>
    <row r="50" spans="1:18" s="1384" customFormat="1" ht="13.5" thickBot="1">
      <c r="A50" s="976"/>
      <c r="B50" s="979"/>
      <c r="C50" s="980"/>
      <c r="D50" s="953"/>
      <c r="E50" s="1056" t="s">
        <v>697</v>
      </c>
      <c r="F50" s="1057">
        <f ca="1">F7</f>
        <v>608.29999999999995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36988937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50" t="s">
        <v>837</v>
      </c>
      <c r="L53" s="3851"/>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3156440</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4072826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65827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61092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4735</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-65827</v>
      </c>
      <c r="D67" s="963" t="s">
        <v>753</v>
      </c>
      <c r="E67" s="968"/>
      <c r="F67" s="969"/>
      <c r="O67" s="1428" t="s">
        <v>405</v>
      </c>
      <c r="P67" s="1419" t="s">
        <v>850</v>
      </c>
      <c r="Q67" s="1466">
        <f ca="1">L51</f>
        <v>36988937</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1971637</v>
      </c>
      <c r="R68" s="1420" t="s">
        <v>414</v>
      </c>
    </row>
    <row r="69" spans="1:18" s="1384" customFormat="1" ht="13.5" thickBot="1">
      <c r="A69" s="951"/>
      <c r="B69" s="952"/>
      <c r="C69" s="306"/>
      <c r="D69" s="970" t="s">
        <v>762</v>
      </c>
      <c r="E69" s="950" t="s">
        <v>763</v>
      </c>
      <c r="F69" s="333">
        <f ca="1">F41</f>
        <v>0</v>
      </c>
      <c r="O69" s="1428" t="s">
        <v>411</v>
      </c>
      <c r="P69" s="1467" t="s">
        <v>872</v>
      </c>
      <c r="Q69" s="1420">
        <f ca="1">C39</f>
        <v>2192588</v>
      </c>
      <c r="R69" s="1420" t="s">
        <v>818</v>
      </c>
    </row>
    <row r="70" spans="1:18" s="1384" customFormat="1" ht="13.5" thickBot="1">
      <c r="A70" s="954"/>
      <c r="B70" s="955"/>
      <c r="C70" s="310"/>
      <c r="D70" s="966"/>
      <c r="E70" s="950" t="s">
        <v>766</v>
      </c>
      <c r="F70" s="1054"/>
      <c r="O70" s="1428" t="s">
        <v>412</v>
      </c>
      <c r="P70" s="1467" t="s">
        <v>873</v>
      </c>
      <c r="Q70" s="1420">
        <f ca="1">C13</f>
        <v>3156440</v>
      </c>
      <c r="R70" s="1420" t="s">
        <v>818</v>
      </c>
    </row>
    <row r="71" spans="1:18" s="1384" customFormat="1" ht="13.5" thickBot="1">
      <c r="A71" s="971" t="s">
        <v>396</v>
      </c>
      <c r="B71" s="972" t="s">
        <v>776</v>
      </c>
      <c r="C71" s="336">
        <f ca="1">ROUND(C68/F71,0)</f>
        <v>0</v>
      </c>
      <c r="D71" s="973" t="s">
        <v>777</v>
      </c>
      <c r="E71" s="974" t="s">
        <v>778</v>
      </c>
      <c r="F71" s="339">
        <f ca="1">F43</f>
        <v>608.29999999999995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220951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5" t="s">
        <v>2314</v>
      </c>
      <c r="B2" s="2839" t="e">
        <f>IF(D2="——",C40,C40+E2)</f>
        <v>#DIV/0!</v>
      </c>
      <c r="C2" s="2840" t="s">
        <v>2315</v>
      </c>
      <c r="D2" s="3438" t="s">
        <v>3360</v>
      </c>
      <c r="E2" s="3439"/>
      <c r="F2" s="2842"/>
      <c r="G2" s="2843"/>
      <c r="H2" s="2844"/>
      <c r="I2" s="2845"/>
      <c r="J2" s="3855" t="s">
        <v>2316</v>
      </c>
      <c r="K2" s="385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857" t="s">
        <v>2326</v>
      </c>
      <c r="K3" s="385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857" t="s">
        <v>2328</v>
      </c>
      <c r="K4" s="385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859" t="s">
        <v>2332</v>
      </c>
      <c r="B6" s="3860"/>
      <c r="C6" s="3861"/>
      <c r="D6" s="2866"/>
      <c r="E6" s="2867"/>
      <c r="F6" s="2868"/>
      <c r="G6" s="2869"/>
      <c r="H6" s="2844"/>
      <c r="I6" s="2845"/>
      <c r="J6" s="3862">
        <v>1</v>
      </c>
      <c r="K6" s="386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862"/>
      <c r="K7" s="386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866" t="s">
        <v>2346</v>
      </c>
      <c r="C8" s="3867"/>
      <c r="D8" s="2885" t="s">
        <v>2347</v>
      </c>
      <c r="E8" s="2886" t="s">
        <v>2348</v>
      </c>
      <c r="F8" s="2887" t="s">
        <v>2349</v>
      </c>
      <c r="G8" s="2888"/>
      <c r="H8" s="2844"/>
      <c r="I8" s="2845"/>
      <c r="J8" s="3862"/>
      <c r="K8" s="386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866" t="s">
        <v>2352</v>
      </c>
      <c r="C9" s="3867"/>
      <c r="D9" s="2885">
        <f>ROUND(D6*E9,0)</f>
        <v>0</v>
      </c>
      <c r="E9" s="2889"/>
      <c r="F9" s="2890" t="s">
        <v>2353</v>
      </c>
      <c r="G9" s="2869"/>
      <c r="H9" s="2844"/>
      <c r="I9" s="2845"/>
      <c r="J9" s="3862"/>
      <c r="K9" s="3864"/>
      <c r="L9" s="2879" t="s">
        <v>2354</v>
      </c>
      <c r="M9" s="2880"/>
      <c r="N9" s="2856"/>
      <c r="O9" s="2881"/>
      <c r="P9" s="2881"/>
      <c r="Q9" s="2882">
        <v>365</v>
      </c>
      <c r="R9" s="2883">
        <f t="shared" si="0"/>
        <v>0</v>
      </c>
      <c r="S9" s="2837"/>
      <c r="T9" s="2837"/>
      <c r="U9" s="2837"/>
      <c r="V9" s="2845"/>
    </row>
    <row r="10" spans="1:22" s="2849" customFormat="1" ht="13.15" customHeight="1">
      <c r="A10" s="2884">
        <v>2</v>
      </c>
      <c r="B10" s="3866" t="s">
        <v>2355</v>
      </c>
      <c r="C10" s="3867"/>
      <c r="D10" s="2885">
        <f>ROUND(D6*E10,0)</f>
        <v>0</v>
      </c>
      <c r="E10" s="2889"/>
      <c r="F10" s="2890" t="s">
        <v>2356</v>
      </c>
      <c r="G10" s="2869"/>
      <c r="H10" s="2844"/>
      <c r="I10" s="2845"/>
      <c r="J10" s="3862"/>
      <c r="K10" s="3864"/>
      <c r="L10" s="2879" t="s">
        <v>2357</v>
      </c>
      <c r="M10" s="2880"/>
      <c r="N10" s="2856"/>
      <c r="O10" s="2881"/>
      <c r="P10" s="2881"/>
      <c r="Q10" s="2882">
        <v>365</v>
      </c>
      <c r="R10" s="2883">
        <f t="shared" si="0"/>
        <v>0</v>
      </c>
      <c r="S10" s="2837"/>
      <c r="T10" s="2837"/>
      <c r="U10" s="2837"/>
      <c r="V10" s="2845"/>
    </row>
    <row r="11" spans="1:22" s="2849" customFormat="1" ht="13.15" customHeight="1">
      <c r="A11" s="2884">
        <v>3</v>
      </c>
      <c r="B11" s="3866" t="s">
        <v>2358</v>
      </c>
      <c r="C11" s="3867"/>
      <c r="D11" s="2885">
        <f>D12+D14+D15+D16</f>
        <v>0</v>
      </c>
      <c r="E11" s="2891" t="e">
        <f>D11/D6</f>
        <v>#DIV/0!</v>
      </c>
      <c r="F11" s="2887"/>
      <c r="G11" s="2888"/>
      <c r="H11" s="2844"/>
      <c r="I11" s="2845"/>
      <c r="J11" s="3862"/>
      <c r="K11" s="386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868" t="s">
        <v>2361</v>
      </c>
      <c r="C12" s="3869"/>
      <c r="D12" s="2893">
        <f>ROUND(D13*1.2%*(1-30%),0)</f>
        <v>0</v>
      </c>
      <c r="E12" s="2894">
        <v>1.2E-2</v>
      </c>
      <c r="F12" s="2887" t="s">
        <v>2362</v>
      </c>
      <c r="G12" s="2888"/>
      <c r="H12" s="2844"/>
      <c r="I12" s="2845"/>
      <c r="J12" s="3862"/>
      <c r="K12" s="386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862"/>
      <c r="K13" s="386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868" t="s">
        <v>2367</v>
      </c>
      <c r="C14" s="3869"/>
      <c r="D14" s="2893">
        <f>ROUND(E14*B5/10000,0)</f>
        <v>0</v>
      </c>
      <c r="E14" s="2882"/>
      <c r="F14" s="2887" t="s">
        <v>2368</v>
      </c>
      <c r="G14" s="2888"/>
      <c r="H14" s="2844"/>
      <c r="I14" s="2845"/>
      <c r="J14" s="3862"/>
      <c r="K14" s="386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868" t="s">
        <v>2371</v>
      </c>
      <c r="C15" s="3869"/>
      <c r="D15" s="2893">
        <f>ROUND(D6*E15,0)</f>
        <v>0</v>
      </c>
      <c r="E15" s="2894">
        <v>5.5E-2</v>
      </c>
      <c r="F15" s="2887" t="s">
        <v>2372</v>
      </c>
      <c r="G15" s="2869"/>
      <c r="H15" s="2844"/>
      <c r="I15" s="2845"/>
      <c r="J15" s="3862">
        <v>2</v>
      </c>
      <c r="K15" s="386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868" t="s">
        <v>2380</v>
      </c>
      <c r="C16" s="3869"/>
      <c r="D16" s="2904">
        <f>D6*E16</f>
        <v>0</v>
      </c>
      <c r="E16" s="2905"/>
      <c r="F16" s="2890" t="s">
        <v>2381</v>
      </c>
      <c r="G16" s="2869"/>
      <c r="H16" s="2844"/>
      <c r="I16" s="2845"/>
      <c r="J16" s="3862"/>
      <c r="K16" s="386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870" t="s">
        <v>2383</v>
      </c>
      <c r="C17" s="3871"/>
      <c r="D17" s="2907">
        <f>ROUND(D6*E17,0)</f>
        <v>0</v>
      </c>
      <c r="E17" s="2908"/>
      <c r="F17" s="2909" t="s">
        <v>2384</v>
      </c>
      <c r="G17" s="2869"/>
      <c r="H17" s="2844"/>
      <c r="I17" s="2845"/>
      <c r="J17" s="3862"/>
      <c r="K17" s="386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862"/>
      <c r="K18" s="386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862"/>
      <c r="K19" s="386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62">
        <v>3</v>
      </c>
      <c r="K20" s="386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862"/>
      <c r="K21" s="386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862"/>
      <c r="K22" s="386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862"/>
      <c r="K23" s="386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862"/>
      <c r="K24" s="386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87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87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855" t="s">
        <v>2316</v>
      </c>
      <c r="K32" s="385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857" t="s">
        <v>2326</v>
      </c>
      <c r="K33" s="385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857" t="s">
        <v>2328</v>
      </c>
      <c r="K34" s="385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862">
        <v>1</v>
      </c>
      <c r="K36" s="386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862"/>
      <c r="K37" s="386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62"/>
      <c r="K38" s="386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862"/>
      <c r="K39" s="386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862"/>
      <c r="K40" s="386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87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87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608.29999999999995</v>
      </c>
      <c r="F2" s="2703"/>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874" t="s">
        <v>1654</v>
      </c>
      <c r="C5" s="3875"/>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5"/>
      <c r="E6" s="2603">
        <f>IF(OR(A6=0,F6="否"),0,'数据-取费表'!K6+'数据-取费表'!S6)</f>
        <v>608.29999999999995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608.29999999999995</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823" t="s">
        <v>1667</v>
      </c>
      <c r="D4" s="3824"/>
      <c r="E4" s="3825" t="s">
        <v>1668</v>
      </c>
      <c r="F4" s="3826"/>
      <c r="G4" s="3823" t="s">
        <v>1669</v>
      </c>
      <c r="H4" s="3824"/>
      <c r="I4" s="3823" t="s">
        <v>1670</v>
      </c>
      <c r="J4" s="3824"/>
      <c r="K4" s="1889" t="s">
        <v>1671</v>
      </c>
      <c r="L4" s="2711"/>
      <c r="M4" s="2712"/>
      <c r="N4" s="2712"/>
      <c r="O4" s="2712"/>
      <c r="P4" s="3827" t="s">
        <v>1672</v>
      </c>
      <c r="Q4" s="3828"/>
      <c r="R4" s="3810" t="s">
        <v>1668</v>
      </c>
      <c r="S4" s="3811"/>
      <c r="T4" s="3810" t="s">
        <v>1669</v>
      </c>
      <c r="U4" s="3811"/>
      <c r="V4" s="3807" t="s">
        <v>1670</v>
      </c>
      <c r="W4" s="3807"/>
      <c r="X4" s="1355"/>
      <c r="Y4" s="3810" t="s">
        <v>1672</v>
      </c>
      <c r="Z4" s="3811"/>
      <c r="AA4" s="3804" t="s">
        <v>1668</v>
      </c>
      <c r="AB4" s="3804" t="s">
        <v>1669</v>
      </c>
      <c r="AC4" s="3804" t="s">
        <v>1670</v>
      </c>
    </row>
    <row r="5" spans="1:29" ht="15">
      <c r="A5" s="358"/>
      <c r="B5" s="359"/>
      <c r="C5" s="3877" t="s">
        <v>1673</v>
      </c>
      <c r="D5" s="3817"/>
      <c r="E5" s="3876" t="s">
        <v>1674</v>
      </c>
      <c r="F5" s="3815"/>
      <c r="G5" s="3877" t="s">
        <v>1675</v>
      </c>
      <c r="H5" s="3817"/>
      <c r="I5" s="3877" t="s">
        <v>1676</v>
      </c>
      <c r="J5" s="3817"/>
      <c r="K5" s="1890"/>
      <c r="L5" s="2711"/>
      <c r="M5" s="2712"/>
      <c r="N5" s="2712"/>
      <c r="O5" s="2712"/>
      <c r="P5" s="3829"/>
      <c r="Q5" s="3830"/>
      <c r="R5" s="3812"/>
      <c r="S5" s="3813"/>
      <c r="T5" s="3812"/>
      <c r="U5" s="3813"/>
      <c r="V5" s="3807"/>
      <c r="W5" s="3807"/>
      <c r="X5" s="1355"/>
      <c r="Y5" s="3812"/>
      <c r="Z5" s="3813"/>
      <c r="AA5" s="3805"/>
      <c r="AB5" s="3805"/>
      <c r="AC5" s="3805"/>
    </row>
    <row r="6" spans="1:29" ht="15.75" thickBot="1">
      <c r="A6" s="360"/>
      <c r="B6" s="361"/>
      <c r="C6" s="3818" t="s">
        <v>1677</v>
      </c>
      <c r="D6" s="3819"/>
      <c r="E6" s="3820" t="s">
        <v>1677</v>
      </c>
      <c r="F6" s="3821"/>
      <c r="G6" s="3818" t="s">
        <v>1677</v>
      </c>
      <c r="H6" s="3819"/>
      <c r="I6" s="3818" t="s">
        <v>1677</v>
      </c>
      <c r="J6" s="3819"/>
      <c r="K6" s="1890" t="s">
        <v>1678</v>
      </c>
      <c r="L6" s="2711"/>
      <c r="M6" s="2712"/>
      <c r="N6" s="2712"/>
      <c r="O6" s="2712"/>
      <c r="P6" s="3831"/>
      <c r="Q6" s="3832"/>
      <c r="R6" s="3812"/>
      <c r="S6" s="3813"/>
      <c r="T6" s="3833"/>
      <c r="U6" s="3834"/>
      <c r="V6" s="3807"/>
      <c r="W6" s="3807"/>
      <c r="X6" s="1355"/>
      <c r="Y6" s="3833"/>
      <c r="Z6" s="3834"/>
      <c r="AA6" s="3806"/>
      <c r="AB6" s="3806"/>
      <c r="AC6" s="3806"/>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808" t="s">
        <v>1680</v>
      </c>
      <c r="Q7" s="3835"/>
      <c r="R7" s="701" t="s">
        <v>20</v>
      </c>
      <c r="S7" s="702">
        <f t="shared" ref="S7:S15" si="0">F7</f>
        <v>0</v>
      </c>
      <c r="T7" s="701" t="s">
        <v>20</v>
      </c>
      <c r="U7" s="702">
        <f t="shared" ref="U7:U15" si="1">H7</f>
        <v>0</v>
      </c>
      <c r="V7" s="701" t="s">
        <v>20</v>
      </c>
      <c r="W7" s="702">
        <f t="shared" ref="W7:W15" si="2">J7</f>
        <v>0</v>
      </c>
      <c r="X7" s="703"/>
      <c r="Y7" s="3808" t="s">
        <v>1680</v>
      </c>
      <c r="Z7" s="38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808" t="s">
        <v>1683</v>
      </c>
      <c r="Q8" s="3809"/>
      <c r="R8" s="701" t="s">
        <v>20</v>
      </c>
      <c r="S8" s="702">
        <f t="shared" si="0"/>
        <v>100</v>
      </c>
      <c r="T8" s="701" t="s">
        <v>20</v>
      </c>
      <c r="U8" s="702">
        <f t="shared" si="1"/>
        <v>100</v>
      </c>
      <c r="V8" s="701" t="s">
        <v>20</v>
      </c>
      <c r="W8" s="702">
        <f t="shared" si="2"/>
        <v>100</v>
      </c>
      <c r="X8" s="703"/>
      <c r="Y8" s="3808" t="s">
        <v>1683</v>
      </c>
      <c r="Z8" s="38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822"/>
      <c r="Q11" s="1343" t="str">
        <f t="shared" si="6"/>
        <v>容积率</v>
      </c>
      <c r="R11" s="701" t="s">
        <v>18</v>
      </c>
      <c r="S11" s="702" t="e">
        <f t="shared" si="0"/>
        <v>#N/A</v>
      </c>
      <c r="T11" s="701" t="s">
        <v>18</v>
      </c>
      <c r="U11" s="702" t="e">
        <f t="shared" si="1"/>
        <v>#N/A</v>
      </c>
      <c r="V11" s="701" t="s">
        <v>18</v>
      </c>
      <c r="W11" s="702" t="e">
        <f t="shared" si="2"/>
        <v>#N/A</v>
      </c>
      <c r="X11" s="703"/>
      <c r="Y11" s="37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22"/>
      <c r="Q12" s="1343">
        <f t="shared" si="6"/>
        <v>111</v>
      </c>
      <c r="R12" s="701" t="s">
        <v>18</v>
      </c>
      <c r="S12" s="702">
        <f t="shared" si="0"/>
        <v>100</v>
      </c>
      <c r="T12" s="701" t="s">
        <v>18</v>
      </c>
      <c r="U12" s="702">
        <f t="shared" si="1"/>
        <v>100</v>
      </c>
      <c r="V12" s="701" t="s">
        <v>18</v>
      </c>
      <c r="W12" s="702">
        <f t="shared" si="2"/>
        <v>100</v>
      </c>
      <c r="X12" s="703"/>
      <c r="Y12" s="37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22"/>
      <c r="Q13" s="1343">
        <f t="shared" si="6"/>
        <v>111</v>
      </c>
      <c r="R13" s="701" t="s">
        <v>18</v>
      </c>
      <c r="S13" s="702">
        <f t="shared" si="0"/>
        <v>100</v>
      </c>
      <c r="T13" s="701" t="s">
        <v>18</v>
      </c>
      <c r="U13" s="702">
        <f t="shared" si="1"/>
        <v>100</v>
      </c>
      <c r="V13" s="701" t="s">
        <v>18</v>
      </c>
      <c r="W13" s="702">
        <f t="shared" si="2"/>
        <v>100</v>
      </c>
      <c r="X13" s="703"/>
      <c r="Y13" s="37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22"/>
      <c r="Q14" s="1343">
        <f t="shared" si="6"/>
        <v>111</v>
      </c>
      <c r="R14" s="701" t="s">
        <v>18</v>
      </c>
      <c r="S14" s="702">
        <f t="shared" si="0"/>
        <v>100</v>
      </c>
      <c r="T14" s="701" t="s">
        <v>18</v>
      </c>
      <c r="U14" s="702">
        <f t="shared" si="1"/>
        <v>100</v>
      </c>
      <c r="V14" s="701" t="s">
        <v>18</v>
      </c>
      <c r="W14" s="702">
        <f t="shared" si="2"/>
        <v>100</v>
      </c>
      <c r="X14" s="703"/>
      <c r="Y14" s="3777"/>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36" t="s">
        <v>1691</v>
      </c>
      <c r="Q15" s="1352" t="str">
        <f t="shared" si="6"/>
        <v>居住社区成熟度</v>
      </c>
      <c r="R15" s="705" t="s">
        <v>18</v>
      </c>
      <c r="S15" s="706">
        <f t="shared" si="0"/>
        <v>100</v>
      </c>
      <c r="T15" s="705" t="s">
        <v>18</v>
      </c>
      <c r="U15" s="706">
        <f t="shared" si="1"/>
        <v>100</v>
      </c>
      <c r="V15" s="705" t="s">
        <v>18</v>
      </c>
      <c r="W15" s="706">
        <f t="shared" si="2"/>
        <v>100</v>
      </c>
      <c r="X15" s="1355"/>
      <c r="Y15" s="383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837"/>
      <c r="Q16" s="1352"/>
      <c r="R16" s="705"/>
      <c r="S16" s="706"/>
      <c r="T16" s="705"/>
      <c r="U16" s="706"/>
      <c r="V16" s="705"/>
      <c r="W16" s="706"/>
      <c r="X16" s="1355"/>
      <c r="Y16" s="3839"/>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37"/>
      <c r="Q17" s="1352" t="str">
        <f>B17</f>
        <v>交通便捷度</v>
      </c>
      <c r="R17" s="705" t="s">
        <v>18</v>
      </c>
      <c r="S17" s="706">
        <f>F17</f>
        <v>100</v>
      </c>
      <c r="T17" s="705" t="s">
        <v>18</v>
      </c>
      <c r="U17" s="706">
        <f>H17</f>
        <v>100</v>
      </c>
      <c r="V17" s="705" t="s">
        <v>18</v>
      </c>
      <c r="W17" s="706">
        <f>J17</f>
        <v>100</v>
      </c>
      <c r="X17" s="1355"/>
      <c r="Y17" s="38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837"/>
      <c r="Q18" s="1352"/>
      <c r="R18" s="705"/>
      <c r="S18" s="706"/>
      <c r="T18" s="705"/>
      <c r="U18" s="706"/>
      <c r="V18" s="705"/>
      <c r="W18" s="706"/>
      <c r="X18" s="1355"/>
      <c r="Y18" s="3839"/>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37"/>
      <c r="Q19" s="1352" t="str">
        <f>B19</f>
        <v>公共配套设施</v>
      </c>
      <c r="R19" s="705" t="s">
        <v>18</v>
      </c>
      <c r="S19" s="706">
        <f>F19</f>
        <v>100</v>
      </c>
      <c r="T19" s="705" t="s">
        <v>18</v>
      </c>
      <c r="U19" s="706">
        <f>H19</f>
        <v>100</v>
      </c>
      <c r="V19" s="705" t="s">
        <v>18</v>
      </c>
      <c r="W19" s="706">
        <f>J19</f>
        <v>100</v>
      </c>
      <c r="X19" s="1355"/>
      <c r="Y19" s="38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837"/>
      <c r="Q20" s="1352"/>
      <c r="R20" s="705"/>
      <c r="S20" s="706"/>
      <c r="T20" s="705"/>
      <c r="U20" s="706"/>
      <c r="V20" s="705"/>
      <c r="W20" s="706"/>
      <c r="X20" s="1355"/>
      <c r="Y20" s="383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37"/>
      <c r="Q21" s="1352" t="str">
        <f>B21</f>
        <v>基础设施水平</v>
      </c>
      <c r="R21" s="705" t="s">
        <v>14</v>
      </c>
      <c r="S21" s="706">
        <f>F21</f>
        <v>100</v>
      </c>
      <c r="T21" s="705" t="s">
        <v>14</v>
      </c>
      <c r="U21" s="706">
        <f>H21</f>
        <v>100</v>
      </c>
      <c r="V21" s="705" t="s">
        <v>14</v>
      </c>
      <c r="W21" s="706">
        <f>J21</f>
        <v>100</v>
      </c>
      <c r="X21" s="1355"/>
      <c r="Y21" s="38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837"/>
      <c r="Q22" s="1352"/>
      <c r="R22" s="705"/>
      <c r="S22" s="706"/>
      <c r="T22" s="705"/>
      <c r="U22" s="706"/>
      <c r="V22" s="705"/>
      <c r="W22" s="706"/>
      <c r="X22" s="1355"/>
      <c r="Y22" s="3839"/>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37"/>
      <c r="Q23" s="1352" t="str">
        <f>B23</f>
        <v>自然及人文环境</v>
      </c>
      <c r="R23" s="705" t="s">
        <v>18</v>
      </c>
      <c r="S23" s="706">
        <f>F23</f>
        <v>100</v>
      </c>
      <c r="T23" s="705" t="s">
        <v>18</v>
      </c>
      <c r="U23" s="706">
        <f>H23</f>
        <v>100</v>
      </c>
      <c r="V23" s="705" t="s">
        <v>18</v>
      </c>
      <c r="W23" s="706">
        <f>J23</f>
        <v>100</v>
      </c>
      <c r="X23" s="1355"/>
      <c r="Y23" s="38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837"/>
      <c r="Q24" s="1352"/>
      <c r="R24" s="705"/>
      <c r="S24" s="706"/>
      <c r="T24" s="705"/>
      <c r="U24" s="706"/>
      <c r="V24" s="705"/>
      <c r="W24" s="706"/>
      <c r="X24" s="1355"/>
      <c r="Y24" s="383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837"/>
      <c r="Q26" s="1352" t="str">
        <f t="shared" si="11"/>
        <v>朝向</v>
      </c>
      <c r="R26" s="705" t="s">
        <v>18</v>
      </c>
      <c r="S26" s="706">
        <f t="shared" si="12"/>
        <v>100</v>
      </c>
      <c r="T26" s="705" t="s">
        <v>18</v>
      </c>
      <c r="U26" s="706">
        <f t="shared" si="13"/>
        <v>100</v>
      </c>
      <c r="V26" s="705" t="s">
        <v>18</v>
      </c>
      <c r="W26" s="706">
        <f t="shared" si="14"/>
        <v>100</v>
      </c>
      <c r="X26" s="1355"/>
      <c r="Y26" s="383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837"/>
      <c r="Q27" s="1343">
        <f t="shared" si="11"/>
        <v>111</v>
      </c>
      <c r="R27" s="701" t="s">
        <v>18</v>
      </c>
      <c r="S27" s="702">
        <f t="shared" si="12"/>
        <v>100</v>
      </c>
      <c r="T27" s="701" t="s">
        <v>18</v>
      </c>
      <c r="U27" s="702">
        <f t="shared" si="13"/>
        <v>100</v>
      </c>
      <c r="V27" s="701" t="s">
        <v>18</v>
      </c>
      <c r="W27" s="702">
        <f t="shared" si="14"/>
        <v>100</v>
      </c>
      <c r="X27" s="703"/>
      <c r="Y27" s="383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37"/>
      <c r="Q28" s="1352">
        <f t="shared" si="11"/>
        <v>111</v>
      </c>
      <c r="R28" s="705" t="s">
        <v>18</v>
      </c>
      <c r="S28" s="706">
        <f t="shared" si="12"/>
        <v>100</v>
      </c>
      <c r="T28" s="705" t="s">
        <v>18</v>
      </c>
      <c r="U28" s="706">
        <f t="shared" si="13"/>
        <v>100</v>
      </c>
      <c r="V28" s="705" t="s">
        <v>18</v>
      </c>
      <c r="W28" s="706">
        <f t="shared" si="14"/>
        <v>100</v>
      </c>
      <c r="X28" s="1355"/>
      <c r="Y28" s="38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37"/>
      <c r="Q29" s="1352">
        <f t="shared" si="11"/>
        <v>111</v>
      </c>
      <c r="R29" s="705" t="s">
        <v>18</v>
      </c>
      <c r="S29" s="706">
        <f t="shared" si="12"/>
        <v>100</v>
      </c>
      <c r="T29" s="705" t="s">
        <v>18</v>
      </c>
      <c r="U29" s="706">
        <f t="shared" si="13"/>
        <v>100</v>
      </c>
      <c r="V29" s="705" t="s">
        <v>18</v>
      </c>
      <c r="W29" s="706">
        <f t="shared" si="14"/>
        <v>100</v>
      </c>
      <c r="X29" s="1355"/>
      <c r="Y29" s="38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37"/>
      <c r="Q30" s="1352">
        <f t="shared" si="11"/>
        <v>111</v>
      </c>
      <c r="R30" s="705" t="s">
        <v>18</v>
      </c>
      <c r="S30" s="706">
        <f t="shared" si="12"/>
        <v>100</v>
      </c>
      <c r="T30" s="705" t="s">
        <v>18</v>
      </c>
      <c r="U30" s="706">
        <f t="shared" si="13"/>
        <v>100</v>
      </c>
      <c r="V30" s="705" t="s">
        <v>18</v>
      </c>
      <c r="W30" s="706">
        <f t="shared" si="14"/>
        <v>100</v>
      </c>
      <c r="X30" s="1355"/>
      <c r="Y30" s="383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37"/>
      <c r="Q31" s="1352">
        <f t="shared" si="11"/>
        <v>111</v>
      </c>
      <c r="R31" s="705" t="s">
        <v>18</v>
      </c>
      <c r="S31" s="706">
        <f t="shared" si="12"/>
        <v>100</v>
      </c>
      <c r="T31" s="705" t="s">
        <v>18</v>
      </c>
      <c r="U31" s="706">
        <f t="shared" si="13"/>
        <v>100</v>
      </c>
      <c r="V31" s="705" t="s">
        <v>18</v>
      </c>
      <c r="W31" s="706">
        <f t="shared" si="14"/>
        <v>100</v>
      </c>
      <c r="X31" s="1355"/>
      <c r="Y31" s="383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840" t="s">
        <v>1696</v>
      </c>
      <c r="Q32" s="1352" t="str">
        <f t="shared" si="11"/>
        <v>建筑类型</v>
      </c>
      <c r="R32" s="705" t="s">
        <v>18</v>
      </c>
      <c r="S32" s="706">
        <f t="shared" si="12"/>
        <v>100</v>
      </c>
      <c r="T32" s="705" t="s">
        <v>18</v>
      </c>
      <c r="U32" s="706">
        <f t="shared" si="13"/>
        <v>100</v>
      </c>
      <c r="V32" s="705" t="s">
        <v>18</v>
      </c>
      <c r="W32" s="706">
        <f t="shared" si="14"/>
        <v>100</v>
      </c>
      <c r="X32" s="1355"/>
      <c r="Y32" s="384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841"/>
      <c r="Q33" s="707" t="str">
        <f t="shared" si="11"/>
        <v>项目建筑规模</v>
      </c>
      <c r="R33" s="708" t="s">
        <v>18</v>
      </c>
      <c r="S33" s="709" t="e">
        <f t="shared" si="12"/>
        <v>#N/A</v>
      </c>
      <c r="T33" s="708" t="s">
        <v>18</v>
      </c>
      <c r="U33" s="709" t="e">
        <f t="shared" si="13"/>
        <v>#N/A</v>
      </c>
      <c r="V33" s="708" t="s">
        <v>18</v>
      </c>
      <c r="W33" s="709" t="e">
        <f t="shared" si="14"/>
        <v>#N/A</v>
      </c>
      <c r="X33" s="710"/>
      <c r="Y33" s="384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841"/>
      <c r="Q34" s="1352" t="str">
        <f t="shared" si="11"/>
        <v>建筑结构</v>
      </c>
      <c r="R34" s="705" t="s">
        <v>18</v>
      </c>
      <c r="S34" s="706">
        <f t="shared" si="12"/>
        <v>100</v>
      </c>
      <c r="T34" s="705" t="s">
        <v>18</v>
      </c>
      <c r="U34" s="706">
        <f t="shared" si="13"/>
        <v>100</v>
      </c>
      <c r="V34" s="705" t="s">
        <v>18</v>
      </c>
      <c r="W34" s="706">
        <f t="shared" si="14"/>
        <v>100</v>
      </c>
      <c r="X34" s="1355"/>
      <c r="Y34" s="384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41"/>
      <c r="Q35" s="1352" t="str">
        <f t="shared" si="11"/>
        <v>建筑品质</v>
      </c>
      <c r="R35" s="705" t="s">
        <v>18</v>
      </c>
      <c r="S35" s="706">
        <f t="shared" si="12"/>
        <v>100</v>
      </c>
      <c r="T35" s="705" t="s">
        <v>18</v>
      </c>
      <c r="U35" s="706">
        <f t="shared" si="13"/>
        <v>100</v>
      </c>
      <c r="V35" s="705" t="s">
        <v>18</v>
      </c>
      <c r="W35" s="706">
        <f t="shared" si="14"/>
        <v>100</v>
      </c>
      <c r="X35" s="1355"/>
      <c r="Y35" s="384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841"/>
      <c r="Q36" s="1352" t="str">
        <f t="shared" si="11"/>
        <v>公共部分装修</v>
      </c>
      <c r="R36" s="705" t="s">
        <v>18</v>
      </c>
      <c r="S36" s="706">
        <f t="shared" si="12"/>
        <v>100</v>
      </c>
      <c r="T36" s="705" t="s">
        <v>18</v>
      </c>
      <c r="U36" s="706">
        <f t="shared" si="13"/>
        <v>100</v>
      </c>
      <c r="V36" s="705" t="s">
        <v>18</v>
      </c>
      <c r="W36" s="706">
        <f t="shared" si="14"/>
        <v>100</v>
      </c>
      <c r="X36" s="1355"/>
      <c r="Y36" s="384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41"/>
      <c r="Q37" s="1343" t="str">
        <f t="shared" si="11"/>
        <v>成新度</v>
      </c>
      <c r="R37" s="701" t="s">
        <v>18</v>
      </c>
      <c r="S37" s="702" t="e">
        <f t="shared" si="12"/>
        <v>#N/A</v>
      </c>
      <c r="T37" s="701" t="s">
        <v>18</v>
      </c>
      <c r="U37" s="702" t="e">
        <f t="shared" si="13"/>
        <v>#N/A</v>
      </c>
      <c r="V37" s="701" t="s">
        <v>18</v>
      </c>
      <c r="W37" s="702" t="e">
        <f t="shared" si="14"/>
        <v>#N/A</v>
      </c>
      <c r="X37" s="703"/>
      <c r="Y37" s="384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841" t="s">
        <v>1696</v>
      </c>
      <c r="Q38" s="1352" t="str">
        <f t="shared" si="11"/>
        <v>物业管理</v>
      </c>
      <c r="R38" s="705" t="s">
        <v>18</v>
      </c>
      <c r="S38" s="706">
        <f t="shared" si="12"/>
        <v>100</v>
      </c>
      <c r="T38" s="705" t="s">
        <v>18</v>
      </c>
      <c r="U38" s="706">
        <f t="shared" si="13"/>
        <v>100</v>
      </c>
      <c r="V38" s="705" t="s">
        <v>18</v>
      </c>
      <c r="W38" s="706">
        <f t="shared" si="14"/>
        <v>100</v>
      </c>
      <c r="X38" s="1355"/>
      <c r="Y38" s="384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841"/>
      <c r="Q39" s="1352" t="str">
        <f t="shared" si="11"/>
        <v>市政基础设施</v>
      </c>
      <c r="R39" s="705" t="s">
        <v>18</v>
      </c>
      <c r="S39" s="706">
        <f t="shared" si="12"/>
        <v>100</v>
      </c>
      <c r="T39" s="705" t="s">
        <v>18</v>
      </c>
      <c r="U39" s="706">
        <f t="shared" si="13"/>
        <v>100</v>
      </c>
      <c r="V39" s="705" t="s">
        <v>18</v>
      </c>
      <c r="W39" s="706">
        <f t="shared" si="14"/>
        <v>100</v>
      </c>
      <c r="X39" s="1355"/>
      <c r="Y39" s="384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841"/>
      <c r="Q40" s="1352" t="str">
        <f t="shared" si="11"/>
        <v>房型</v>
      </c>
      <c r="R40" s="705" t="s">
        <v>18</v>
      </c>
      <c r="S40" s="706">
        <f t="shared" si="12"/>
        <v>100</v>
      </c>
      <c r="T40" s="705" t="s">
        <v>18</v>
      </c>
      <c r="U40" s="706">
        <f t="shared" si="13"/>
        <v>100</v>
      </c>
      <c r="V40" s="705" t="s">
        <v>18</v>
      </c>
      <c r="W40" s="706">
        <f t="shared" si="14"/>
        <v>100</v>
      </c>
      <c r="X40" s="1355"/>
      <c r="Y40" s="384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41"/>
      <c r="Q41" s="707" t="str">
        <f t="shared" si="11"/>
        <v>单套/主力户型建筑面积</v>
      </c>
      <c r="R41" s="708" t="s">
        <v>18</v>
      </c>
      <c r="S41" s="709">
        <f t="shared" si="12"/>
        <v>100</v>
      </c>
      <c r="T41" s="708" t="s">
        <v>18</v>
      </c>
      <c r="U41" s="709">
        <f t="shared" si="13"/>
        <v>100</v>
      </c>
      <c r="V41" s="708" t="s">
        <v>18</v>
      </c>
      <c r="W41" s="709">
        <f t="shared" si="14"/>
        <v>100</v>
      </c>
      <c r="X41" s="710"/>
      <c r="Y41" s="384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841"/>
      <c r="Q42" s="1352" t="str">
        <f t="shared" si="11"/>
        <v>内部装修</v>
      </c>
      <c r="R42" s="705" t="s">
        <v>18</v>
      </c>
      <c r="S42" s="706">
        <f t="shared" si="12"/>
        <v>100</v>
      </c>
      <c r="T42" s="705" t="s">
        <v>18</v>
      </c>
      <c r="U42" s="706">
        <f t="shared" si="13"/>
        <v>100</v>
      </c>
      <c r="V42" s="705" t="s">
        <v>18</v>
      </c>
      <c r="W42" s="706">
        <f t="shared" si="14"/>
        <v>100</v>
      </c>
      <c r="X42" s="1355"/>
      <c r="Y42" s="384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841"/>
      <c r="Q43" s="1352" t="str">
        <f t="shared" si="11"/>
        <v>内部装修维护情况</v>
      </c>
      <c r="R43" s="705" t="s">
        <v>18</v>
      </c>
      <c r="S43" s="706">
        <f t="shared" si="12"/>
        <v>100</v>
      </c>
      <c r="T43" s="705" t="s">
        <v>18</v>
      </c>
      <c r="U43" s="706">
        <f t="shared" si="13"/>
        <v>100</v>
      </c>
      <c r="V43" s="705" t="s">
        <v>18</v>
      </c>
      <c r="W43" s="706">
        <f t="shared" si="14"/>
        <v>100</v>
      </c>
      <c r="X43" s="1355"/>
      <c r="Y43" s="38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41"/>
      <c r="Q44" s="1343">
        <f t="shared" si="11"/>
        <v>111</v>
      </c>
      <c r="R44" s="701" t="s">
        <v>18</v>
      </c>
      <c r="S44" s="702">
        <f t="shared" si="12"/>
        <v>100</v>
      </c>
      <c r="T44" s="701" t="s">
        <v>18</v>
      </c>
      <c r="U44" s="702">
        <f t="shared" si="13"/>
        <v>100</v>
      </c>
      <c r="V44" s="701" t="s">
        <v>18</v>
      </c>
      <c r="W44" s="702">
        <f t="shared" si="14"/>
        <v>100</v>
      </c>
      <c r="X44" s="703"/>
      <c r="Y44" s="38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41"/>
      <c r="Q45" s="1352">
        <f t="shared" si="11"/>
        <v>111</v>
      </c>
      <c r="R45" s="705" t="s">
        <v>18</v>
      </c>
      <c r="S45" s="706">
        <f t="shared" si="12"/>
        <v>100</v>
      </c>
      <c r="T45" s="705" t="s">
        <v>18</v>
      </c>
      <c r="U45" s="706">
        <f t="shared" si="13"/>
        <v>100</v>
      </c>
      <c r="V45" s="705" t="s">
        <v>18</v>
      </c>
      <c r="W45" s="706">
        <f t="shared" si="14"/>
        <v>100</v>
      </c>
      <c r="X45" s="1355"/>
      <c r="Y45" s="38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42"/>
      <c r="Q46" s="1352">
        <f t="shared" si="11"/>
        <v>111</v>
      </c>
      <c r="R46" s="705" t="s">
        <v>17</v>
      </c>
      <c r="S46" s="706">
        <f t="shared" si="12"/>
        <v>100</v>
      </c>
      <c r="T46" s="705" t="s">
        <v>17</v>
      </c>
      <c r="U46" s="706">
        <f t="shared" si="13"/>
        <v>100</v>
      </c>
      <c r="V46" s="705" t="s">
        <v>17</v>
      </c>
      <c r="W46" s="706">
        <f t="shared" si="14"/>
        <v>100</v>
      </c>
      <c r="X46" s="1355"/>
      <c r="Y46" s="384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845" t="str">
        <f>A47</f>
        <v>成交单价（元/平方米）</v>
      </c>
      <c r="Q47" s="3845"/>
      <c r="R47" s="3846">
        <f>E47</f>
        <v>0</v>
      </c>
      <c r="S47" s="3846"/>
      <c r="T47" s="3846">
        <f>G47</f>
        <v>0</v>
      </c>
      <c r="U47" s="3846"/>
      <c r="V47" s="3846">
        <f>I47</f>
        <v>0</v>
      </c>
      <c r="W47" s="384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845" t="str">
        <f>A48</f>
        <v>比较价值（元/平方米）</v>
      </c>
      <c r="Q48" s="3845"/>
      <c r="R48" s="3846" t="e">
        <f>IF(F1="售价",ROUND(PRODUCT(R47,AA7:AA46),0),ROUND(PRODUCT(R47,AA7:AA46),1))</f>
        <v>#DIV/0!</v>
      </c>
      <c r="S48" s="3846"/>
      <c r="T48" s="3846" t="e">
        <f>IF(F1="售价",ROUND(PRODUCT(T47,AB7:AB46),0),ROUND(PRODUCT(T47,AB7:AB46),1))</f>
        <v>#DIV/0!</v>
      </c>
      <c r="U48" s="3846"/>
      <c r="V48" s="3846" t="e">
        <f>IF(F1="售价",ROUND(PRODUCT(V47,AC7:AC46),0),ROUND(PRODUCT(V47,AC7:AC46),1))</f>
        <v>#DIV/0!</v>
      </c>
      <c r="W48" s="384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847" t="str">
        <f>A49</f>
        <v>估价对象XX用房的比较价值（楼面单价，元/平方米）</v>
      </c>
      <c r="Q49" s="3848"/>
      <c r="R49" s="3849" t="e">
        <f>IF(F1="售价",ROUND(IF(D48="简单平均",AVERAGE(R48:V48),R48*F48+T48*H48+V48*J48),0),ROUND(IF(D48="简单平均",AVERAGE(R48:V48),R48*F48+T48*H48+V48*J48),1))</f>
        <v>#DIV/0!</v>
      </c>
      <c r="S49" s="3849"/>
      <c r="T49" s="3849"/>
      <c r="U49" s="3849"/>
      <c r="V49" s="3849"/>
      <c r="W49" s="384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608.29999999999995</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823" t="s">
        <v>1770</v>
      </c>
      <c r="D4" s="3824"/>
      <c r="E4" s="3825" t="s">
        <v>1771</v>
      </c>
      <c r="F4" s="3826"/>
      <c r="G4" s="3823" t="s">
        <v>1772</v>
      </c>
      <c r="H4" s="3824"/>
      <c r="I4" s="3823" t="s">
        <v>1773</v>
      </c>
      <c r="J4" s="3824"/>
      <c r="K4" s="559" t="s">
        <v>1774</v>
      </c>
      <c r="L4" s="2711"/>
      <c r="M4" s="2712"/>
      <c r="N4" s="2712"/>
      <c r="O4" s="2712"/>
      <c r="P4" s="3884" t="s">
        <v>1775</v>
      </c>
      <c r="Q4" s="3885"/>
      <c r="R4" s="3879" t="s">
        <v>1771</v>
      </c>
      <c r="S4" s="3880"/>
      <c r="T4" s="3879" t="s">
        <v>1772</v>
      </c>
      <c r="U4" s="3880"/>
      <c r="V4" s="3888" t="s">
        <v>1773</v>
      </c>
      <c r="W4" s="3888"/>
      <c r="X4" s="1958"/>
      <c r="Y4" s="3879" t="s">
        <v>1775</v>
      </c>
      <c r="Z4" s="3880"/>
      <c r="AA4" s="3878" t="s">
        <v>1771</v>
      </c>
      <c r="AB4" s="3878" t="s">
        <v>1772</v>
      </c>
      <c r="AC4" s="3881" t="s">
        <v>1773</v>
      </c>
    </row>
    <row r="5" spans="1:29" ht="15">
      <c r="A5" s="358"/>
      <c r="B5" s="359"/>
      <c r="C5" s="3877" t="s">
        <v>1673</v>
      </c>
      <c r="D5" s="3817"/>
      <c r="E5" s="3876" t="s">
        <v>1674</v>
      </c>
      <c r="F5" s="3815"/>
      <c r="G5" s="3877" t="s">
        <v>1675</v>
      </c>
      <c r="H5" s="3817"/>
      <c r="I5" s="3877" t="s">
        <v>1676</v>
      </c>
      <c r="J5" s="3817"/>
      <c r="K5" s="559"/>
      <c r="L5" s="2711"/>
      <c r="M5" s="2712"/>
      <c r="N5" s="2712"/>
      <c r="O5" s="2712"/>
      <c r="P5" s="3886"/>
      <c r="Q5" s="3830"/>
      <c r="R5" s="3812"/>
      <c r="S5" s="3813"/>
      <c r="T5" s="3812"/>
      <c r="U5" s="3813"/>
      <c r="V5" s="3807"/>
      <c r="W5" s="3807"/>
      <c r="X5" s="1355"/>
      <c r="Y5" s="3812"/>
      <c r="Z5" s="3813"/>
      <c r="AA5" s="3805"/>
      <c r="AB5" s="3805"/>
      <c r="AC5" s="3882"/>
    </row>
    <row r="6" spans="1:29" ht="15.75" thickBot="1">
      <c r="A6" s="360"/>
      <c r="B6" s="361"/>
      <c r="C6" s="3818" t="s">
        <v>1677</v>
      </c>
      <c r="D6" s="3819"/>
      <c r="E6" s="3820" t="s">
        <v>1677</v>
      </c>
      <c r="F6" s="3821"/>
      <c r="G6" s="3818" t="s">
        <v>1677</v>
      </c>
      <c r="H6" s="3819"/>
      <c r="I6" s="3818" t="s">
        <v>1677</v>
      </c>
      <c r="J6" s="3819"/>
      <c r="K6" s="559" t="s">
        <v>1678</v>
      </c>
      <c r="L6" s="2711"/>
      <c r="M6" s="2712"/>
      <c r="N6" s="2712"/>
      <c r="O6" s="2712"/>
      <c r="P6" s="3887"/>
      <c r="Q6" s="3832"/>
      <c r="R6" s="3812"/>
      <c r="S6" s="3813"/>
      <c r="T6" s="3833"/>
      <c r="U6" s="3834"/>
      <c r="V6" s="3807"/>
      <c r="W6" s="3807"/>
      <c r="X6" s="1355"/>
      <c r="Y6" s="3833"/>
      <c r="Z6" s="3834"/>
      <c r="AA6" s="3806"/>
      <c r="AB6" s="3806"/>
      <c r="AC6" s="3883"/>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89" t="s">
        <v>1680</v>
      </c>
      <c r="Q7" s="3835"/>
      <c r="R7" s="701" t="s">
        <v>14</v>
      </c>
      <c r="S7" s="702">
        <f t="shared" ref="S7:S15" si="0">F7</f>
        <v>0</v>
      </c>
      <c r="T7" s="701" t="s">
        <v>14</v>
      </c>
      <c r="U7" s="702">
        <f t="shared" ref="U7:U15" si="1">H7</f>
        <v>0</v>
      </c>
      <c r="V7" s="701" t="s">
        <v>14</v>
      </c>
      <c r="W7" s="702">
        <f t="shared" ref="W7:W15" si="2">J7</f>
        <v>0</v>
      </c>
      <c r="X7" s="703"/>
      <c r="Y7" s="3808" t="s">
        <v>1680</v>
      </c>
      <c r="Z7" s="38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89" t="s">
        <v>1683</v>
      </c>
      <c r="Q8" s="3809"/>
      <c r="R8" s="701" t="s">
        <v>14</v>
      </c>
      <c r="S8" s="702">
        <f t="shared" si="0"/>
        <v>100</v>
      </c>
      <c r="T8" s="701" t="s">
        <v>14</v>
      </c>
      <c r="U8" s="702">
        <f t="shared" si="1"/>
        <v>100</v>
      </c>
      <c r="V8" s="701" t="s">
        <v>14</v>
      </c>
      <c r="W8" s="702">
        <f t="shared" si="2"/>
        <v>100</v>
      </c>
      <c r="X8" s="703"/>
      <c r="Y8" s="3808" t="s">
        <v>1683</v>
      </c>
      <c r="Z8" s="38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22"/>
      <c r="Q11" s="1343" t="str">
        <f t="shared" si="6"/>
        <v>容积率</v>
      </c>
      <c r="R11" s="701" t="s">
        <v>14</v>
      </c>
      <c r="S11" s="702">
        <f t="shared" si="0"/>
        <v>100</v>
      </c>
      <c r="T11" s="701" t="s">
        <v>14</v>
      </c>
      <c r="U11" s="702">
        <f t="shared" si="1"/>
        <v>100</v>
      </c>
      <c r="V11" s="701" t="s">
        <v>14</v>
      </c>
      <c r="W11" s="702">
        <f t="shared" si="2"/>
        <v>100</v>
      </c>
      <c r="X11" s="703"/>
      <c r="Y11" s="37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822"/>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822"/>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822"/>
      <c r="Q14" s="1343">
        <f t="shared" si="6"/>
        <v>111</v>
      </c>
      <c r="R14" s="701" t="s">
        <v>14</v>
      </c>
      <c r="S14" s="702">
        <f t="shared" si="0"/>
        <v>100</v>
      </c>
      <c r="T14" s="701" t="s">
        <v>14</v>
      </c>
      <c r="U14" s="702">
        <f t="shared" si="1"/>
        <v>100</v>
      </c>
      <c r="V14" s="701" t="s">
        <v>14</v>
      </c>
      <c r="W14" s="702">
        <f t="shared" si="2"/>
        <v>100</v>
      </c>
      <c r="X14" s="703"/>
      <c r="Y14" s="3777"/>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36" t="s">
        <v>1691</v>
      </c>
      <c r="Q15" s="1352" t="str">
        <f t="shared" si="6"/>
        <v>办公集聚程度</v>
      </c>
      <c r="R15" s="705" t="s">
        <v>14</v>
      </c>
      <c r="S15" s="706">
        <f t="shared" si="0"/>
        <v>100</v>
      </c>
      <c r="T15" s="705" t="s">
        <v>14</v>
      </c>
      <c r="U15" s="706">
        <f t="shared" si="1"/>
        <v>100</v>
      </c>
      <c r="V15" s="705" t="s">
        <v>14</v>
      </c>
      <c r="W15" s="706">
        <f t="shared" si="2"/>
        <v>100</v>
      </c>
      <c r="X15" s="1355"/>
      <c r="Y15" s="383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837"/>
      <c r="Q16" s="1352"/>
      <c r="R16" s="705"/>
      <c r="S16" s="706"/>
      <c r="T16" s="705"/>
      <c r="U16" s="706"/>
      <c r="V16" s="705"/>
      <c r="W16" s="706"/>
      <c r="X16" s="1355"/>
      <c r="Y16" s="3839"/>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37"/>
      <c r="Q17" s="1352" t="str">
        <f>B17</f>
        <v>交通便捷度</v>
      </c>
      <c r="R17" s="705" t="s">
        <v>14</v>
      </c>
      <c r="S17" s="706">
        <f>F17</f>
        <v>100</v>
      </c>
      <c r="T17" s="705" t="s">
        <v>14</v>
      </c>
      <c r="U17" s="706">
        <f>H17</f>
        <v>100</v>
      </c>
      <c r="V17" s="705" t="s">
        <v>14</v>
      </c>
      <c r="W17" s="706">
        <f>J17</f>
        <v>100</v>
      </c>
      <c r="X17" s="1355"/>
      <c r="Y17" s="383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837"/>
      <c r="Q18" s="1352"/>
      <c r="R18" s="705"/>
      <c r="S18" s="706"/>
      <c r="T18" s="705"/>
      <c r="U18" s="706"/>
      <c r="V18" s="705"/>
      <c r="W18" s="706"/>
      <c r="X18" s="1355"/>
      <c r="Y18" s="3839"/>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37"/>
      <c r="Q19" s="1352" t="str">
        <f>B19</f>
        <v>公共配套设施</v>
      </c>
      <c r="R19" s="705" t="s">
        <v>14</v>
      </c>
      <c r="S19" s="706">
        <f>F19</f>
        <v>100</v>
      </c>
      <c r="T19" s="705" t="s">
        <v>14</v>
      </c>
      <c r="U19" s="706">
        <f>H19</f>
        <v>100</v>
      </c>
      <c r="V19" s="705" t="s">
        <v>14</v>
      </c>
      <c r="W19" s="706">
        <f>J19</f>
        <v>100</v>
      </c>
      <c r="X19" s="1355"/>
      <c r="Y19" s="383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837"/>
      <c r="Q20" s="1352"/>
      <c r="R20" s="705"/>
      <c r="S20" s="706"/>
      <c r="T20" s="705"/>
      <c r="U20" s="706"/>
      <c r="V20" s="705"/>
      <c r="W20" s="706"/>
      <c r="X20" s="1355"/>
      <c r="Y20" s="3839"/>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37"/>
      <c r="Q21" s="1352" t="str">
        <f>B21</f>
        <v>基础设施水平</v>
      </c>
      <c r="R21" s="705" t="s">
        <v>14</v>
      </c>
      <c r="S21" s="706">
        <f>F21</f>
        <v>100</v>
      </c>
      <c r="T21" s="705" t="s">
        <v>14</v>
      </c>
      <c r="U21" s="706">
        <f>H21</f>
        <v>100</v>
      </c>
      <c r="V21" s="705" t="s">
        <v>14</v>
      </c>
      <c r="W21" s="706">
        <f>J21</f>
        <v>100</v>
      </c>
      <c r="X21" s="1355"/>
      <c r="Y21" s="383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837"/>
      <c r="Q22" s="1352"/>
      <c r="R22" s="705"/>
      <c r="S22" s="706"/>
      <c r="T22" s="705"/>
      <c r="U22" s="706"/>
      <c r="V22" s="705"/>
      <c r="W22" s="706"/>
      <c r="X22" s="1355"/>
      <c r="Y22" s="3839"/>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37"/>
      <c r="Q23" s="1352" t="str">
        <f>B23</f>
        <v>环境质量</v>
      </c>
      <c r="R23" s="705" t="s">
        <v>14</v>
      </c>
      <c r="S23" s="706">
        <f>F23</f>
        <v>100</v>
      </c>
      <c r="T23" s="705" t="s">
        <v>14</v>
      </c>
      <c r="U23" s="706">
        <f>H23</f>
        <v>100</v>
      </c>
      <c r="V23" s="705" t="s">
        <v>14</v>
      </c>
      <c r="W23" s="706">
        <f>J23</f>
        <v>100</v>
      </c>
      <c r="X23" s="1355"/>
      <c r="Y23" s="383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837"/>
      <c r="Q24" s="1352"/>
      <c r="R24" s="705"/>
      <c r="S24" s="706"/>
      <c r="T24" s="705"/>
      <c r="U24" s="706"/>
      <c r="V24" s="705"/>
      <c r="W24" s="706"/>
      <c r="X24" s="1355"/>
      <c r="Y24" s="383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37"/>
      <c r="Q25" s="1352" t="str">
        <f>B25</f>
        <v>毗邻道路的类型与等级</v>
      </c>
      <c r="R25" s="705" t="s">
        <v>14</v>
      </c>
      <c r="S25" s="706">
        <f>F25</f>
        <v>100</v>
      </c>
      <c r="T25" s="705" t="s">
        <v>14</v>
      </c>
      <c r="U25" s="706">
        <f>H25</f>
        <v>100</v>
      </c>
      <c r="V25" s="705" t="s">
        <v>14</v>
      </c>
      <c r="W25" s="706">
        <f>J25</f>
        <v>100</v>
      </c>
      <c r="X25" s="1355"/>
      <c r="Y25" s="383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837"/>
      <c r="Q26" s="1352"/>
      <c r="R26" s="705"/>
      <c r="S26" s="706"/>
      <c r="T26" s="705"/>
      <c r="U26" s="706"/>
      <c r="V26" s="705"/>
      <c r="W26" s="706"/>
      <c r="X26" s="1355"/>
      <c r="Y26" s="383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37"/>
      <c r="Q27" s="1352" t="str">
        <f t="shared" ref="Q27:Q47" si="11">B27</f>
        <v>楼层</v>
      </c>
      <c r="R27" s="705" t="s">
        <v>14</v>
      </c>
      <c r="S27" s="706">
        <f>F27</f>
        <v>100</v>
      </c>
      <c r="T27" s="705" t="s">
        <v>14</v>
      </c>
      <c r="U27" s="706">
        <f>H27</f>
        <v>100</v>
      </c>
      <c r="V27" s="705" t="s">
        <v>14</v>
      </c>
      <c r="W27" s="706">
        <f>J27</f>
        <v>100</v>
      </c>
      <c r="X27" s="1355"/>
      <c r="Y27" s="383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837"/>
      <c r="Q28" s="1343" t="str">
        <f t="shared" si="11"/>
        <v>朝向</v>
      </c>
      <c r="R28" s="701" t="s">
        <v>14</v>
      </c>
      <c r="S28" s="702">
        <f>F28</f>
        <v>100</v>
      </c>
      <c r="T28" s="701" t="s">
        <v>14</v>
      </c>
      <c r="U28" s="702">
        <f>H28</f>
        <v>100</v>
      </c>
      <c r="V28" s="701" t="s">
        <v>14</v>
      </c>
      <c r="W28" s="702">
        <f>J28</f>
        <v>100</v>
      </c>
      <c r="X28" s="703"/>
      <c r="Y28" s="383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837"/>
      <c r="Q29" s="1352">
        <f t="shared" si="11"/>
        <v>111</v>
      </c>
      <c r="R29" s="705" t="s">
        <v>14</v>
      </c>
      <c r="S29" s="706">
        <f t="shared" ref="S29:S47" si="12">F29</f>
        <v>100</v>
      </c>
      <c r="T29" s="705" t="s">
        <v>14</v>
      </c>
      <c r="U29" s="706">
        <f t="shared" ref="U29:U47" si="13">H29</f>
        <v>100</v>
      </c>
      <c r="V29" s="705" t="s">
        <v>14</v>
      </c>
      <c r="W29" s="706">
        <f t="shared" ref="W29:W47" si="14">J29</f>
        <v>100</v>
      </c>
      <c r="X29" s="1355"/>
      <c r="Y29" s="383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837"/>
      <c r="Q30" s="1352">
        <f t="shared" si="11"/>
        <v>111</v>
      </c>
      <c r="R30" s="705" t="s">
        <v>14</v>
      </c>
      <c r="S30" s="706">
        <f t="shared" si="12"/>
        <v>100</v>
      </c>
      <c r="T30" s="705" t="s">
        <v>14</v>
      </c>
      <c r="U30" s="706">
        <f t="shared" si="13"/>
        <v>100</v>
      </c>
      <c r="V30" s="705" t="s">
        <v>14</v>
      </c>
      <c r="W30" s="706">
        <f t="shared" si="14"/>
        <v>100</v>
      </c>
      <c r="X30" s="1355"/>
      <c r="Y30" s="383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837"/>
      <c r="Q31" s="1352">
        <f t="shared" si="11"/>
        <v>111</v>
      </c>
      <c r="R31" s="705" t="s">
        <v>14</v>
      </c>
      <c r="S31" s="706">
        <f t="shared" si="12"/>
        <v>100</v>
      </c>
      <c r="T31" s="705" t="s">
        <v>14</v>
      </c>
      <c r="U31" s="706">
        <f t="shared" si="13"/>
        <v>100</v>
      </c>
      <c r="V31" s="705" t="s">
        <v>14</v>
      </c>
      <c r="W31" s="706">
        <f t="shared" si="14"/>
        <v>100</v>
      </c>
      <c r="X31" s="1355"/>
      <c r="Y31" s="383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837"/>
      <c r="Q32" s="1352">
        <f t="shared" si="11"/>
        <v>111</v>
      </c>
      <c r="R32" s="705" t="s">
        <v>14</v>
      </c>
      <c r="S32" s="706">
        <f t="shared" si="12"/>
        <v>100</v>
      </c>
      <c r="T32" s="705" t="s">
        <v>14</v>
      </c>
      <c r="U32" s="706">
        <f t="shared" si="13"/>
        <v>100</v>
      </c>
      <c r="V32" s="705" t="s">
        <v>14</v>
      </c>
      <c r="W32" s="706">
        <f t="shared" si="14"/>
        <v>100</v>
      </c>
      <c r="X32" s="1355"/>
      <c r="Y32" s="383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840" t="s">
        <v>1696</v>
      </c>
      <c r="Q33" s="1352" t="str">
        <f t="shared" si="11"/>
        <v>建筑类型</v>
      </c>
      <c r="R33" s="705" t="s">
        <v>14</v>
      </c>
      <c r="S33" s="706">
        <f t="shared" si="12"/>
        <v>100</v>
      </c>
      <c r="T33" s="705" t="s">
        <v>14</v>
      </c>
      <c r="U33" s="706">
        <f t="shared" si="13"/>
        <v>100</v>
      </c>
      <c r="V33" s="705" t="s">
        <v>14</v>
      </c>
      <c r="W33" s="706">
        <f t="shared" si="14"/>
        <v>100</v>
      </c>
      <c r="X33" s="1355"/>
      <c r="Y33" s="384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41"/>
      <c r="Q34" s="707" t="str">
        <f t="shared" si="11"/>
        <v>项目建筑规模</v>
      </c>
      <c r="R34" s="708" t="s">
        <v>14</v>
      </c>
      <c r="S34" s="709" t="e">
        <f t="shared" si="12"/>
        <v>#N/A</v>
      </c>
      <c r="T34" s="708" t="s">
        <v>14</v>
      </c>
      <c r="U34" s="709" t="e">
        <f t="shared" si="13"/>
        <v>#N/A</v>
      </c>
      <c r="V34" s="708" t="s">
        <v>14</v>
      </c>
      <c r="W34" s="709" t="e">
        <f t="shared" si="14"/>
        <v>#N/A</v>
      </c>
      <c r="X34" s="710"/>
      <c r="Y34" s="384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41"/>
      <c r="Q35" s="1352" t="str">
        <f t="shared" si="11"/>
        <v>建筑结构</v>
      </c>
      <c r="R35" s="705" t="s">
        <v>14</v>
      </c>
      <c r="S35" s="706">
        <f t="shared" si="12"/>
        <v>100</v>
      </c>
      <c r="T35" s="705" t="s">
        <v>14</v>
      </c>
      <c r="U35" s="706">
        <f t="shared" si="13"/>
        <v>100</v>
      </c>
      <c r="V35" s="705" t="s">
        <v>14</v>
      </c>
      <c r="W35" s="706">
        <f t="shared" si="14"/>
        <v>100</v>
      </c>
      <c r="X35" s="1355"/>
      <c r="Y35" s="384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41"/>
      <c r="Q36" s="1352" t="str">
        <f t="shared" si="11"/>
        <v>公共部分装修</v>
      </c>
      <c r="R36" s="705" t="s">
        <v>14</v>
      </c>
      <c r="S36" s="706">
        <f t="shared" si="12"/>
        <v>100</v>
      </c>
      <c r="T36" s="705" t="s">
        <v>14</v>
      </c>
      <c r="U36" s="706">
        <f t="shared" si="13"/>
        <v>100</v>
      </c>
      <c r="V36" s="705" t="s">
        <v>14</v>
      </c>
      <c r="W36" s="706">
        <f t="shared" si="14"/>
        <v>100</v>
      </c>
      <c r="X36" s="1355"/>
      <c r="Y36" s="384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41"/>
      <c r="Q37" s="1352" t="str">
        <f t="shared" si="11"/>
        <v>成新度</v>
      </c>
      <c r="R37" s="705" t="s">
        <v>14</v>
      </c>
      <c r="S37" s="706" t="e">
        <f t="shared" si="12"/>
        <v>#N/A</v>
      </c>
      <c r="T37" s="705" t="s">
        <v>14</v>
      </c>
      <c r="U37" s="706" t="e">
        <f t="shared" si="13"/>
        <v>#N/A</v>
      </c>
      <c r="V37" s="705" t="s">
        <v>14</v>
      </c>
      <c r="W37" s="706" t="e">
        <f t="shared" si="14"/>
        <v>#N/A</v>
      </c>
      <c r="X37" s="1355"/>
      <c r="Y37" s="384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41"/>
      <c r="Q38" s="1343" t="str">
        <f t="shared" si="11"/>
        <v>写字楼等级</v>
      </c>
      <c r="R38" s="701" t="s">
        <v>14</v>
      </c>
      <c r="S38" s="702">
        <f t="shared" si="12"/>
        <v>100</v>
      </c>
      <c r="T38" s="701" t="s">
        <v>14</v>
      </c>
      <c r="U38" s="702">
        <f t="shared" si="13"/>
        <v>100</v>
      </c>
      <c r="V38" s="701" t="s">
        <v>14</v>
      </c>
      <c r="W38" s="702">
        <f t="shared" si="14"/>
        <v>100</v>
      </c>
      <c r="X38" s="703"/>
      <c r="Y38" s="384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41" t="s">
        <v>1696</v>
      </c>
      <c r="Q39" s="1352" t="str">
        <f t="shared" si="11"/>
        <v>物业管理</v>
      </c>
      <c r="R39" s="705" t="s">
        <v>14</v>
      </c>
      <c r="S39" s="706">
        <f t="shared" si="12"/>
        <v>100</v>
      </c>
      <c r="T39" s="705" t="s">
        <v>14</v>
      </c>
      <c r="U39" s="706">
        <f t="shared" si="13"/>
        <v>100</v>
      </c>
      <c r="V39" s="705" t="s">
        <v>14</v>
      </c>
      <c r="W39" s="706">
        <f t="shared" si="14"/>
        <v>100</v>
      </c>
      <c r="X39" s="1355"/>
      <c r="Y39" s="384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41"/>
      <c r="Q40" s="1352" t="str">
        <f t="shared" si="11"/>
        <v>市政基础设施</v>
      </c>
      <c r="R40" s="705" t="s">
        <v>14</v>
      </c>
      <c r="S40" s="706">
        <f t="shared" si="12"/>
        <v>100</v>
      </c>
      <c r="T40" s="705" t="s">
        <v>14</v>
      </c>
      <c r="U40" s="706">
        <f t="shared" si="13"/>
        <v>100</v>
      </c>
      <c r="V40" s="705" t="s">
        <v>14</v>
      </c>
      <c r="W40" s="706">
        <f t="shared" si="14"/>
        <v>100</v>
      </c>
      <c r="X40" s="1355"/>
      <c r="Y40" s="384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41"/>
      <c r="Q41" s="1352" t="str">
        <f t="shared" si="11"/>
        <v>层高</v>
      </c>
      <c r="R41" s="705" t="s">
        <v>14</v>
      </c>
      <c r="S41" s="706">
        <f t="shared" si="12"/>
        <v>100</v>
      </c>
      <c r="T41" s="705" t="s">
        <v>14</v>
      </c>
      <c r="U41" s="706">
        <f t="shared" si="13"/>
        <v>100</v>
      </c>
      <c r="V41" s="705" t="s">
        <v>14</v>
      </c>
      <c r="W41" s="706">
        <f t="shared" si="14"/>
        <v>100</v>
      </c>
      <c r="X41" s="1355"/>
      <c r="Y41" s="384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41"/>
      <c r="Q42" s="707" t="str">
        <f t="shared" si="11"/>
        <v>单套建筑面积</v>
      </c>
      <c r="R42" s="708" t="s">
        <v>14</v>
      </c>
      <c r="S42" s="709">
        <f t="shared" si="12"/>
        <v>100</v>
      </c>
      <c r="T42" s="708" t="s">
        <v>14</v>
      </c>
      <c r="U42" s="709">
        <f t="shared" si="13"/>
        <v>100</v>
      </c>
      <c r="V42" s="708" t="s">
        <v>14</v>
      </c>
      <c r="W42" s="709">
        <f t="shared" si="14"/>
        <v>100</v>
      </c>
      <c r="X42" s="710"/>
      <c r="Y42" s="384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41"/>
      <c r="Q43" s="1352" t="str">
        <f t="shared" si="11"/>
        <v>内部装修</v>
      </c>
      <c r="R43" s="705" t="s">
        <v>14</v>
      </c>
      <c r="S43" s="706">
        <f t="shared" si="12"/>
        <v>100</v>
      </c>
      <c r="T43" s="705" t="s">
        <v>14</v>
      </c>
      <c r="U43" s="706">
        <f t="shared" si="13"/>
        <v>100</v>
      </c>
      <c r="V43" s="705" t="s">
        <v>14</v>
      </c>
      <c r="W43" s="706">
        <f t="shared" si="14"/>
        <v>100</v>
      </c>
      <c r="X43" s="1355"/>
      <c r="Y43" s="384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41"/>
      <c r="Q44" s="1352" t="str">
        <f t="shared" si="11"/>
        <v>内部装修维护情况</v>
      </c>
      <c r="R44" s="705" t="s">
        <v>14</v>
      </c>
      <c r="S44" s="706">
        <f t="shared" si="12"/>
        <v>100</v>
      </c>
      <c r="T44" s="705" t="s">
        <v>14</v>
      </c>
      <c r="U44" s="706">
        <f t="shared" si="13"/>
        <v>100</v>
      </c>
      <c r="V44" s="705" t="s">
        <v>14</v>
      </c>
      <c r="W44" s="706">
        <f t="shared" si="14"/>
        <v>100</v>
      </c>
      <c r="X44" s="1355"/>
      <c r="Y44" s="384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41"/>
      <c r="Q45" s="1343">
        <f t="shared" si="11"/>
        <v>111</v>
      </c>
      <c r="R45" s="701" t="s">
        <v>14</v>
      </c>
      <c r="S45" s="702">
        <f t="shared" si="12"/>
        <v>100</v>
      </c>
      <c r="T45" s="701" t="s">
        <v>14</v>
      </c>
      <c r="U45" s="702">
        <f t="shared" si="13"/>
        <v>100</v>
      </c>
      <c r="V45" s="701" t="s">
        <v>14</v>
      </c>
      <c r="W45" s="702">
        <f t="shared" si="14"/>
        <v>100</v>
      </c>
      <c r="X45" s="703"/>
      <c r="Y45" s="384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41"/>
      <c r="Q46" s="1352">
        <f t="shared" si="11"/>
        <v>111</v>
      </c>
      <c r="R46" s="705" t="s">
        <v>14</v>
      </c>
      <c r="S46" s="706">
        <f t="shared" si="12"/>
        <v>100</v>
      </c>
      <c r="T46" s="705" t="s">
        <v>14</v>
      </c>
      <c r="U46" s="706">
        <f t="shared" si="13"/>
        <v>100</v>
      </c>
      <c r="V46" s="705" t="s">
        <v>14</v>
      </c>
      <c r="W46" s="706">
        <f t="shared" si="14"/>
        <v>100</v>
      </c>
      <c r="X46" s="1355"/>
      <c r="Y46" s="384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42"/>
      <c r="Q47" s="1352">
        <f t="shared" si="11"/>
        <v>111</v>
      </c>
      <c r="R47" s="705" t="s">
        <v>14</v>
      </c>
      <c r="S47" s="706">
        <f t="shared" si="12"/>
        <v>100</v>
      </c>
      <c r="T47" s="705" t="s">
        <v>14</v>
      </c>
      <c r="U47" s="706">
        <f t="shared" si="13"/>
        <v>100</v>
      </c>
      <c r="V47" s="705" t="s">
        <v>14</v>
      </c>
      <c r="W47" s="706">
        <f t="shared" si="14"/>
        <v>100</v>
      </c>
      <c r="X47" s="1355"/>
      <c r="Y47" s="384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822" t="str">
        <f>A48</f>
        <v>成交单价（元/平方米）</v>
      </c>
      <c r="Q48" s="3845"/>
      <c r="R48" s="3846">
        <f>E48</f>
        <v>0</v>
      </c>
      <c r="S48" s="3846"/>
      <c r="T48" s="3846">
        <f>G48</f>
        <v>0</v>
      </c>
      <c r="U48" s="3846"/>
      <c r="V48" s="3846">
        <f>I48</f>
        <v>0</v>
      </c>
      <c r="W48" s="384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822" t="str">
        <f>A49</f>
        <v>比较价值（元/平方米）</v>
      </c>
      <c r="Q49" s="3845"/>
      <c r="R49" s="3846" t="e">
        <f>IF(F1="售价",ROUND(PRODUCT(R48,AA7:AA47),0),ROUND(PRODUCT(R48,AA7:AA47),1))</f>
        <v>#DIV/0!</v>
      </c>
      <c r="S49" s="3846"/>
      <c r="T49" s="3846" t="e">
        <f>IF(F1="售价",ROUND(PRODUCT(T48,AB7:AB47),0),ROUND(PRODUCT(T48,AB7:AB47),1))</f>
        <v>#DIV/0!</v>
      </c>
      <c r="U49" s="3846"/>
      <c r="V49" s="3846" t="e">
        <f>IF(F1="售价",ROUND(PRODUCT(V48,AC7:AC47),0),ROUND(PRODUCT(V48,AC7:AC47),1))</f>
        <v>#DIV/0!</v>
      </c>
      <c r="W49" s="384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890" t="str">
        <f>A50</f>
        <v>估价对象XX用房的比较价值（楼面单价，元/平方米）</v>
      </c>
      <c r="Q50" s="3891"/>
      <c r="R50" s="3892" t="e">
        <f>IF(F1="售价",ROUND(IF(D49="简单平均",AVERAGE(R49:V49),R49*F49+T49*H49+V49*J49),0),ROUND(IF(D49="简单平均",AVERAGE(R49:V49),R49*F49+T49*H49+V49*J49),1))</f>
        <v>#DIV/0!</v>
      </c>
      <c r="S50" s="3892"/>
      <c r="T50" s="3892"/>
      <c r="U50" s="3892"/>
      <c r="V50" s="3892"/>
      <c r="W50" s="3892"/>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608.29999999999995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913"/>
      <c r="M4" s="914"/>
      <c r="N4" s="914"/>
      <c r="O4" s="914"/>
      <c r="P4" s="3827" t="s">
        <v>1775</v>
      </c>
      <c r="Q4" s="3828"/>
      <c r="R4" s="3810" t="s">
        <v>1771</v>
      </c>
      <c r="S4" s="3811"/>
      <c r="T4" s="3810" t="s">
        <v>1772</v>
      </c>
      <c r="U4" s="3811"/>
      <c r="V4" s="3807" t="s">
        <v>1773</v>
      </c>
      <c r="W4" s="3807"/>
      <c r="X4" s="1355"/>
      <c r="Y4" s="3810" t="s">
        <v>1775</v>
      </c>
      <c r="Z4" s="3811"/>
      <c r="AA4" s="3804" t="s">
        <v>1771</v>
      </c>
      <c r="AB4" s="3805" t="s">
        <v>1772</v>
      </c>
      <c r="AC4" s="3804" t="s">
        <v>1773</v>
      </c>
    </row>
    <row r="5" spans="1:29" ht="15">
      <c r="A5" s="358"/>
      <c r="B5" s="359"/>
      <c r="C5" s="3877" t="s">
        <v>1673</v>
      </c>
      <c r="D5" s="3817"/>
      <c r="E5" s="3876" t="s">
        <v>1674</v>
      </c>
      <c r="F5" s="3815"/>
      <c r="G5" s="3877" t="s">
        <v>1675</v>
      </c>
      <c r="H5" s="3817"/>
      <c r="I5" s="3877" t="s">
        <v>1676</v>
      </c>
      <c r="J5" s="3817"/>
      <c r="K5" s="559"/>
      <c r="L5" s="913"/>
      <c r="M5" s="914"/>
      <c r="N5" s="914"/>
      <c r="O5" s="914"/>
      <c r="P5" s="3829"/>
      <c r="Q5" s="3830"/>
      <c r="R5" s="3812"/>
      <c r="S5" s="3813"/>
      <c r="T5" s="3812"/>
      <c r="U5" s="3813"/>
      <c r="V5" s="3807"/>
      <c r="W5" s="3807"/>
      <c r="X5" s="1355"/>
      <c r="Y5" s="3812"/>
      <c r="Z5" s="3813"/>
      <c r="AA5" s="3805"/>
      <c r="AB5" s="3805"/>
      <c r="AC5" s="3805"/>
    </row>
    <row r="6" spans="1:29" ht="15.75" thickBot="1">
      <c r="A6" s="360"/>
      <c r="B6" s="361"/>
      <c r="C6" s="3818" t="s">
        <v>1677</v>
      </c>
      <c r="D6" s="3819"/>
      <c r="E6" s="3820" t="s">
        <v>1677</v>
      </c>
      <c r="F6" s="3821"/>
      <c r="G6" s="3818" t="s">
        <v>1677</v>
      </c>
      <c r="H6" s="3819"/>
      <c r="I6" s="3818" t="s">
        <v>1677</v>
      </c>
      <c r="J6" s="3819"/>
      <c r="K6" s="559" t="s">
        <v>1678</v>
      </c>
      <c r="L6" s="913"/>
      <c r="M6" s="914"/>
      <c r="N6" s="914"/>
      <c r="O6" s="914"/>
      <c r="P6" s="3831"/>
      <c r="Q6" s="3832"/>
      <c r="R6" s="3812"/>
      <c r="S6" s="3813"/>
      <c r="T6" s="3833"/>
      <c r="U6" s="3834"/>
      <c r="V6" s="3807"/>
      <c r="W6" s="3807"/>
      <c r="X6" s="1355"/>
      <c r="Y6" s="3833"/>
      <c r="Z6" s="3834"/>
      <c r="AA6" s="3806"/>
      <c r="AB6" s="3806"/>
      <c r="AC6" s="3806"/>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5"/>
      <c r="M7" s="916"/>
      <c r="N7" s="916"/>
      <c r="O7" s="916"/>
      <c r="P7" s="3808" t="s">
        <v>1680</v>
      </c>
      <c r="Q7" s="3835"/>
      <c r="R7" s="701" t="s">
        <v>14</v>
      </c>
      <c r="S7" s="702">
        <f t="shared" ref="S7:S15" si="0">F7</f>
        <v>0</v>
      </c>
      <c r="T7" s="701" t="s">
        <v>14</v>
      </c>
      <c r="U7" s="702">
        <f t="shared" ref="U7:U15" si="1">H7</f>
        <v>0</v>
      </c>
      <c r="V7" s="701" t="s">
        <v>14</v>
      </c>
      <c r="W7" s="702">
        <f t="shared" ref="W7:W15" si="2">J7</f>
        <v>0</v>
      </c>
      <c r="X7" s="703"/>
      <c r="Y7" s="3808" t="s">
        <v>1680</v>
      </c>
      <c r="Z7" s="38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8" t="s">
        <v>1683</v>
      </c>
      <c r="Q8" s="3809"/>
      <c r="R8" s="701" t="s">
        <v>14</v>
      </c>
      <c r="S8" s="702">
        <f t="shared" si="0"/>
        <v>100</v>
      </c>
      <c r="T8" s="701" t="s">
        <v>14</v>
      </c>
      <c r="U8" s="702">
        <f t="shared" si="1"/>
        <v>100</v>
      </c>
      <c r="V8" s="701" t="s">
        <v>14</v>
      </c>
      <c r="W8" s="702">
        <f t="shared" si="2"/>
        <v>100</v>
      </c>
      <c r="X8" s="703"/>
      <c r="Y8" s="3808" t="s">
        <v>1683</v>
      </c>
      <c r="Z8" s="38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5"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45"/>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5"/>
      <c r="Q11" s="1343" t="str">
        <f t="shared" si="6"/>
        <v>容积率</v>
      </c>
      <c r="R11" s="701" t="s">
        <v>14</v>
      </c>
      <c r="S11" s="702">
        <f t="shared" si="0"/>
        <v>100</v>
      </c>
      <c r="T11" s="701" t="s">
        <v>14</v>
      </c>
      <c r="U11" s="702">
        <f t="shared" si="1"/>
        <v>100</v>
      </c>
      <c r="V11" s="701" t="s">
        <v>14</v>
      </c>
      <c r="W11" s="702">
        <f t="shared" si="2"/>
        <v>100</v>
      </c>
      <c r="X11" s="703"/>
      <c r="Y11" s="37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5"/>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5"/>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5"/>
      <c r="Q14" s="1343">
        <f t="shared" si="6"/>
        <v>111</v>
      </c>
      <c r="R14" s="701" t="s">
        <v>14</v>
      </c>
      <c r="S14" s="702">
        <f t="shared" si="0"/>
        <v>100</v>
      </c>
      <c r="T14" s="701" t="s">
        <v>14</v>
      </c>
      <c r="U14" s="702">
        <f t="shared" si="1"/>
        <v>100</v>
      </c>
      <c r="V14" s="701" t="s">
        <v>14</v>
      </c>
      <c r="W14" s="702">
        <f t="shared" si="2"/>
        <v>100</v>
      </c>
      <c r="X14" s="703"/>
      <c r="Y14" s="377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8" t="s">
        <v>1691</v>
      </c>
      <c r="Q15" s="1352" t="str">
        <f t="shared" si="6"/>
        <v>产业集聚程度</v>
      </c>
      <c r="R15" s="705" t="s">
        <v>14</v>
      </c>
      <c r="S15" s="706">
        <f t="shared" si="0"/>
        <v>100</v>
      </c>
      <c r="T15" s="705" t="s">
        <v>14</v>
      </c>
      <c r="U15" s="706">
        <f t="shared" si="1"/>
        <v>100</v>
      </c>
      <c r="V15" s="705" t="s">
        <v>14</v>
      </c>
      <c r="W15" s="706">
        <f t="shared" si="2"/>
        <v>100</v>
      </c>
      <c r="X15" s="1355"/>
      <c r="Y15" s="383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9"/>
      <c r="Q16" s="1352"/>
      <c r="R16" s="705"/>
      <c r="S16" s="706"/>
      <c r="T16" s="705"/>
      <c r="U16" s="706"/>
      <c r="V16" s="705"/>
      <c r="W16" s="706"/>
      <c r="X16" s="1355"/>
      <c r="Y16" s="383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9"/>
      <c r="Q17" s="1352" t="str">
        <f>B17</f>
        <v>交通便捷度</v>
      </c>
      <c r="R17" s="705" t="s">
        <v>14</v>
      </c>
      <c r="S17" s="706">
        <f>F17</f>
        <v>100</v>
      </c>
      <c r="T17" s="705" t="s">
        <v>14</v>
      </c>
      <c r="U17" s="706">
        <f>H17</f>
        <v>100</v>
      </c>
      <c r="V17" s="705" t="s">
        <v>14</v>
      </c>
      <c r="W17" s="706">
        <f>J17</f>
        <v>100</v>
      </c>
      <c r="X17" s="1355"/>
      <c r="Y17" s="38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9"/>
      <c r="Q18" s="1352"/>
      <c r="R18" s="705"/>
      <c r="S18" s="706"/>
      <c r="T18" s="705"/>
      <c r="U18" s="706"/>
      <c r="V18" s="705"/>
      <c r="W18" s="706"/>
      <c r="X18" s="1355"/>
      <c r="Y18" s="383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9"/>
      <c r="Q19" s="1352" t="str">
        <f>B19</f>
        <v>公共配套设施</v>
      </c>
      <c r="R19" s="705" t="s">
        <v>14</v>
      </c>
      <c r="S19" s="706">
        <f>F19</f>
        <v>100</v>
      </c>
      <c r="T19" s="705" t="s">
        <v>14</v>
      </c>
      <c r="U19" s="706">
        <f>H19</f>
        <v>100</v>
      </c>
      <c r="V19" s="705" t="s">
        <v>14</v>
      </c>
      <c r="W19" s="706">
        <f>J19</f>
        <v>100</v>
      </c>
      <c r="X19" s="1355"/>
      <c r="Y19" s="38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9"/>
      <c r="Q20" s="1352"/>
      <c r="R20" s="705"/>
      <c r="S20" s="706"/>
      <c r="T20" s="705"/>
      <c r="U20" s="706"/>
      <c r="V20" s="705"/>
      <c r="W20" s="706"/>
      <c r="X20" s="1355"/>
      <c r="Y20" s="383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9"/>
      <c r="Q21" s="1352" t="str">
        <f>B21</f>
        <v>基础设施水平</v>
      </c>
      <c r="R21" s="705" t="s">
        <v>14</v>
      </c>
      <c r="S21" s="706">
        <f>F21</f>
        <v>100</v>
      </c>
      <c r="T21" s="705" t="s">
        <v>14</v>
      </c>
      <c r="U21" s="706">
        <f>H21</f>
        <v>100</v>
      </c>
      <c r="V21" s="705" t="s">
        <v>14</v>
      </c>
      <c r="W21" s="706">
        <f>J21</f>
        <v>100</v>
      </c>
      <c r="X21" s="1355"/>
      <c r="Y21" s="38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9"/>
      <c r="Q22" s="1352"/>
      <c r="R22" s="705"/>
      <c r="S22" s="706"/>
      <c r="T22" s="705"/>
      <c r="U22" s="706"/>
      <c r="V22" s="705"/>
      <c r="W22" s="706"/>
      <c r="X22" s="1355"/>
      <c r="Y22" s="383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9"/>
      <c r="Q23" s="1352" t="str">
        <f>B23</f>
        <v>环境质量</v>
      </c>
      <c r="R23" s="705" t="s">
        <v>14</v>
      </c>
      <c r="S23" s="706">
        <f>F23</f>
        <v>100</v>
      </c>
      <c r="T23" s="705" t="s">
        <v>14</v>
      </c>
      <c r="U23" s="706">
        <f>H23</f>
        <v>100</v>
      </c>
      <c r="V23" s="705" t="s">
        <v>14</v>
      </c>
      <c r="W23" s="706">
        <f>J23</f>
        <v>100</v>
      </c>
      <c r="X23" s="1355"/>
      <c r="Y23" s="38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9"/>
      <c r="Q24" s="1352"/>
      <c r="R24" s="705"/>
      <c r="S24" s="706"/>
      <c r="T24" s="705"/>
      <c r="U24" s="706"/>
      <c r="V24" s="705"/>
      <c r="W24" s="706"/>
      <c r="X24" s="1355"/>
      <c r="Y24" s="38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9"/>
      <c r="Q25" s="1352">
        <f>B25</f>
        <v>111</v>
      </c>
      <c r="R25" s="705" t="s">
        <v>14</v>
      </c>
      <c r="S25" s="706">
        <f>F25</f>
        <v>100</v>
      </c>
      <c r="T25" s="705" t="s">
        <v>14</v>
      </c>
      <c r="U25" s="706">
        <f>H25</f>
        <v>100</v>
      </c>
      <c r="V25" s="705" t="s">
        <v>14</v>
      </c>
      <c r="W25" s="706">
        <f>J25</f>
        <v>100</v>
      </c>
      <c r="X25" s="1355"/>
      <c r="Y25" s="38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9"/>
      <c r="Q26" s="1352">
        <f t="shared" ref="Q26:Q40" si="11">B26</f>
        <v>111</v>
      </c>
      <c r="R26" s="705" t="s">
        <v>14</v>
      </c>
      <c r="S26" s="706">
        <f>F26</f>
        <v>100</v>
      </c>
      <c r="T26" s="705" t="s">
        <v>14</v>
      </c>
      <c r="U26" s="706">
        <f>H26</f>
        <v>100</v>
      </c>
      <c r="V26" s="705" t="s">
        <v>14</v>
      </c>
      <c r="W26" s="706">
        <f>J26</f>
        <v>100</v>
      </c>
      <c r="X26" s="1355"/>
      <c r="Y26" s="38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9"/>
      <c r="Q27" s="1343">
        <f t="shared" si="11"/>
        <v>111</v>
      </c>
      <c r="R27" s="701" t="s">
        <v>14</v>
      </c>
      <c r="S27" s="702">
        <f>F27</f>
        <v>100</v>
      </c>
      <c r="T27" s="701" t="s">
        <v>14</v>
      </c>
      <c r="U27" s="702">
        <f>H27</f>
        <v>100</v>
      </c>
      <c r="V27" s="701" t="s">
        <v>14</v>
      </c>
      <c r="W27" s="702">
        <f>J27</f>
        <v>100</v>
      </c>
      <c r="X27" s="703"/>
      <c r="Y27" s="383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9"/>
      <c r="Q28" s="1352">
        <f t="shared" si="11"/>
        <v>111</v>
      </c>
      <c r="R28" s="705" t="s">
        <v>14</v>
      </c>
      <c r="S28" s="706">
        <f t="shared" ref="S28:S40" si="12">F28</f>
        <v>100</v>
      </c>
      <c r="T28" s="705" t="s">
        <v>14</v>
      </c>
      <c r="U28" s="706">
        <f t="shared" ref="U28:U40" si="13">H28</f>
        <v>100</v>
      </c>
      <c r="V28" s="705" t="s">
        <v>14</v>
      </c>
      <c r="W28" s="706">
        <f t="shared" ref="W28:W40" si="14">J28</f>
        <v>100</v>
      </c>
      <c r="X28" s="1355"/>
      <c r="Y28" s="383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3" t="s">
        <v>1696</v>
      </c>
      <c r="Q29" s="1352" t="str">
        <f t="shared" si="11"/>
        <v>建筑类型</v>
      </c>
      <c r="R29" s="705" t="s">
        <v>14</v>
      </c>
      <c r="S29" s="706">
        <f t="shared" si="12"/>
        <v>100</v>
      </c>
      <c r="T29" s="705" t="s">
        <v>14</v>
      </c>
      <c r="U29" s="706">
        <f t="shared" si="13"/>
        <v>100</v>
      </c>
      <c r="V29" s="705" t="s">
        <v>14</v>
      </c>
      <c r="W29" s="706">
        <f t="shared" si="14"/>
        <v>100</v>
      </c>
      <c r="X29" s="1355"/>
      <c r="Y29" s="384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3"/>
      <c r="Q30" s="707" t="str">
        <f t="shared" si="11"/>
        <v>项目建筑规模</v>
      </c>
      <c r="R30" s="708" t="s">
        <v>14</v>
      </c>
      <c r="S30" s="709" t="e">
        <f t="shared" si="12"/>
        <v>#N/A</v>
      </c>
      <c r="T30" s="708" t="s">
        <v>14</v>
      </c>
      <c r="U30" s="709" t="e">
        <f t="shared" si="13"/>
        <v>#N/A</v>
      </c>
      <c r="V30" s="708" t="s">
        <v>14</v>
      </c>
      <c r="W30" s="709" t="e">
        <f t="shared" si="14"/>
        <v>#N/A</v>
      </c>
      <c r="X30" s="710"/>
      <c r="Y30" s="384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3"/>
      <c r="Q31" s="1352" t="str">
        <f t="shared" si="11"/>
        <v>建筑结构</v>
      </c>
      <c r="R31" s="705" t="s">
        <v>14</v>
      </c>
      <c r="S31" s="706">
        <f t="shared" si="12"/>
        <v>100</v>
      </c>
      <c r="T31" s="705" t="s">
        <v>14</v>
      </c>
      <c r="U31" s="706">
        <f t="shared" si="13"/>
        <v>100</v>
      </c>
      <c r="V31" s="705" t="s">
        <v>14</v>
      </c>
      <c r="W31" s="706">
        <f t="shared" si="14"/>
        <v>100</v>
      </c>
      <c r="X31" s="1355"/>
      <c r="Y31" s="384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3"/>
      <c r="Q32" s="1352" t="str">
        <f t="shared" si="11"/>
        <v>公共部分装修</v>
      </c>
      <c r="R32" s="705" t="s">
        <v>14</v>
      </c>
      <c r="S32" s="706">
        <f t="shared" si="12"/>
        <v>100</v>
      </c>
      <c r="T32" s="705" t="s">
        <v>14</v>
      </c>
      <c r="U32" s="706">
        <f t="shared" si="13"/>
        <v>100</v>
      </c>
      <c r="V32" s="705" t="s">
        <v>14</v>
      </c>
      <c r="W32" s="706">
        <f t="shared" si="14"/>
        <v>100</v>
      </c>
      <c r="X32" s="1355"/>
      <c r="Y32" s="384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3"/>
      <c r="Q33" s="1352" t="str">
        <f t="shared" si="11"/>
        <v>成新度</v>
      </c>
      <c r="R33" s="705" t="s">
        <v>14</v>
      </c>
      <c r="S33" s="706" t="e">
        <f t="shared" si="12"/>
        <v>#N/A</v>
      </c>
      <c r="T33" s="705" t="s">
        <v>14</v>
      </c>
      <c r="U33" s="706" t="e">
        <f t="shared" si="13"/>
        <v>#N/A</v>
      </c>
      <c r="V33" s="705" t="s">
        <v>14</v>
      </c>
      <c r="W33" s="706" t="e">
        <f t="shared" si="14"/>
        <v>#N/A</v>
      </c>
      <c r="X33" s="1355"/>
      <c r="Y33" s="384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3"/>
      <c r="Q34" s="1343" t="str">
        <f t="shared" si="11"/>
        <v>物业管理</v>
      </c>
      <c r="R34" s="701" t="s">
        <v>14</v>
      </c>
      <c r="S34" s="702">
        <f t="shared" si="12"/>
        <v>100</v>
      </c>
      <c r="T34" s="701" t="s">
        <v>14</v>
      </c>
      <c r="U34" s="702">
        <f t="shared" si="13"/>
        <v>100</v>
      </c>
      <c r="V34" s="701" t="s">
        <v>14</v>
      </c>
      <c r="W34" s="702">
        <f t="shared" si="14"/>
        <v>100</v>
      </c>
      <c r="X34" s="703"/>
      <c r="Y34" s="38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3" t="s">
        <v>1696</v>
      </c>
      <c r="Q35" s="1352" t="str">
        <f t="shared" si="11"/>
        <v>市政基础设施</v>
      </c>
      <c r="R35" s="705" t="s">
        <v>14</v>
      </c>
      <c r="S35" s="706">
        <f t="shared" si="12"/>
        <v>100</v>
      </c>
      <c r="T35" s="705" t="s">
        <v>14</v>
      </c>
      <c r="U35" s="706">
        <f t="shared" si="13"/>
        <v>100</v>
      </c>
      <c r="V35" s="705" t="s">
        <v>14</v>
      </c>
      <c r="W35" s="706">
        <f t="shared" si="14"/>
        <v>100</v>
      </c>
      <c r="X35" s="1355"/>
      <c r="Y35" s="384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3"/>
      <c r="Q36" s="1352" t="str">
        <f t="shared" si="11"/>
        <v>内部装修</v>
      </c>
      <c r="R36" s="705" t="s">
        <v>14</v>
      </c>
      <c r="S36" s="706">
        <f t="shared" si="12"/>
        <v>100</v>
      </c>
      <c r="T36" s="705" t="s">
        <v>14</v>
      </c>
      <c r="U36" s="706">
        <f t="shared" si="13"/>
        <v>100</v>
      </c>
      <c r="V36" s="705" t="s">
        <v>14</v>
      </c>
      <c r="W36" s="706">
        <f t="shared" si="14"/>
        <v>100</v>
      </c>
      <c r="X36" s="1355"/>
      <c r="Y36" s="384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3"/>
      <c r="Q37" s="1352" t="str">
        <f t="shared" si="11"/>
        <v>内部装修状况</v>
      </c>
      <c r="R37" s="705" t="s">
        <v>14</v>
      </c>
      <c r="S37" s="706">
        <f t="shared" si="12"/>
        <v>100</v>
      </c>
      <c r="T37" s="705" t="s">
        <v>14</v>
      </c>
      <c r="U37" s="706">
        <f t="shared" si="13"/>
        <v>100</v>
      </c>
      <c r="V37" s="705" t="s">
        <v>14</v>
      </c>
      <c r="W37" s="706">
        <f t="shared" si="14"/>
        <v>100</v>
      </c>
      <c r="X37" s="1355"/>
      <c r="Y37" s="38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3"/>
      <c r="Q38" s="707">
        <f t="shared" si="11"/>
        <v>111</v>
      </c>
      <c r="R38" s="708" t="s">
        <v>14</v>
      </c>
      <c r="S38" s="709">
        <f t="shared" si="12"/>
        <v>100</v>
      </c>
      <c r="T38" s="708" t="s">
        <v>14</v>
      </c>
      <c r="U38" s="709">
        <f t="shared" si="13"/>
        <v>100</v>
      </c>
      <c r="V38" s="708" t="s">
        <v>14</v>
      </c>
      <c r="W38" s="709">
        <f t="shared" si="14"/>
        <v>100</v>
      </c>
      <c r="X38" s="710"/>
      <c r="Y38" s="38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3"/>
      <c r="Q39" s="1352">
        <f t="shared" si="11"/>
        <v>111</v>
      </c>
      <c r="R39" s="705" t="s">
        <v>14</v>
      </c>
      <c r="S39" s="706">
        <f t="shared" si="12"/>
        <v>100</v>
      </c>
      <c r="T39" s="705" t="s">
        <v>14</v>
      </c>
      <c r="U39" s="706">
        <f t="shared" si="13"/>
        <v>100</v>
      </c>
      <c r="V39" s="705" t="s">
        <v>14</v>
      </c>
      <c r="W39" s="706">
        <f t="shared" si="14"/>
        <v>100</v>
      </c>
      <c r="X39" s="1355"/>
      <c r="Y39" s="384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4"/>
      <c r="Q40" s="1352">
        <f t="shared" si="11"/>
        <v>111</v>
      </c>
      <c r="R40" s="705" t="s">
        <v>14</v>
      </c>
      <c r="S40" s="706">
        <f t="shared" si="12"/>
        <v>100</v>
      </c>
      <c r="T40" s="705" t="s">
        <v>14</v>
      </c>
      <c r="U40" s="706">
        <f t="shared" si="13"/>
        <v>100</v>
      </c>
      <c r="V40" s="705" t="s">
        <v>14</v>
      </c>
      <c r="W40" s="706">
        <f t="shared" si="14"/>
        <v>100</v>
      </c>
      <c r="X40" s="1355"/>
      <c r="Y40" s="384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45" t="str">
        <f>A41</f>
        <v>成交单价（元/平方米）</v>
      </c>
      <c r="Q41" s="3845"/>
      <c r="R41" s="3846">
        <f>E41</f>
        <v>0</v>
      </c>
      <c r="S41" s="3846"/>
      <c r="T41" s="3846">
        <f>G41</f>
        <v>0</v>
      </c>
      <c r="U41" s="3846"/>
      <c r="V41" s="3846">
        <f>I41</f>
        <v>0</v>
      </c>
      <c r="W41" s="384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45" t="str">
        <f>A42</f>
        <v>比较价值（元/平方米）</v>
      </c>
      <c r="Q42" s="3845"/>
      <c r="R42" s="3846" t="e">
        <f>IF(F1="售价",ROUND(PRODUCT(R41,AA7:AA40),0),ROUND(PRODUCT(R41,AA7:AA40),1))</f>
        <v>#DIV/0!</v>
      </c>
      <c r="S42" s="3846"/>
      <c r="T42" s="3846" t="e">
        <f>IF(F1="售价",ROUND(PRODUCT(T41,AB7:AB40),0),ROUND(PRODUCT(T41,AB7:AB40),1))</f>
        <v>#DIV/0!</v>
      </c>
      <c r="U42" s="3846"/>
      <c r="V42" s="3846" t="e">
        <f>IF(F1="售价",ROUND(PRODUCT(V41,AC7:AC40),0),ROUND(PRODUCT(V41,AC7:AC40),1))</f>
        <v>#DIV/0!</v>
      </c>
      <c r="W42" s="38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7" t="str">
        <f>A43</f>
        <v>估价对象XX用房的比较价值（楼面单价，元/平方米）</v>
      </c>
      <c r="Q43" s="3848"/>
      <c r="R43" s="3849" t="e">
        <f>IF(F1="售价",ROUND(IF(D42="简单平均",AVERAGE(R42:V42),R42*F42+T42*H42+V42*J42),0),ROUND(IF(D42="简单平均",AVERAGE(R42:V42),R42*F42+T42*H42+V42*J42),1))</f>
        <v>#DIV/0!</v>
      </c>
      <c r="S43" s="3849"/>
      <c r="T43" s="3849"/>
      <c r="U43" s="3849"/>
      <c r="V43" s="3849"/>
      <c r="W43" s="3849"/>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11"/>
      <c r="M4" s="2712"/>
      <c r="N4" s="2712"/>
      <c r="O4" s="2712"/>
      <c r="P4" s="3827" t="s">
        <v>1775</v>
      </c>
      <c r="Q4" s="3828"/>
      <c r="R4" s="3810" t="s">
        <v>1771</v>
      </c>
      <c r="S4" s="3811"/>
      <c r="T4" s="3810" t="s">
        <v>1772</v>
      </c>
      <c r="U4" s="3811"/>
      <c r="V4" s="3807" t="s">
        <v>1773</v>
      </c>
      <c r="W4" s="3807"/>
      <c r="X4" s="1355"/>
      <c r="Y4" s="3810" t="s">
        <v>1775</v>
      </c>
      <c r="Z4" s="3811"/>
      <c r="AA4" s="3804" t="s">
        <v>1771</v>
      </c>
      <c r="AB4" s="3805" t="s">
        <v>1772</v>
      </c>
      <c r="AC4" s="3804" t="s">
        <v>1773</v>
      </c>
    </row>
    <row r="5" spans="1:29" ht="15">
      <c r="A5" s="358"/>
      <c r="B5" s="359"/>
      <c r="C5" s="3877" t="s">
        <v>1673</v>
      </c>
      <c r="D5" s="3817"/>
      <c r="E5" s="3876" t="s">
        <v>1674</v>
      </c>
      <c r="F5" s="3815"/>
      <c r="G5" s="3877" t="s">
        <v>1675</v>
      </c>
      <c r="H5" s="3817"/>
      <c r="I5" s="3877" t="s">
        <v>1676</v>
      </c>
      <c r="J5" s="3817"/>
      <c r="K5" s="559"/>
      <c r="L5" s="2711"/>
      <c r="M5" s="2712"/>
      <c r="N5" s="2712"/>
      <c r="O5" s="2712"/>
      <c r="P5" s="3829"/>
      <c r="Q5" s="3830"/>
      <c r="R5" s="3812"/>
      <c r="S5" s="3813"/>
      <c r="T5" s="3812"/>
      <c r="U5" s="3813"/>
      <c r="V5" s="3807"/>
      <c r="W5" s="3807"/>
      <c r="X5" s="1355"/>
      <c r="Y5" s="3812"/>
      <c r="Z5" s="3813"/>
      <c r="AA5" s="3805"/>
      <c r="AB5" s="3805"/>
      <c r="AC5" s="3805"/>
    </row>
    <row r="6" spans="1:29" ht="15.75" thickBot="1">
      <c r="A6" s="360"/>
      <c r="B6" s="361"/>
      <c r="C6" s="3818" t="s">
        <v>1677</v>
      </c>
      <c r="D6" s="3819"/>
      <c r="E6" s="3820" t="s">
        <v>1677</v>
      </c>
      <c r="F6" s="3821"/>
      <c r="G6" s="3818" t="s">
        <v>1677</v>
      </c>
      <c r="H6" s="3819"/>
      <c r="I6" s="3818" t="s">
        <v>1677</v>
      </c>
      <c r="J6" s="3819"/>
      <c r="K6" s="559" t="s">
        <v>1678</v>
      </c>
      <c r="L6" s="2711"/>
      <c r="M6" s="2712"/>
      <c r="N6" s="2712"/>
      <c r="O6" s="2712"/>
      <c r="P6" s="3831"/>
      <c r="Q6" s="3832"/>
      <c r="R6" s="3812"/>
      <c r="S6" s="3813"/>
      <c r="T6" s="3833"/>
      <c r="U6" s="3834"/>
      <c r="V6" s="3807"/>
      <c r="W6" s="3807"/>
      <c r="X6" s="1355"/>
      <c r="Y6" s="3833"/>
      <c r="Z6" s="3834"/>
      <c r="AA6" s="3806"/>
      <c r="AB6" s="3806"/>
      <c r="AC6" s="3806"/>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08" t="s">
        <v>1680</v>
      </c>
      <c r="Q7" s="3835"/>
      <c r="R7" s="701" t="s">
        <v>14</v>
      </c>
      <c r="S7" s="702">
        <f t="shared" ref="S7:S14" si="0">F7</f>
        <v>0</v>
      </c>
      <c r="T7" s="701" t="s">
        <v>14</v>
      </c>
      <c r="U7" s="702">
        <f t="shared" ref="U7:U14" si="1">H7</f>
        <v>0</v>
      </c>
      <c r="V7" s="701" t="s">
        <v>14</v>
      </c>
      <c r="W7" s="702">
        <f t="shared" ref="W7:W14" si="2">J7</f>
        <v>0</v>
      </c>
      <c r="X7" s="703"/>
      <c r="Y7" s="3808" t="s">
        <v>1680</v>
      </c>
      <c r="Z7" s="38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08" t="s">
        <v>1683</v>
      </c>
      <c r="Q8" s="3809"/>
      <c r="R8" s="701" t="s">
        <v>14</v>
      </c>
      <c r="S8" s="702">
        <f t="shared" si="0"/>
        <v>100</v>
      </c>
      <c r="T8" s="701" t="s">
        <v>14</v>
      </c>
      <c r="U8" s="702">
        <f t="shared" si="1"/>
        <v>100</v>
      </c>
      <c r="V8" s="701" t="s">
        <v>14</v>
      </c>
      <c r="W8" s="702">
        <f t="shared" si="2"/>
        <v>100</v>
      </c>
      <c r="X8" s="703"/>
      <c r="Y8" s="3808" t="s">
        <v>1683</v>
      </c>
      <c r="Z8" s="38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45" t="s">
        <v>1686</v>
      </c>
      <c r="Q9" s="1343" t="str">
        <f t="shared" ref="Q9:Q14" si="6">B9</f>
        <v>用途</v>
      </c>
      <c r="R9" s="701" t="s">
        <v>14</v>
      </c>
      <c r="S9" s="702">
        <f t="shared" si="0"/>
        <v>100</v>
      </c>
      <c r="T9" s="701" t="s">
        <v>14</v>
      </c>
      <c r="U9" s="702">
        <f t="shared" si="1"/>
        <v>100</v>
      </c>
      <c r="V9" s="701" t="s">
        <v>14</v>
      </c>
      <c r="W9" s="702">
        <f t="shared" si="2"/>
        <v>100</v>
      </c>
      <c r="X9" s="703"/>
      <c r="Y9" s="377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45"/>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45"/>
      <c r="Q11" s="1343">
        <f t="shared" si="6"/>
        <v>111</v>
      </c>
      <c r="R11" s="701" t="s">
        <v>14</v>
      </c>
      <c r="S11" s="702">
        <f t="shared" si="0"/>
        <v>100</v>
      </c>
      <c r="T11" s="701" t="s">
        <v>14</v>
      </c>
      <c r="U11" s="702">
        <f t="shared" si="1"/>
        <v>100</v>
      </c>
      <c r="V11" s="701" t="s">
        <v>14</v>
      </c>
      <c r="W11" s="702">
        <f t="shared" si="2"/>
        <v>100</v>
      </c>
      <c r="X11" s="703"/>
      <c r="Y11" s="37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45"/>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45"/>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38" t="s">
        <v>1691</v>
      </c>
      <c r="Q14" s="1352" t="str">
        <f t="shared" si="6"/>
        <v>交通便捷度</v>
      </c>
      <c r="R14" s="705" t="s">
        <v>14</v>
      </c>
      <c r="S14" s="706">
        <f t="shared" si="0"/>
        <v>100</v>
      </c>
      <c r="T14" s="705" t="s">
        <v>14</v>
      </c>
      <c r="U14" s="706">
        <f t="shared" si="1"/>
        <v>100</v>
      </c>
      <c r="V14" s="705" t="s">
        <v>14</v>
      </c>
      <c r="W14" s="706">
        <f t="shared" si="2"/>
        <v>100</v>
      </c>
      <c r="X14" s="1355"/>
      <c r="Y14" s="383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39"/>
      <c r="Q15" s="1352"/>
      <c r="R15" s="705"/>
      <c r="S15" s="706"/>
      <c r="T15" s="705"/>
      <c r="U15" s="706"/>
      <c r="V15" s="705"/>
      <c r="W15" s="706"/>
      <c r="X15" s="1355"/>
      <c r="Y15" s="3839"/>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39"/>
      <c r="Q16" s="1352" t="str">
        <f>B16</f>
        <v>公共配套设施</v>
      </c>
      <c r="R16" s="705" t="s">
        <v>14</v>
      </c>
      <c r="S16" s="706">
        <f>F16</f>
        <v>100</v>
      </c>
      <c r="T16" s="705" t="s">
        <v>14</v>
      </c>
      <c r="U16" s="706">
        <f>H16</f>
        <v>100</v>
      </c>
      <c r="V16" s="705" t="s">
        <v>14</v>
      </c>
      <c r="W16" s="706">
        <f>J16</f>
        <v>100</v>
      </c>
      <c r="X16" s="1355"/>
      <c r="Y16" s="38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39"/>
      <c r="Q17" s="1352"/>
      <c r="R17" s="705"/>
      <c r="S17" s="706"/>
      <c r="T17" s="705"/>
      <c r="U17" s="706"/>
      <c r="V17" s="705"/>
      <c r="W17" s="706"/>
      <c r="X17" s="1355"/>
      <c r="Y17" s="383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39"/>
      <c r="Q18" s="1352" t="str">
        <f>B18</f>
        <v>基础设施水平</v>
      </c>
      <c r="R18" s="705" t="s">
        <v>14</v>
      </c>
      <c r="S18" s="706">
        <f>F18</f>
        <v>100</v>
      </c>
      <c r="T18" s="705" t="s">
        <v>14</v>
      </c>
      <c r="U18" s="706">
        <f>H18</f>
        <v>100</v>
      </c>
      <c r="V18" s="705" t="s">
        <v>14</v>
      </c>
      <c r="W18" s="706">
        <f>J18</f>
        <v>100</v>
      </c>
      <c r="X18" s="1355"/>
      <c r="Y18" s="38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39"/>
      <c r="Q19" s="1352"/>
      <c r="R19" s="705"/>
      <c r="S19" s="706"/>
      <c r="T19" s="705"/>
      <c r="U19" s="706"/>
      <c r="V19" s="705"/>
      <c r="W19" s="706"/>
      <c r="X19" s="1355"/>
      <c r="Y19" s="3839"/>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39"/>
      <c r="Q20" s="1352" t="str">
        <f>B20</f>
        <v>自然及人文环境</v>
      </c>
      <c r="R20" s="705" t="s">
        <v>14</v>
      </c>
      <c r="S20" s="706">
        <f>F20</f>
        <v>100</v>
      </c>
      <c r="T20" s="705" t="s">
        <v>14</v>
      </c>
      <c r="U20" s="706">
        <f>H20</f>
        <v>100</v>
      </c>
      <c r="V20" s="705" t="s">
        <v>14</v>
      </c>
      <c r="W20" s="706">
        <f>J20</f>
        <v>100</v>
      </c>
      <c r="X20" s="1355"/>
      <c r="Y20" s="38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39"/>
      <c r="Q21" s="1352"/>
      <c r="R21" s="705"/>
      <c r="S21" s="706"/>
      <c r="T21" s="705"/>
      <c r="U21" s="706"/>
      <c r="V21" s="705"/>
      <c r="W21" s="706"/>
      <c r="X21" s="1355"/>
      <c r="Y21" s="383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39"/>
      <c r="Q22" s="1352" t="str">
        <f>B22</f>
        <v>楼层</v>
      </c>
      <c r="R22" s="705" t="s">
        <v>14</v>
      </c>
      <c r="S22" s="706">
        <f>F22</f>
        <v>100</v>
      </c>
      <c r="T22" s="705" t="s">
        <v>14</v>
      </c>
      <c r="U22" s="706">
        <f>H22</f>
        <v>100</v>
      </c>
      <c r="V22" s="705" t="s">
        <v>14</v>
      </c>
      <c r="W22" s="706">
        <f>J22</f>
        <v>100</v>
      </c>
      <c r="X22" s="1355"/>
      <c r="Y22" s="38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39"/>
      <c r="Q23" s="1352">
        <f>B23</f>
        <v>111</v>
      </c>
      <c r="R23" s="705" t="s">
        <v>14</v>
      </c>
      <c r="S23" s="706">
        <f>F23</f>
        <v>100</v>
      </c>
      <c r="T23" s="705" t="s">
        <v>14</v>
      </c>
      <c r="U23" s="706">
        <f>H23</f>
        <v>100</v>
      </c>
      <c r="V23" s="705" t="s">
        <v>14</v>
      </c>
      <c r="W23" s="706">
        <f>J23</f>
        <v>100</v>
      </c>
      <c r="X23" s="1355"/>
      <c r="Y23" s="38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39"/>
      <c r="Q24" s="1352">
        <f t="shared" ref="Q24:Q36" si="11">B24</f>
        <v>111</v>
      </c>
      <c r="R24" s="705" t="s">
        <v>14</v>
      </c>
      <c r="S24" s="706">
        <f>F24</f>
        <v>100</v>
      </c>
      <c r="T24" s="705" t="s">
        <v>14</v>
      </c>
      <c r="U24" s="706">
        <f>H24</f>
        <v>100</v>
      </c>
      <c r="V24" s="705" t="s">
        <v>14</v>
      </c>
      <c r="W24" s="706">
        <f>J24</f>
        <v>100</v>
      </c>
      <c r="X24" s="1355"/>
      <c r="Y24" s="383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39"/>
      <c r="Q25" s="1343">
        <f t="shared" si="11"/>
        <v>111</v>
      </c>
      <c r="R25" s="701" t="s">
        <v>14</v>
      </c>
      <c r="S25" s="702">
        <f>F25</f>
        <v>100</v>
      </c>
      <c r="T25" s="701" t="s">
        <v>14</v>
      </c>
      <c r="U25" s="702">
        <f>H25</f>
        <v>100</v>
      </c>
      <c r="V25" s="701" t="s">
        <v>14</v>
      </c>
      <c r="W25" s="702">
        <f>J25</f>
        <v>100</v>
      </c>
      <c r="X25" s="703"/>
      <c r="Y25" s="383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43"/>
      <c r="Q27" s="707" t="str">
        <f t="shared" si="11"/>
        <v>项目停车位配比</v>
      </c>
      <c r="R27" s="708" t="s">
        <v>14</v>
      </c>
      <c r="S27" s="709">
        <f t="shared" si="12"/>
        <v>100</v>
      </c>
      <c r="T27" s="708" t="s">
        <v>14</v>
      </c>
      <c r="U27" s="709">
        <f t="shared" si="13"/>
        <v>100</v>
      </c>
      <c r="V27" s="708" t="s">
        <v>14</v>
      </c>
      <c r="W27" s="709">
        <f t="shared" si="14"/>
        <v>100</v>
      </c>
      <c r="X27" s="710"/>
      <c r="Y27" s="384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43"/>
      <c r="Q28" s="1352" t="str">
        <f t="shared" si="11"/>
        <v>公共部分装修</v>
      </c>
      <c r="R28" s="705" t="s">
        <v>14</v>
      </c>
      <c r="S28" s="706">
        <f t="shared" si="12"/>
        <v>100</v>
      </c>
      <c r="T28" s="705" t="s">
        <v>14</v>
      </c>
      <c r="U28" s="706">
        <f t="shared" si="13"/>
        <v>100</v>
      </c>
      <c r="V28" s="705" t="s">
        <v>14</v>
      </c>
      <c r="W28" s="706">
        <f t="shared" si="14"/>
        <v>100</v>
      </c>
      <c r="X28" s="1355"/>
      <c r="Y28" s="384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43"/>
      <c r="Q29" s="1352" t="str">
        <f t="shared" si="11"/>
        <v>成新率</v>
      </c>
      <c r="R29" s="705" t="s">
        <v>14</v>
      </c>
      <c r="S29" s="706" t="e">
        <f t="shared" si="12"/>
        <v>#N/A</v>
      </c>
      <c r="T29" s="705" t="s">
        <v>14</v>
      </c>
      <c r="U29" s="706" t="e">
        <f t="shared" si="13"/>
        <v>#N/A</v>
      </c>
      <c r="V29" s="705" t="s">
        <v>14</v>
      </c>
      <c r="W29" s="706" t="e">
        <f t="shared" si="14"/>
        <v>#N/A</v>
      </c>
      <c r="X29" s="1355"/>
      <c r="Y29" s="384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43"/>
      <c r="Q30" s="1352" t="str">
        <f t="shared" si="11"/>
        <v>物业等级</v>
      </c>
      <c r="R30" s="705" t="s">
        <v>14</v>
      </c>
      <c r="S30" s="706">
        <f t="shared" si="12"/>
        <v>100</v>
      </c>
      <c r="T30" s="705" t="s">
        <v>14</v>
      </c>
      <c r="U30" s="706">
        <f t="shared" si="13"/>
        <v>100</v>
      </c>
      <c r="V30" s="705" t="s">
        <v>14</v>
      </c>
      <c r="W30" s="706">
        <f t="shared" si="14"/>
        <v>100</v>
      </c>
      <c r="X30" s="1355"/>
      <c r="Y30" s="384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43"/>
      <c r="Q31" s="1343" t="str">
        <f t="shared" si="11"/>
        <v>停车位面积</v>
      </c>
      <c r="R31" s="701" t="s">
        <v>14</v>
      </c>
      <c r="S31" s="702" t="e">
        <f t="shared" si="12"/>
        <v>#N/A</v>
      </c>
      <c r="T31" s="701" t="s">
        <v>14</v>
      </c>
      <c r="U31" s="702" t="e">
        <f t="shared" si="13"/>
        <v>#N/A</v>
      </c>
      <c r="V31" s="701" t="s">
        <v>14</v>
      </c>
      <c r="W31" s="702" t="e">
        <f t="shared" si="14"/>
        <v>#N/A</v>
      </c>
      <c r="X31" s="703"/>
      <c r="Y31" s="38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43" t="s">
        <v>1696</v>
      </c>
      <c r="Q32" s="1352" t="str">
        <f t="shared" si="11"/>
        <v>车位类型</v>
      </c>
      <c r="R32" s="705" t="s">
        <v>14</v>
      </c>
      <c r="S32" s="706">
        <f t="shared" si="12"/>
        <v>100</v>
      </c>
      <c r="T32" s="705" t="s">
        <v>14</v>
      </c>
      <c r="U32" s="706">
        <f t="shared" si="13"/>
        <v>100</v>
      </c>
      <c r="V32" s="705" t="s">
        <v>14</v>
      </c>
      <c r="W32" s="706">
        <f t="shared" si="14"/>
        <v>100</v>
      </c>
      <c r="X32" s="1355"/>
      <c r="Y32" s="384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43"/>
      <c r="Q33" s="1352" t="str">
        <f t="shared" si="11"/>
        <v>是否直接入户</v>
      </c>
      <c r="R33" s="705" t="s">
        <v>14</v>
      </c>
      <c r="S33" s="706">
        <f t="shared" si="12"/>
        <v>100</v>
      </c>
      <c r="T33" s="705" t="s">
        <v>14</v>
      </c>
      <c r="U33" s="706">
        <f t="shared" si="13"/>
        <v>100</v>
      </c>
      <c r="V33" s="705" t="s">
        <v>14</v>
      </c>
      <c r="W33" s="706">
        <f t="shared" si="14"/>
        <v>100</v>
      </c>
      <c r="X33" s="1355"/>
      <c r="Y33" s="38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43"/>
      <c r="Q34" s="1352">
        <f t="shared" si="11"/>
        <v>111</v>
      </c>
      <c r="R34" s="705" t="s">
        <v>14</v>
      </c>
      <c r="S34" s="706">
        <f t="shared" si="12"/>
        <v>100</v>
      </c>
      <c r="T34" s="705" t="s">
        <v>14</v>
      </c>
      <c r="U34" s="706">
        <f t="shared" si="13"/>
        <v>100</v>
      </c>
      <c r="V34" s="705" t="s">
        <v>14</v>
      </c>
      <c r="W34" s="706">
        <f t="shared" si="14"/>
        <v>100</v>
      </c>
      <c r="X34" s="1355"/>
      <c r="Y34" s="38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43"/>
      <c r="Q35" s="707">
        <f t="shared" si="11"/>
        <v>111</v>
      </c>
      <c r="R35" s="708" t="s">
        <v>14</v>
      </c>
      <c r="S35" s="709">
        <f t="shared" si="12"/>
        <v>100</v>
      </c>
      <c r="T35" s="708" t="s">
        <v>14</v>
      </c>
      <c r="U35" s="709">
        <f t="shared" si="13"/>
        <v>100</v>
      </c>
      <c r="V35" s="708" t="s">
        <v>14</v>
      </c>
      <c r="W35" s="709">
        <f t="shared" si="14"/>
        <v>100</v>
      </c>
      <c r="X35" s="710"/>
      <c r="Y35" s="38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43"/>
      <c r="Q36" s="1352">
        <f t="shared" si="11"/>
        <v>111</v>
      </c>
      <c r="R36" s="705" t="s">
        <v>14</v>
      </c>
      <c r="S36" s="706">
        <f t="shared" si="12"/>
        <v>100</v>
      </c>
      <c r="T36" s="705" t="s">
        <v>14</v>
      </c>
      <c r="U36" s="706">
        <f t="shared" si="13"/>
        <v>100</v>
      </c>
      <c r="V36" s="705" t="s">
        <v>14</v>
      </c>
      <c r="W36" s="706">
        <f t="shared" si="14"/>
        <v>100</v>
      </c>
      <c r="X36" s="1355"/>
      <c r="Y36" s="3843"/>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845" t="str">
        <f>A37</f>
        <v>成交单价</v>
      </c>
      <c r="Q37" s="3845"/>
      <c r="R37" s="3846">
        <f>E37</f>
        <v>0</v>
      </c>
      <c r="S37" s="3846"/>
      <c r="T37" s="3846">
        <f>G37</f>
        <v>0</v>
      </c>
      <c r="U37" s="3846"/>
      <c r="V37" s="3846">
        <f>I37</f>
        <v>0</v>
      </c>
      <c r="W37" s="384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845" t="str">
        <f>A38</f>
        <v>比较价值（元/平方米）</v>
      </c>
      <c r="Q38" s="3845"/>
      <c r="R38" s="3846" t="e">
        <f>IF(F1="售价",ROUND(PRODUCT(R37,AA7:AA36),0),ROUND(PRODUCT(R37,AA7:AA36),1))</f>
        <v>#DIV/0!</v>
      </c>
      <c r="S38" s="3846"/>
      <c r="T38" s="3846" t="e">
        <f>IF(F1="售价",ROUND(PRODUCT(T37,AB7:AB36),0),ROUND(PRODUCT(T37,AB7:AB36),1))</f>
        <v>#DIV/0!</v>
      </c>
      <c r="U38" s="3846"/>
      <c r="V38" s="3846" t="e">
        <f>IF(F1="售价",ROUND(PRODUCT(V37,AC7:AC36),0),ROUND(PRODUCT(V37,AC7:AC36),1))</f>
        <v>#DIV/0!</v>
      </c>
      <c r="W38" s="38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847" t="str">
        <f>A39</f>
        <v>估价对象XX用房的比较价值（楼面单价，元/平方米）</v>
      </c>
      <c r="Q39" s="3848"/>
      <c r="R39" s="3894" t="e">
        <f>IF(F1="售价",ROUND(IF(D38="简单平均",AVERAGE(R38:W38),R38*F38+T38*H38+V38*J38),0),ROUND(IF(D38="简单平均",AVERAGE(R38:V38),R38*F38+T38*H38+V38*J38),1))</f>
        <v>#DIV/0!</v>
      </c>
      <c r="S39" s="3894"/>
      <c r="T39" s="3894"/>
      <c r="U39" s="3894"/>
      <c r="V39" s="3894"/>
      <c r="W39" s="389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受贵公司委托，我公司对北京市大兴区兴业大街（三段）房地产市场价值进行了预评估。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估价对象为北京市大兴区兴业大街（三段）房地产，为北京隆泰嘉盛科贸有限公司所有。根据《国有土地使用证》[]，估价对象（分摊）出让国有建设用地使用权面积为0平方米，建筑面积为608.3平方米。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11"/>
      <c r="M4" s="2712"/>
      <c r="N4" s="2712"/>
      <c r="O4" s="2712"/>
      <c r="P4" s="3827" t="s">
        <v>1775</v>
      </c>
      <c r="Q4" s="3828"/>
      <c r="R4" s="3810" t="s">
        <v>1771</v>
      </c>
      <c r="S4" s="3811"/>
      <c r="T4" s="3810" t="s">
        <v>1772</v>
      </c>
      <c r="U4" s="3811"/>
      <c r="V4" s="3807" t="s">
        <v>1773</v>
      </c>
      <c r="W4" s="3807"/>
      <c r="X4" s="1355"/>
      <c r="Y4" s="3810" t="s">
        <v>1775</v>
      </c>
      <c r="Z4" s="3811"/>
      <c r="AA4" s="3804" t="s">
        <v>1771</v>
      </c>
      <c r="AB4" s="3805" t="s">
        <v>1772</v>
      </c>
      <c r="AC4" s="3804" t="s">
        <v>1773</v>
      </c>
    </row>
    <row r="5" spans="1:29" ht="15">
      <c r="A5" s="358"/>
      <c r="B5" s="359"/>
      <c r="C5" s="3877" t="s">
        <v>1673</v>
      </c>
      <c r="D5" s="3817"/>
      <c r="E5" s="3876" t="s">
        <v>1674</v>
      </c>
      <c r="F5" s="3815"/>
      <c r="G5" s="3877" t="s">
        <v>1675</v>
      </c>
      <c r="H5" s="3817"/>
      <c r="I5" s="3877" t="s">
        <v>1676</v>
      </c>
      <c r="J5" s="3817"/>
      <c r="K5" s="559"/>
      <c r="L5" s="2711"/>
      <c r="M5" s="2712"/>
      <c r="N5" s="2712"/>
      <c r="O5" s="2712"/>
      <c r="P5" s="3829"/>
      <c r="Q5" s="3830"/>
      <c r="R5" s="3812"/>
      <c r="S5" s="3813"/>
      <c r="T5" s="3812"/>
      <c r="U5" s="3813"/>
      <c r="V5" s="3807"/>
      <c r="W5" s="3807"/>
      <c r="X5" s="1355"/>
      <c r="Y5" s="3812"/>
      <c r="Z5" s="3813"/>
      <c r="AA5" s="3805"/>
      <c r="AB5" s="3805"/>
      <c r="AC5" s="3805"/>
    </row>
    <row r="6" spans="1:29" ht="15.75" thickBot="1">
      <c r="A6" s="360"/>
      <c r="B6" s="361"/>
      <c r="C6" s="3818" t="s">
        <v>1677</v>
      </c>
      <c r="D6" s="3819"/>
      <c r="E6" s="3820" t="s">
        <v>1677</v>
      </c>
      <c r="F6" s="3821"/>
      <c r="G6" s="3818" t="s">
        <v>1677</v>
      </c>
      <c r="H6" s="3819"/>
      <c r="I6" s="3818" t="s">
        <v>1677</v>
      </c>
      <c r="J6" s="3819"/>
      <c r="K6" s="559" t="s">
        <v>1678</v>
      </c>
      <c r="L6" s="2711"/>
      <c r="M6" s="2712"/>
      <c r="N6" s="2712"/>
      <c r="O6" s="2712"/>
      <c r="P6" s="3831"/>
      <c r="Q6" s="3832"/>
      <c r="R6" s="3812"/>
      <c r="S6" s="3813"/>
      <c r="T6" s="3833"/>
      <c r="U6" s="3834"/>
      <c r="V6" s="3807"/>
      <c r="W6" s="3807"/>
      <c r="X6" s="1355"/>
      <c r="Y6" s="3833"/>
      <c r="Z6" s="3834"/>
      <c r="AA6" s="3806"/>
      <c r="AB6" s="3806"/>
      <c r="AC6" s="3806"/>
    </row>
    <row r="7" spans="1:29" s="108" customFormat="1" ht="15.75" thickBot="1">
      <c r="A7" s="362" t="s">
        <v>1679</v>
      </c>
      <c r="B7" s="363"/>
      <c r="C7" s="364">
        <f>'数据-取费表'!B2</f>
        <v>45491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808" t="s">
        <v>1680</v>
      </c>
      <c r="Q7" s="3835"/>
      <c r="R7" s="701" t="s">
        <v>14</v>
      </c>
      <c r="S7" s="702">
        <f t="shared" ref="S7:S14" si="0">F7</f>
        <v>0</v>
      </c>
      <c r="T7" s="701" t="s">
        <v>14</v>
      </c>
      <c r="U7" s="702">
        <f t="shared" ref="U7:U14" si="1">H7</f>
        <v>0</v>
      </c>
      <c r="V7" s="701" t="s">
        <v>14</v>
      </c>
      <c r="W7" s="702">
        <f t="shared" ref="W7:W14" si="2">J7</f>
        <v>0</v>
      </c>
      <c r="X7" s="703"/>
      <c r="Y7" s="3808" t="s">
        <v>1680</v>
      </c>
      <c r="Z7" s="38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08" t="s">
        <v>1683</v>
      </c>
      <c r="Q8" s="3809"/>
      <c r="R8" s="701" t="s">
        <v>14</v>
      </c>
      <c r="S8" s="702">
        <f t="shared" si="0"/>
        <v>100</v>
      </c>
      <c r="T8" s="701" t="s">
        <v>14</v>
      </c>
      <c r="U8" s="702">
        <f t="shared" si="1"/>
        <v>100</v>
      </c>
      <c r="V8" s="701" t="s">
        <v>14</v>
      </c>
      <c r="W8" s="702">
        <f t="shared" si="2"/>
        <v>100</v>
      </c>
      <c r="X8" s="703"/>
      <c r="Y8" s="3808" t="s">
        <v>1683</v>
      </c>
      <c r="Z8" s="38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45" t="s">
        <v>1686</v>
      </c>
      <c r="Q9" s="1343" t="str">
        <f t="shared" ref="Q9:Q14" si="6">B9</f>
        <v>用途</v>
      </c>
      <c r="R9" s="701" t="s">
        <v>14</v>
      </c>
      <c r="S9" s="702">
        <f t="shared" si="0"/>
        <v>100</v>
      </c>
      <c r="T9" s="701" t="s">
        <v>14</v>
      </c>
      <c r="U9" s="702">
        <f t="shared" si="1"/>
        <v>100</v>
      </c>
      <c r="V9" s="701" t="s">
        <v>14</v>
      </c>
      <c r="W9" s="702">
        <f t="shared" si="2"/>
        <v>100</v>
      </c>
      <c r="X9" s="703"/>
      <c r="Y9" s="377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45"/>
      <c r="Q10" s="1343" t="str">
        <f t="shared" si="6"/>
        <v>土地使用年限（年）</v>
      </c>
      <c r="R10" s="701" t="s">
        <v>14</v>
      </c>
      <c r="S10" s="702">
        <f t="shared" si="0"/>
        <v>100</v>
      </c>
      <c r="T10" s="701" t="s">
        <v>14</v>
      </c>
      <c r="U10" s="702">
        <f t="shared" si="1"/>
        <v>100</v>
      </c>
      <c r="V10" s="701" t="s">
        <v>14</v>
      </c>
      <c r="W10" s="702">
        <f t="shared" si="2"/>
        <v>100</v>
      </c>
      <c r="X10" s="703"/>
      <c r="Y10" s="37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45"/>
      <c r="Q11" s="1343">
        <f t="shared" si="6"/>
        <v>111</v>
      </c>
      <c r="R11" s="701" t="s">
        <v>14</v>
      </c>
      <c r="S11" s="702">
        <f t="shared" si="0"/>
        <v>100</v>
      </c>
      <c r="T11" s="701" t="s">
        <v>14</v>
      </c>
      <c r="U11" s="702">
        <f t="shared" si="1"/>
        <v>100</v>
      </c>
      <c r="V11" s="701" t="s">
        <v>14</v>
      </c>
      <c r="W11" s="702">
        <f t="shared" si="2"/>
        <v>100</v>
      </c>
      <c r="X11" s="703"/>
      <c r="Y11" s="37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45"/>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845"/>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38" t="s">
        <v>1691</v>
      </c>
      <c r="Q14" s="1352" t="str">
        <f t="shared" si="6"/>
        <v>交通便捷度</v>
      </c>
      <c r="R14" s="705" t="s">
        <v>14</v>
      </c>
      <c r="S14" s="706">
        <f t="shared" si="0"/>
        <v>100</v>
      </c>
      <c r="T14" s="705" t="s">
        <v>14</v>
      </c>
      <c r="U14" s="706">
        <f t="shared" si="1"/>
        <v>100</v>
      </c>
      <c r="V14" s="705" t="s">
        <v>14</v>
      </c>
      <c r="W14" s="706">
        <f t="shared" si="2"/>
        <v>100</v>
      </c>
      <c r="X14" s="1355"/>
      <c r="Y14" s="383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39"/>
      <c r="Q15" s="1352"/>
      <c r="R15" s="705"/>
      <c r="S15" s="706"/>
      <c r="T15" s="705"/>
      <c r="U15" s="706"/>
      <c r="V15" s="705"/>
      <c r="W15" s="706"/>
      <c r="X15" s="1355"/>
      <c r="Y15" s="3839"/>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39"/>
      <c r="Q16" s="1352" t="str">
        <f>B16</f>
        <v>公共配套设施</v>
      </c>
      <c r="R16" s="705" t="s">
        <v>14</v>
      </c>
      <c r="S16" s="706">
        <f>F16</f>
        <v>100</v>
      </c>
      <c r="T16" s="705" t="s">
        <v>14</v>
      </c>
      <c r="U16" s="706">
        <f>H16</f>
        <v>100</v>
      </c>
      <c r="V16" s="705" t="s">
        <v>14</v>
      </c>
      <c r="W16" s="706">
        <f>J16</f>
        <v>100</v>
      </c>
      <c r="X16" s="1355"/>
      <c r="Y16" s="38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39"/>
      <c r="Q17" s="1352"/>
      <c r="R17" s="705"/>
      <c r="S17" s="706"/>
      <c r="T17" s="705"/>
      <c r="U17" s="706"/>
      <c r="V17" s="705"/>
      <c r="W17" s="706"/>
      <c r="X17" s="1355"/>
      <c r="Y17" s="383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39"/>
      <c r="Q18" s="1352" t="str">
        <f>B18</f>
        <v>基础设施水平</v>
      </c>
      <c r="R18" s="705" t="s">
        <v>14</v>
      </c>
      <c r="S18" s="706">
        <f>F18</f>
        <v>100</v>
      </c>
      <c r="T18" s="705" t="s">
        <v>14</v>
      </c>
      <c r="U18" s="706">
        <f>H18</f>
        <v>100</v>
      </c>
      <c r="V18" s="705" t="s">
        <v>14</v>
      </c>
      <c r="W18" s="706">
        <f>J18</f>
        <v>100</v>
      </c>
      <c r="X18" s="1355"/>
      <c r="Y18" s="38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39"/>
      <c r="Q19" s="1352"/>
      <c r="R19" s="705"/>
      <c r="S19" s="706"/>
      <c r="T19" s="705"/>
      <c r="U19" s="706"/>
      <c r="V19" s="705"/>
      <c r="W19" s="706"/>
      <c r="X19" s="1355"/>
      <c r="Y19" s="3839"/>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39"/>
      <c r="Q20" s="1352" t="str">
        <f>B20</f>
        <v>自然及人文环境</v>
      </c>
      <c r="R20" s="705" t="s">
        <v>14</v>
      </c>
      <c r="S20" s="706">
        <f>F20</f>
        <v>100</v>
      </c>
      <c r="T20" s="705" t="s">
        <v>14</v>
      </c>
      <c r="U20" s="706">
        <f>H20</f>
        <v>100</v>
      </c>
      <c r="V20" s="705" t="s">
        <v>14</v>
      </c>
      <c r="W20" s="706">
        <f>J20</f>
        <v>100</v>
      </c>
      <c r="X20" s="1355"/>
      <c r="Y20" s="38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39"/>
      <c r="Q21" s="1352"/>
      <c r="R21" s="705"/>
      <c r="S21" s="706"/>
      <c r="T21" s="705"/>
      <c r="U21" s="706"/>
      <c r="V21" s="705"/>
      <c r="W21" s="706"/>
      <c r="X21" s="1355"/>
      <c r="Y21" s="383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39"/>
      <c r="Q22" s="1352" t="str">
        <f>B22</f>
        <v>楼层</v>
      </c>
      <c r="R22" s="705" t="s">
        <v>14</v>
      </c>
      <c r="S22" s="706">
        <f>F22</f>
        <v>100</v>
      </c>
      <c r="T22" s="705" t="s">
        <v>14</v>
      </c>
      <c r="U22" s="706">
        <f>H22</f>
        <v>100</v>
      </c>
      <c r="V22" s="705" t="s">
        <v>14</v>
      </c>
      <c r="W22" s="706">
        <f>J22</f>
        <v>100</v>
      </c>
      <c r="X22" s="1355"/>
      <c r="Y22" s="38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39"/>
      <c r="Q23" s="1352">
        <f>B23</f>
        <v>111</v>
      </c>
      <c r="R23" s="705" t="s">
        <v>14</v>
      </c>
      <c r="S23" s="706">
        <f>F23</f>
        <v>100</v>
      </c>
      <c r="T23" s="705" t="s">
        <v>14</v>
      </c>
      <c r="U23" s="706">
        <f>H23</f>
        <v>100</v>
      </c>
      <c r="V23" s="705" t="s">
        <v>14</v>
      </c>
      <c r="W23" s="706">
        <f>J23</f>
        <v>100</v>
      </c>
      <c r="X23" s="1355"/>
      <c r="Y23" s="38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39"/>
      <c r="Q24" s="1352">
        <f t="shared" ref="Q24:Q34" si="11">B24</f>
        <v>111</v>
      </c>
      <c r="R24" s="705" t="s">
        <v>14</v>
      </c>
      <c r="S24" s="706">
        <f>F24</f>
        <v>100</v>
      </c>
      <c r="T24" s="705" t="s">
        <v>14</v>
      </c>
      <c r="U24" s="706">
        <f>H24</f>
        <v>100</v>
      </c>
      <c r="V24" s="705" t="s">
        <v>14</v>
      </c>
      <c r="W24" s="706">
        <f>J24</f>
        <v>100</v>
      </c>
      <c r="X24" s="1355"/>
      <c r="Y24" s="383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839"/>
      <c r="Q25" s="1343">
        <f t="shared" si="11"/>
        <v>111</v>
      </c>
      <c r="R25" s="701" t="s">
        <v>14</v>
      </c>
      <c r="S25" s="702">
        <f>F25</f>
        <v>100</v>
      </c>
      <c r="T25" s="701" t="s">
        <v>14</v>
      </c>
      <c r="U25" s="702">
        <f>H25</f>
        <v>100</v>
      </c>
      <c r="V25" s="701" t="s">
        <v>14</v>
      </c>
      <c r="W25" s="702">
        <f>J25</f>
        <v>100</v>
      </c>
      <c r="X25" s="703"/>
      <c r="Y25" s="383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8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43"/>
      <c r="Q27" s="707" t="str">
        <f t="shared" si="11"/>
        <v>成新率</v>
      </c>
      <c r="R27" s="708" t="s">
        <v>14</v>
      </c>
      <c r="S27" s="709" t="e">
        <f t="shared" si="12"/>
        <v>#N/A</v>
      </c>
      <c r="T27" s="708" t="s">
        <v>14</v>
      </c>
      <c r="U27" s="709" t="e">
        <f t="shared" si="13"/>
        <v>#N/A</v>
      </c>
      <c r="V27" s="708" t="s">
        <v>14</v>
      </c>
      <c r="W27" s="709" t="e">
        <f t="shared" si="14"/>
        <v>#N/A</v>
      </c>
      <c r="X27" s="710"/>
      <c r="Y27" s="384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43"/>
      <c r="Q28" s="1352" t="str">
        <f t="shared" si="11"/>
        <v>物业等级</v>
      </c>
      <c r="R28" s="705" t="s">
        <v>14</v>
      </c>
      <c r="S28" s="706">
        <f t="shared" si="12"/>
        <v>100</v>
      </c>
      <c r="T28" s="705" t="s">
        <v>14</v>
      </c>
      <c r="U28" s="706">
        <f t="shared" si="13"/>
        <v>100</v>
      </c>
      <c r="V28" s="705" t="s">
        <v>14</v>
      </c>
      <c r="W28" s="706">
        <f t="shared" si="14"/>
        <v>100</v>
      </c>
      <c r="X28" s="1355"/>
      <c r="Y28" s="384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43"/>
      <c r="Q29" s="1352" t="str">
        <f t="shared" si="11"/>
        <v>有无电梯</v>
      </c>
      <c r="R29" s="705" t="s">
        <v>14</v>
      </c>
      <c r="S29" s="706">
        <f t="shared" si="12"/>
        <v>100</v>
      </c>
      <c r="T29" s="705" t="s">
        <v>14</v>
      </c>
      <c r="U29" s="706">
        <f t="shared" si="13"/>
        <v>100</v>
      </c>
      <c r="V29" s="705" t="s">
        <v>14</v>
      </c>
      <c r="W29" s="706">
        <f t="shared" si="14"/>
        <v>100</v>
      </c>
      <c r="X29" s="1355"/>
      <c r="Y29" s="384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43"/>
      <c r="Q30" s="1352" t="str">
        <f t="shared" si="11"/>
        <v>建筑面积</v>
      </c>
      <c r="R30" s="705" t="s">
        <v>14</v>
      </c>
      <c r="S30" s="706" t="e">
        <f t="shared" si="12"/>
        <v>#N/A</v>
      </c>
      <c r="T30" s="705" t="s">
        <v>14</v>
      </c>
      <c r="U30" s="706" t="e">
        <f t="shared" si="13"/>
        <v>#N/A</v>
      </c>
      <c r="V30" s="705" t="s">
        <v>14</v>
      </c>
      <c r="W30" s="706" t="e">
        <f t="shared" si="14"/>
        <v>#N/A</v>
      </c>
      <c r="X30" s="1355"/>
      <c r="Y30" s="384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43"/>
      <c r="Q31" s="1343" t="str">
        <f t="shared" si="11"/>
        <v>是否封闭</v>
      </c>
      <c r="R31" s="701" t="s">
        <v>14</v>
      </c>
      <c r="S31" s="702">
        <f t="shared" si="12"/>
        <v>100</v>
      </c>
      <c r="T31" s="701" t="s">
        <v>14</v>
      </c>
      <c r="U31" s="702">
        <f t="shared" si="13"/>
        <v>100</v>
      </c>
      <c r="V31" s="701" t="s">
        <v>14</v>
      </c>
      <c r="W31" s="702">
        <f t="shared" si="14"/>
        <v>100</v>
      </c>
      <c r="X31" s="703"/>
      <c r="Y31" s="38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43" t="s">
        <v>1696</v>
      </c>
      <c r="Q32" s="1352">
        <f t="shared" si="11"/>
        <v>111</v>
      </c>
      <c r="R32" s="705" t="s">
        <v>14</v>
      </c>
      <c r="S32" s="706">
        <f t="shared" si="12"/>
        <v>100</v>
      </c>
      <c r="T32" s="705" t="s">
        <v>14</v>
      </c>
      <c r="U32" s="706">
        <f t="shared" si="13"/>
        <v>100</v>
      </c>
      <c r="V32" s="705" t="s">
        <v>14</v>
      </c>
      <c r="W32" s="706">
        <f t="shared" si="14"/>
        <v>100</v>
      </c>
      <c r="X32" s="1355"/>
      <c r="Y32" s="384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43"/>
      <c r="Q33" s="1352">
        <f t="shared" si="11"/>
        <v>111</v>
      </c>
      <c r="R33" s="705" t="s">
        <v>14</v>
      </c>
      <c r="S33" s="706">
        <f t="shared" si="12"/>
        <v>100</v>
      </c>
      <c r="T33" s="705" t="s">
        <v>14</v>
      </c>
      <c r="U33" s="706">
        <f t="shared" si="13"/>
        <v>100</v>
      </c>
      <c r="V33" s="705" t="s">
        <v>14</v>
      </c>
      <c r="W33" s="706">
        <f t="shared" si="14"/>
        <v>100</v>
      </c>
      <c r="X33" s="1355"/>
      <c r="Y33" s="38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843"/>
      <c r="Q34" s="1352">
        <f t="shared" si="11"/>
        <v>111</v>
      </c>
      <c r="R34" s="705" t="s">
        <v>14</v>
      </c>
      <c r="S34" s="706">
        <f t="shared" si="12"/>
        <v>100</v>
      </c>
      <c r="T34" s="705" t="s">
        <v>14</v>
      </c>
      <c r="U34" s="706">
        <f t="shared" si="13"/>
        <v>100</v>
      </c>
      <c r="V34" s="705" t="s">
        <v>14</v>
      </c>
      <c r="W34" s="706">
        <f t="shared" si="14"/>
        <v>100</v>
      </c>
      <c r="X34" s="1355"/>
      <c r="Y34" s="384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845" t="str">
        <f>A35</f>
        <v>成交单价（元/平方米）</v>
      </c>
      <c r="Q35" s="3845"/>
      <c r="R35" s="3846">
        <f>E35</f>
        <v>0</v>
      </c>
      <c r="S35" s="3846"/>
      <c r="T35" s="3846">
        <f>G35</f>
        <v>0</v>
      </c>
      <c r="U35" s="3846"/>
      <c r="V35" s="3846">
        <f>I35</f>
        <v>0</v>
      </c>
      <c r="W35" s="384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845" t="str">
        <f>A36</f>
        <v>比较价值（元/平方米）</v>
      </c>
      <c r="Q36" s="3845"/>
      <c r="R36" s="3846" t="e">
        <f>IF(F1="售价",ROUND(PRODUCT(R35,AA7:AA34),0),ROUND(PRODUCT(R35,AA7:AA34),1))</f>
        <v>#DIV/0!</v>
      </c>
      <c r="S36" s="3846"/>
      <c r="T36" s="3846" t="e">
        <f>IF(F1="售价",ROUND(PRODUCT(T35,AB7:AB34),0),ROUND(PRODUCT(T35,AB7:AB34),1))</f>
        <v>#DIV/0!</v>
      </c>
      <c r="U36" s="3846"/>
      <c r="V36" s="3846" t="e">
        <f>IF(F1="售价",ROUND(PRODUCT(V35,AC7:AC34),0),ROUND(PRODUCT(V35,AC7:AC34),1))</f>
        <v>#DIV/0!</v>
      </c>
      <c r="W36" s="38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847" t="str">
        <f>A37</f>
        <v>估价对象XX用房的比较价值（楼面单价，元/平方米）</v>
      </c>
      <c r="Q37" s="3848"/>
      <c r="R37" s="3894" t="e">
        <f>IF(F1="售价",ROUND(IF(D36="简单平均",AVERAGE(R36:W36),R36*F36+T36*H36+V36*J36),0),ROUND(IF(D36="简单平均",AVERAGE(R36:V36),R36*F36+T36*H36+V36*J36),1))</f>
        <v>#DIV/0!</v>
      </c>
      <c r="S37" s="3894"/>
      <c r="T37" s="3894"/>
      <c r="U37" s="3894"/>
      <c r="V37" s="3894"/>
      <c r="W37" s="389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823" t="s">
        <v>1770</v>
      </c>
      <c r="D4" s="3824"/>
      <c r="E4" s="3825" t="s">
        <v>1771</v>
      </c>
      <c r="F4" s="3826"/>
      <c r="G4" s="3823" t="s">
        <v>1772</v>
      </c>
      <c r="H4" s="3824"/>
      <c r="I4" s="3823" t="s">
        <v>1773</v>
      </c>
      <c r="J4" s="3824"/>
      <c r="K4" s="559" t="s">
        <v>1774</v>
      </c>
      <c r="L4" s="2711"/>
      <c r="M4" s="2712"/>
      <c r="N4" s="2712"/>
      <c r="O4" s="2712"/>
      <c r="P4" s="3827" t="s">
        <v>1775</v>
      </c>
      <c r="Q4" s="3828"/>
      <c r="R4" s="3810" t="s">
        <v>1771</v>
      </c>
      <c r="S4" s="3811"/>
      <c r="T4" s="3810" t="s">
        <v>1772</v>
      </c>
      <c r="U4" s="3811"/>
      <c r="V4" s="3807" t="s">
        <v>1773</v>
      </c>
      <c r="W4" s="3807"/>
      <c r="X4" s="1355"/>
      <c r="Y4" s="3810" t="s">
        <v>1775</v>
      </c>
      <c r="Z4" s="3811"/>
      <c r="AA4" s="3804" t="s">
        <v>1771</v>
      </c>
      <c r="AB4" s="3805" t="s">
        <v>1772</v>
      </c>
      <c r="AC4" s="3804" t="s">
        <v>1773</v>
      </c>
    </row>
    <row r="5" spans="1:30" ht="15">
      <c r="A5" s="358"/>
      <c r="B5" s="359"/>
      <c r="C5" s="3877" t="s">
        <v>1673</v>
      </c>
      <c r="D5" s="3817"/>
      <c r="E5" s="3876" t="s">
        <v>1674</v>
      </c>
      <c r="F5" s="3815"/>
      <c r="G5" s="3877" t="s">
        <v>1675</v>
      </c>
      <c r="H5" s="3817"/>
      <c r="I5" s="3877" t="s">
        <v>1676</v>
      </c>
      <c r="J5" s="3817"/>
      <c r="K5" s="559"/>
      <c r="L5" s="2711"/>
      <c r="M5" s="2712"/>
      <c r="N5" s="2712"/>
      <c r="O5" s="2712"/>
      <c r="P5" s="3829"/>
      <c r="Q5" s="3830"/>
      <c r="R5" s="3812"/>
      <c r="S5" s="3813"/>
      <c r="T5" s="3812"/>
      <c r="U5" s="3813"/>
      <c r="V5" s="3807"/>
      <c r="W5" s="3807"/>
      <c r="X5" s="1355"/>
      <c r="Y5" s="3812"/>
      <c r="Z5" s="3813"/>
      <c r="AA5" s="3805"/>
      <c r="AB5" s="3805"/>
      <c r="AC5" s="3805"/>
    </row>
    <row r="6" spans="1:30" ht="15.75" thickBot="1">
      <c r="A6" s="360"/>
      <c r="B6" s="361"/>
      <c r="C6" s="3818" t="s">
        <v>1677</v>
      </c>
      <c r="D6" s="3819"/>
      <c r="E6" s="3820" t="s">
        <v>1677</v>
      </c>
      <c r="F6" s="3821"/>
      <c r="G6" s="3818" t="s">
        <v>1677</v>
      </c>
      <c r="H6" s="3819"/>
      <c r="I6" s="3818" t="s">
        <v>1677</v>
      </c>
      <c r="J6" s="3819"/>
      <c r="K6" s="559" t="s">
        <v>1678</v>
      </c>
      <c r="L6" s="2711"/>
      <c r="M6" s="2712"/>
      <c r="N6" s="2712"/>
      <c r="O6" s="2712"/>
      <c r="P6" s="3831"/>
      <c r="Q6" s="3832"/>
      <c r="R6" s="3812"/>
      <c r="S6" s="3813"/>
      <c r="T6" s="3833"/>
      <c r="U6" s="3834"/>
      <c r="V6" s="3807"/>
      <c r="W6" s="3807"/>
      <c r="X6" s="1355"/>
      <c r="Y6" s="3833"/>
      <c r="Z6" s="3834"/>
      <c r="AA6" s="3806"/>
      <c r="AB6" s="3806"/>
      <c r="AC6" s="3806"/>
    </row>
    <row r="7" spans="1:30" s="108" customFormat="1" ht="15.75" thickBot="1">
      <c r="A7" s="362" t="s">
        <v>1679</v>
      </c>
      <c r="B7" s="363"/>
      <c r="C7" s="364">
        <f>'数据-取费表'!B2</f>
        <v>45491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808" t="s">
        <v>1680</v>
      </c>
      <c r="Q7" s="3835"/>
      <c r="R7" s="701" t="s">
        <v>14</v>
      </c>
      <c r="S7" s="702">
        <f t="shared" ref="S7:S15" si="0">F7</f>
        <v>0</v>
      </c>
      <c r="T7" s="701" t="s">
        <v>14</v>
      </c>
      <c r="U7" s="702">
        <f t="shared" ref="U7:U15" si="1">H7</f>
        <v>0</v>
      </c>
      <c r="V7" s="701" t="s">
        <v>14</v>
      </c>
      <c r="W7" s="702">
        <f t="shared" ref="W7:W15" si="2">J7</f>
        <v>0</v>
      </c>
      <c r="X7" s="703"/>
      <c r="Y7" s="3808" t="s">
        <v>1680</v>
      </c>
      <c r="Z7" s="38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08" t="s">
        <v>1683</v>
      </c>
      <c r="Q8" s="3809"/>
      <c r="R8" s="701" t="s">
        <v>14</v>
      </c>
      <c r="S8" s="702">
        <f t="shared" si="0"/>
        <v>0</v>
      </c>
      <c r="T8" s="701" t="s">
        <v>14</v>
      </c>
      <c r="U8" s="702">
        <f t="shared" si="1"/>
        <v>0</v>
      </c>
      <c r="V8" s="701" t="s">
        <v>14</v>
      </c>
      <c r="W8" s="702">
        <f t="shared" si="2"/>
        <v>0</v>
      </c>
      <c r="X8" s="703"/>
      <c r="Y8" s="3808" t="s">
        <v>1683</v>
      </c>
      <c r="Z8" s="38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845"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45"/>
      <c r="Q10" s="1343" t="str">
        <f t="shared" si="6"/>
        <v>土地使用年限（年）</v>
      </c>
      <c r="R10" s="701" t="s">
        <v>14</v>
      </c>
      <c r="S10" s="702" t="e">
        <f t="shared" si="0"/>
        <v>#DIV/0!</v>
      </c>
      <c r="T10" s="701" t="s">
        <v>14</v>
      </c>
      <c r="U10" s="702" t="e">
        <f t="shared" si="1"/>
        <v>#DIV/0!</v>
      </c>
      <c r="V10" s="701" t="s">
        <v>14</v>
      </c>
      <c r="W10" s="702" t="e">
        <f t="shared" si="2"/>
        <v>#DIV/0!</v>
      </c>
      <c r="X10" s="703"/>
      <c r="Y10" s="377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45"/>
      <c r="Q11" s="1343" t="str">
        <f t="shared" si="6"/>
        <v>容积率</v>
      </c>
      <c r="R11" s="701" t="s">
        <v>14</v>
      </c>
      <c r="S11" s="702" t="e">
        <f t="shared" si="0"/>
        <v>#N/A</v>
      </c>
      <c r="T11" s="701" t="s">
        <v>14</v>
      </c>
      <c r="U11" s="702" t="e">
        <f t="shared" si="1"/>
        <v>#N/A</v>
      </c>
      <c r="V11" s="701" t="s">
        <v>14</v>
      </c>
      <c r="W11" s="702" t="e">
        <f t="shared" si="2"/>
        <v>#N/A</v>
      </c>
      <c r="X11" s="703"/>
      <c r="Y11" s="377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45"/>
      <c r="Q12" s="1343" t="str">
        <f t="shared" si="6"/>
        <v>配建</v>
      </c>
      <c r="R12" s="701" t="s">
        <v>14</v>
      </c>
      <c r="S12" s="702">
        <f t="shared" si="0"/>
        <v>100</v>
      </c>
      <c r="T12" s="701" t="s">
        <v>14</v>
      </c>
      <c r="U12" s="702">
        <f t="shared" si="1"/>
        <v>100</v>
      </c>
      <c r="V12" s="701" t="s">
        <v>14</v>
      </c>
      <c r="W12" s="702">
        <f t="shared" si="2"/>
        <v>100</v>
      </c>
      <c r="X12" s="703"/>
      <c r="Y12" s="37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45"/>
      <c r="Q13" s="1343">
        <f t="shared" si="6"/>
        <v>111</v>
      </c>
      <c r="R13" s="701" t="s">
        <v>14</v>
      </c>
      <c r="S13" s="702">
        <f t="shared" si="0"/>
        <v>100</v>
      </c>
      <c r="T13" s="701" t="s">
        <v>14</v>
      </c>
      <c r="U13" s="702">
        <f t="shared" si="1"/>
        <v>100</v>
      </c>
      <c r="V13" s="701" t="s">
        <v>14</v>
      </c>
      <c r="W13" s="702">
        <f t="shared" si="2"/>
        <v>100</v>
      </c>
      <c r="X13" s="703"/>
      <c r="Y13" s="37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45"/>
      <c r="Q14" s="1343">
        <f t="shared" si="6"/>
        <v>111</v>
      </c>
      <c r="R14" s="701" t="s">
        <v>14</v>
      </c>
      <c r="S14" s="702">
        <f t="shared" si="0"/>
        <v>100</v>
      </c>
      <c r="T14" s="701" t="s">
        <v>14</v>
      </c>
      <c r="U14" s="702">
        <f t="shared" si="1"/>
        <v>100</v>
      </c>
      <c r="V14" s="701" t="s">
        <v>14</v>
      </c>
      <c r="W14" s="702">
        <f t="shared" si="2"/>
        <v>100</v>
      </c>
      <c r="X14" s="703"/>
      <c r="Y14" s="3777"/>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38" t="s">
        <v>1691</v>
      </c>
      <c r="Q15" s="1352" t="str">
        <f t="shared" si="6"/>
        <v>居住社区成熟度</v>
      </c>
      <c r="R15" s="705" t="s">
        <v>14</v>
      </c>
      <c r="S15" s="706">
        <f t="shared" si="0"/>
        <v>100</v>
      </c>
      <c r="T15" s="705" t="s">
        <v>14</v>
      </c>
      <c r="U15" s="706">
        <f t="shared" si="1"/>
        <v>100</v>
      </c>
      <c r="V15" s="705" t="s">
        <v>14</v>
      </c>
      <c r="W15" s="706">
        <f t="shared" si="2"/>
        <v>100</v>
      </c>
      <c r="X15" s="1355"/>
      <c r="Y15" s="383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39"/>
      <c r="Q16" s="1352"/>
      <c r="R16" s="705"/>
      <c r="S16" s="706"/>
      <c r="T16" s="705"/>
      <c r="U16" s="706"/>
      <c r="V16" s="705"/>
      <c r="W16" s="706"/>
      <c r="X16" s="1355"/>
      <c r="Y16" s="3839"/>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39"/>
      <c r="Q17" s="1352" t="str">
        <f>B17</f>
        <v>商业繁华度</v>
      </c>
      <c r="R17" s="705" t="s">
        <v>14</v>
      </c>
      <c r="S17" s="706">
        <f>F17</f>
        <v>100</v>
      </c>
      <c r="T17" s="705" t="s">
        <v>14</v>
      </c>
      <c r="U17" s="706">
        <f>H17</f>
        <v>100</v>
      </c>
      <c r="V17" s="705" t="s">
        <v>14</v>
      </c>
      <c r="W17" s="706">
        <f>J17</f>
        <v>100</v>
      </c>
      <c r="X17" s="1355"/>
      <c r="Y17" s="38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39"/>
      <c r="Q18" s="1352"/>
      <c r="R18" s="705"/>
      <c r="S18" s="706"/>
      <c r="T18" s="705"/>
      <c r="U18" s="706"/>
      <c r="V18" s="705"/>
      <c r="W18" s="706"/>
      <c r="X18" s="1355"/>
      <c r="Y18" s="383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39"/>
      <c r="Q19" s="1352" t="str">
        <f>B19</f>
        <v>办公集聚程度</v>
      </c>
      <c r="R19" s="705" t="s">
        <v>14</v>
      </c>
      <c r="S19" s="706">
        <f>F19</f>
        <v>100</v>
      </c>
      <c r="T19" s="705" t="s">
        <v>14</v>
      </c>
      <c r="U19" s="706">
        <f>H19</f>
        <v>100</v>
      </c>
      <c r="V19" s="705" t="s">
        <v>14</v>
      </c>
      <c r="W19" s="706">
        <f>J19</f>
        <v>100</v>
      </c>
      <c r="X19" s="1355"/>
      <c r="Y19" s="38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39"/>
      <c r="Q20" s="1352"/>
      <c r="R20" s="705"/>
      <c r="S20" s="706"/>
      <c r="T20" s="705"/>
      <c r="U20" s="706"/>
      <c r="V20" s="705"/>
      <c r="W20" s="706"/>
      <c r="X20" s="1355"/>
      <c r="Y20" s="3839"/>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39"/>
      <c r="Q21" s="1352" t="str">
        <f>B21</f>
        <v>交通便捷度</v>
      </c>
      <c r="R21" s="705" t="s">
        <v>14</v>
      </c>
      <c r="S21" s="706">
        <f>F21</f>
        <v>100</v>
      </c>
      <c r="T21" s="705" t="s">
        <v>14</v>
      </c>
      <c r="U21" s="706">
        <f>H21</f>
        <v>100</v>
      </c>
      <c r="V21" s="705" t="s">
        <v>14</v>
      </c>
      <c r="W21" s="706">
        <f>J21</f>
        <v>100</v>
      </c>
      <c r="X21" s="1355"/>
      <c r="Y21" s="38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39"/>
      <c r="Q22" s="1352"/>
      <c r="R22" s="705"/>
      <c r="S22" s="706"/>
      <c r="T22" s="705"/>
      <c r="U22" s="706"/>
      <c r="V22" s="705"/>
      <c r="W22" s="706"/>
      <c r="X22" s="1355"/>
      <c r="Y22" s="383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39"/>
      <c r="Q23" s="1352" t="str">
        <f t="shared" ref="Q23:Q37" si="8">B23</f>
        <v>区域土地利用方向</v>
      </c>
      <c r="R23" s="705" t="s">
        <v>14</v>
      </c>
      <c r="S23" s="706">
        <f>F23</f>
        <v>100</v>
      </c>
      <c r="T23" s="705" t="s">
        <v>14</v>
      </c>
      <c r="U23" s="706">
        <f>H23</f>
        <v>100</v>
      </c>
      <c r="V23" s="705" t="s">
        <v>14</v>
      </c>
      <c r="W23" s="706">
        <f>J23</f>
        <v>100</v>
      </c>
      <c r="X23" s="1355"/>
      <c r="Y23" s="38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39"/>
      <c r="Q24" s="1352"/>
      <c r="R24" s="705"/>
      <c r="S24" s="706"/>
      <c r="T24" s="705"/>
      <c r="U24" s="706"/>
      <c r="V24" s="705"/>
      <c r="W24" s="706"/>
      <c r="X24" s="1355"/>
      <c r="Y24" s="3839"/>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39"/>
      <c r="Q25" s="1352" t="str">
        <f t="shared" si="8"/>
        <v>自然及人文环境状况</v>
      </c>
      <c r="R25" s="705" t="s">
        <v>14</v>
      </c>
      <c r="S25" s="706">
        <f>F25</f>
        <v>100</v>
      </c>
      <c r="T25" s="705" t="s">
        <v>14</v>
      </c>
      <c r="U25" s="706">
        <f>H25</f>
        <v>100</v>
      </c>
      <c r="V25" s="705" t="s">
        <v>14</v>
      </c>
      <c r="W25" s="706">
        <f>J25</f>
        <v>100</v>
      </c>
      <c r="X25" s="1355"/>
      <c r="Y25" s="38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39"/>
      <c r="Q26" s="1352"/>
      <c r="R26" s="705"/>
      <c r="S26" s="706"/>
      <c r="T26" s="705"/>
      <c r="U26" s="706"/>
      <c r="V26" s="705"/>
      <c r="W26" s="706"/>
      <c r="X26" s="1355"/>
      <c r="Y26" s="3839"/>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39"/>
      <c r="Q27" s="1343" t="str">
        <f t="shared" si="8"/>
        <v>公共配套设施</v>
      </c>
      <c r="R27" s="701" t="s">
        <v>14</v>
      </c>
      <c r="S27" s="702">
        <f>F27</f>
        <v>100</v>
      </c>
      <c r="T27" s="701" t="s">
        <v>14</v>
      </c>
      <c r="U27" s="702">
        <f>H27</f>
        <v>100</v>
      </c>
      <c r="V27" s="701" t="s">
        <v>14</v>
      </c>
      <c r="W27" s="702">
        <f>J27</f>
        <v>100</v>
      </c>
      <c r="X27" s="703"/>
      <c r="Y27" s="38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839"/>
      <c r="Q28" s="1343"/>
      <c r="R28" s="701"/>
      <c r="S28" s="702"/>
      <c r="T28" s="701"/>
      <c r="U28" s="702"/>
      <c r="V28" s="701"/>
      <c r="W28" s="702"/>
      <c r="X28" s="703"/>
      <c r="Y28" s="383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39"/>
      <c r="Q29" s="1343" t="str">
        <f t="shared" ref="Q29" si="9">B29</f>
        <v>基础设施水平</v>
      </c>
      <c r="R29" s="701" t="s">
        <v>14</v>
      </c>
      <c r="S29" s="702">
        <f>F29</f>
        <v>100</v>
      </c>
      <c r="T29" s="701" t="s">
        <v>14</v>
      </c>
      <c r="U29" s="702">
        <f>H29</f>
        <v>100</v>
      </c>
      <c r="V29" s="701" t="s">
        <v>14</v>
      </c>
      <c r="W29" s="702">
        <f>J29</f>
        <v>100</v>
      </c>
      <c r="X29" s="703"/>
      <c r="Y29" s="38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839"/>
      <c r="Q30" s="1343"/>
      <c r="R30" s="701"/>
      <c r="S30" s="702"/>
      <c r="T30" s="701"/>
      <c r="U30" s="702"/>
      <c r="V30" s="701"/>
      <c r="W30" s="702"/>
      <c r="X30" s="703"/>
      <c r="Y30" s="383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39"/>
      <c r="Q32" s="1352" t="str">
        <f t="shared" si="8"/>
        <v>毗邻道路的类型与等级</v>
      </c>
      <c r="R32" s="705" t="s">
        <v>14</v>
      </c>
      <c r="S32" s="706">
        <f t="shared" si="10"/>
        <v>100</v>
      </c>
      <c r="T32" s="705" t="s">
        <v>14</v>
      </c>
      <c r="U32" s="706">
        <f t="shared" si="11"/>
        <v>100</v>
      </c>
      <c r="V32" s="705" t="s">
        <v>14</v>
      </c>
      <c r="W32" s="706">
        <f t="shared" si="12"/>
        <v>100</v>
      </c>
      <c r="X32" s="1355"/>
      <c r="Y32" s="38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39"/>
      <c r="Q33" s="1352"/>
      <c r="R33" s="705"/>
      <c r="S33" s="706"/>
      <c r="T33" s="705"/>
      <c r="U33" s="706"/>
      <c r="V33" s="705"/>
      <c r="W33" s="706"/>
      <c r="X33" s="1355"/>
      <c r="Y33" s="383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39"/>
      <c r="Q34" s="1352" t="str">
        <f t="shared" si="8"/>
        <v>土地级别</v>
      </c>
      <c r="R34" s="705" t="s">
        <v>14</v>
      </c>
      <c r="S34" s="706">
        <f t="shared" si="10"/>
        <v>100</v>
      </c>
      <c r="T34" s="705" t="s">
        <v>14</v>
      </c>
      <c r="U34" s="706">
        <f t="shared" si="11"/>
        <v>100</v>
      </c>
      <c r="V34" s="705" t="s">
        <v>14</v>
      </c>
      <c r="W34" s="706">
        <f t="shared" si="12"/>
        <v>100</v>
      </c>
      <c r="X34" s="1355"/>
      <c r="Y34" s="38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39"/>
      <c r="Q35" s="1352">
        <f t="shared" si="8"/>
        <v>111</v>
      </c>
      <c r="R35" s="705" t="s">
        <v>14</v>
      </c>
      <c r="S35" s="706">
        <f t="shared" si="10"/>
        <v>100</v>
      </c>
      <c r="T35" s="705" t="s">
        <v>14</v>
      </c>
      <c r="U35" s="706">
        <f t="shared" si="11"/>
        <v>100</v>
      </c>
      <c r="V35" s="705" t="s">
        <v>14</v>
      </c>
      <c r="W35" s="706">
        <f t="shared" si="12"/>
        <v>100</v>
      </c>
      <c r="X35" s="1355"/>
      <c r="Y35" s="38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93" t="s">
        <v>1696</v>
      </c>
      <c r="Q36" s="1352">
        <f t="shared" si="8"/>
        <v>111</v>
      </c>
      <c r="R36" s="705" t="s">
        <v>14</v>
      </c>
      <c r="S36" s="706">
        <f t="shared" si="10"/>
        <v>100</v>
      </c>
      <c r="T36" s="705" t="s">
        <v>14</v>
      </c>
      <c r="U36" s="706">
        <f t="shared" si="11"/>
        <v>100</v>
      </c>
      <c r="V36" s="705" t="s">
        <v>14</v>
      </c>
      <c r="W36" s="706">
        <f t="shared" si="12"/>
        <v>100</v>
      </c>
      <c r="X36" s="1355"/>
      <c r="Y36" s="384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43"/>
      <c r="Q37" s="1352">
        <f t="shared" si="8"/>
        <v>111</v>
      </c>
      <c r="R37" s="708" t="s">
        <v>14</v>
      </c>
      <c r="S37" s="709">
        <f t="shared" si="10"/>
        <v>100</v>
      </c>
      <c r="T37" s="708" t="s">
        <v>14</v>
      </c>
      <c r="U37" s="709">
        <f t="shared" si="11"/>
        <v>100</v>
      </c>
      <c r="V37" s="708" t="s">
        <v>14</v>
      </c>
      <c r="W37" s="709">
        <f t="shared" si="12"/>
        <v>100</v>
      </c>
      <c r="X37" s="710"/>
      <c r="Y37" s="384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43"/>
      <c r="Q38" s="1352" t="str">
        <f>B38</f>
        <v>宗地面积</v>
      </c>
      <c r="R38" s="705" t="s">
        <v>14</v>
      </c>
      <c r="S38" s="706" t="e">
        <f t="shared" si="10"/>
        <v>#N/A</v>
      </c>
      <c r="T38" s="705" t="s">
        <v>14</v>
      </c>
      <c r="U38" s="706" t="e">
        <f t="shared" si="11"/>
        <v>#N/A</v>
      </c>
      <c r="V38" s="705" t="s">
        <v>14</v>
      </c>
      <c r="W38" s="706" t="e">
        <f t="shared" si="12"/>
        <v>#N/A</v>
      </c>
      <c r="X38" s="1355"/>
      <c r="Y38" s="384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43"/>
      <c r="Q39" s="1352" t="str">
        <f t="shared" ref="Q39:Q45" si="14">B39</f>
        <v>宗地形状</v>
      </c>
      <c r="R39" s="705" t="s">
        <v>14</v>
      </c>
      <c r="S39" s="706">
        <f t="shared" si="10"/>
        <v>100</v>
      </c>
      <c r="T39" s="705" t="s">
        <v>14</v>
      </c>
      <c r="U39" s="706">
        <f t="shared" si="11"/>
        <v>100</v>
      </c>
      <c r="V39" s="705" t="s">
        <v>14</v>
      </c>
      <c r="W39" s="706">
        <f t="shared" si="12"/>
        <v>100</v>
      </c>
      <c r="X39" s="1355"/>
      <c r="Y39" s="384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43"/>
      <c r="Q40" s="1352" t="str">
        <f t="shared" si="14"/>
        <v>临街宽度及深度</v>
      </c>
      <c r="R40" s="705" t="s">
        <v>14</v>
      </c>
      <c r="S40" s="706">
        <f t="shared" si="10"/>
        <v>100</v>
      </c>
      <c r="T40" s="705" t="s">
        <v>14</v>
      </c>
      <c r="U40" s="706">
        <f t="shared" si="11"/>
        <v>100</v>
      </c>
      <c r="V40" s="705" t="s">
        <v>14</v>
      </c>
      <c r="W40" s="706">
        <f t="shared" si="12"/>
        <v>100</v>
      </c>
      <c r="X40" s="1355"/>
      <c r="Y40" s="384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843"/>
      <c r="Q41" s="1352" t="str">
        <f t="shared" si="14"/>
        <v>宗地开发程度</v>
      </c>
      <c r="R41" s="701" t="s">
        <v>14</v>
      </c>
      <c r="S41" s="702">
        <f t="shared" si="10"/>
        <v>100</v>
      </c>
      <c r="T41" s="701" t="s">
        <v>14</v>
      </c>
      <c r="U41" s="702">
        <f t="shared" si="11"/>
        <v>100</v>
      </c>
      <c r="V41" s="701" t="s">
        <v>14</v>
      </c>
      <c r="W41" s="702">
        <f t="shared" si="12"/>
        <v>100</v>
      </c>
      <c r="X41" s="703"/>
      <c r="Y41" s="384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43" t="s">
        <v>1696</v>
      </c>
      <c r="Q42" s="1352" t="str">
        <f t="shared" si="14"/>
        <v>工程地质条件</v>
      </c>
      <c r="R42" s="705" t="s">
        <v>14</v>
      </c>
      <c r="S42" s="706">
        <f t="shared" si="10"/>
        <v>100</v>
      </c>
      <c r="T42" s="705" t="s">
        <v>14</v>
      </c>
      <c r="U42" s="706">
        <f t="shared" si="11"/>
        <v>100</v>
      </c>
      <c r="V42" s="705" t="s">
        <v>14</v>
      </c>
      <c r="W42" s="706">
        <f t="shared" si="12"/>
        <v>100</v>
      </c>
      <c r="X42" s="1355"/>
      <c r="Y42" s="384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43"/>
      <c r="Q43" s="1352">
        <f t="shared" si="14"/>
        <v>111</v>
      </c>
      <c r="R43" s="705" t="s">
        <v>14</v>
      </c>
      <c r="S43" s="706">
        <f t="shared" si="10"/>
        <v>100</v>
      </c>
      <c r="T43" s="705" t="s">
        <v>14</v>
      </c>
      <c r="U43" s="706">
        <f t="shared" si="11"/>
        <v>100</v>
      </c>
      <c r="V43" s="705" t="s">
        <v>14</v>
      </c>
      <c r="W43" s="706">
        <f t="shared" si="12"/>
        <v>100</v>
      </c>
      <c r="X43" s="1355"/>
      <c r="Y43" s="38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43"/>
      <c r="Q44" s="1352">
        <f t="shared" si="14"/>
        <v>111</v>
      </c>
      <c r="R44" s="705" t="s">
        <v>14</v>
      </c>
      <c r="S44" s="706">
        <f t="shared" si="10"/>
        <v>100</v>
      </c>
      <c r="T44" s="705" t="s">
        <v>14</v>
      </c>
      <c r="U44" s="706">
        <f t="shared" si="11"/>
        <v>100</v>
      </c>
      <c r="V44" s="705" t="s">
        <v>14</v>
      </c>
      <c r="W44" s="706">
        <f t="shared" si="12"/>
        <v>100</v>
      </c>
      <c r="X44" s="1355"/>
      <c r="Y44" s="38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43"/>
      <c r="Q45" s="1352">
        <f t="shared" si="14"/>
        <v>111</v>
      </c>
      <c r="R45" s="708" t="s">
        <v>14</v>
      </c>
      <c r="S45" s="709">
        <f t="shared" si="10"/>
        <v>100</v>
      </c>
      <c r="T45" s="708" t="s">
        <v>14</v>
      </c>
      <c r="U45" s="709">
        <f t="shared" si="11"/>
        <v>100</v>
      </c>
      <c r="V45" s="708" t="s">
        <v>14</v>
      </c>
      <c r="W45" s="709">
        <f t="shared" si="12"/>
        <v>100</v>
      </c>
      <c r="X45" s="710"/>
      <c r="Y45" s="384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845" t="str">
        <f>A46</f>
        <v>成交单价</v>
      </c>
      <c r="Q46" s="3845"/>
      <c r="R46" s="3807">
        <f>E46</f>
        <v>0</v>
      </c>
      <c r="S46" s="3807"/>
      <c r="T46" s="3807">
        <f>G46</f>
        <v>0</v>
      </c>
      <c r="U46" s="3807"/>
      <c r="V46" s="3807">
        <f>I46</f>
        <v>0</v>
      </c>
      <c r="W46" s="38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845" t="str">
        <f>A47</f>
        <v>比较价值（元/平方米）</v>
      </c>
      <c r="Q47" s="3845"/>
      <c r="R47" s="3895" t="e">
        <f>ROUND(PRODUCT(R46,AA7:AA45),0)</f>
        <v>#DIV/0!</v>
      </c>
      <c r="S47" s="3895"/>
      <c r="T47" s="3895" t="e">
        <f>ROUND(PRODUCT(T46,AB7:AB45),0)</f>
        <v>#DIV/0!</v>
      </c>
      <c r="U47" s="3895"/>
      <c r="V47" s="3895" t="e">
        <f>ROUND(PRODUCT(V46,AC7:AC45),0)</f>
        <v>#DIV/0!</v>
      </c>
      <c r="W47" s="389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847" t="str">
        <f>A48</f>
        <v>估价对象XX用房的比较价值（楼面单价，元/平方米）</v>
      </c>
      <c r="Q48" s="3848"/>
      <c r="R48" s="3896" t="e">
        <f>ROUND(IF(D47="简单平均",AVERAGE(R47:W47),R47*F47+T47*H47+V47*J47),0)</f>
        <v>#DIV/0!</v>
      </c>
      <c r="S48" s="3896"/>
      <c r="T48" s="3896"/>
      <c r="U48" s="3896"/>
      <c r="V48" s="3896"/>
      <c r="W48" s="389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823" t="s">
        <v>1887</v>
      </c>
      <c r="H55" s="389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608.29999999999995</v>
      </c>
      <c r="F56" s="886" t="e">
        <f t="shared" ref="F56:F64" si="15">ROUND(B56*E56/10000,0)</f>
        <v>#DIV/0!</v>
      </c>
      <c r="G56" s="3822"/>
      <c r="H56" s="384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608.29999999999995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11"/>
      <c r="M4" s="2712"/>
      <c r="N4" s="2712"/>
      <c r="O4" s="2712"/>
      <c r="P4" s="3827" t="s">
        <v>1775</v>
      </c>
      <c r="Q4" s="3828"/>
      <c r="R4" s="3810" t="s">
        <v>1771</v>
      </c>
      <c r="S4" s="3811"/>
      <c r="T4" s="3810" t="s">
        <v>1772</v>
      </c>
      <c r="U4" s="3811"/>
      <c r="V4" s="3807" t="s">
        <v>1773</v>
      </c>
      <c r="W4" s="3807"/>
      <c r="X4" s="1355"/>
      <c r="Y4" s="3810" t="s">
        <v>1775</v>
      </c>
      <c r="Z4" s="3811"/>
      <c r="AA4" s="3804" t="s">
        <v>1771</v>
      </c>
      <c r="AB4" s="3805" t="s">
        <v>1772</v>
      </c>
      <c r="AC4" s="3804" t="s">
        <v>1773</v>
      </c>
    </row>
    <row r="5" spans="1:29" ht="15">
      <c r="A5" s="358"/>
      <c r="B5" s="359"/>
      <c r="C5" s="3877" t="s">
        <v>1673</v>
      </c>
      <c r="D5" s="3817"/>
      <c r="E5" s="3876" t="s">
        <v>1674</v>
      </c>
      <c r="F5" s="3815"/>
      <c r="G5" s="3877" t="s">
        <v>1675</v>
      </c>
      <c r="H5" s="3817"/>
      <c r="I5" s="3877" t="s">
        <v>1676</v>
      </c>
      <c r="J5" s="3817"/>
      <c r="K5" s="559"/>
      <c r="L5" s="2711"/>
      <c r="M5" s="2712"/>
      <c r="N5" s="2712"/>
      <c r="O5" s="2712"/>
      <c r="P5" s="3829"/>
      <c r="Q5" s="3830"/>
      <c r="R5" s="3812"/>
      <c r="S5" s="3813"/>
      <c r="T5" s="3812"/>
      <c r="U5" s="3813"/>
      <c r="V5" s="3807"/>
      <c r="W5" s="3807"/>
      <c r="X5" s="1355"/>
      <c r="Y5" s="3812"/>
      <c r="Z5" s="3813"/>
      <c r="AA5" s="3805"/>
      <c r="AB5" s="3805"/>
      <c r="AC5" s="3805"/>
    </row>
    <row r="6" spans="1:29" ht="15.75" thickBot="1">
      <c r="A6" s="360"/>
      <c r="B6" s="361"/>
      <c r="C6" s="3898" t="s">
        <v>1919</v>
      </c>
      <c r="D6" s="3899"/>
      <c r="E6" s="3900" t="s">
        <v>1919</v>
      </c>
      <c r="F6" s="3901"/>
      <c r="G6" s="3898" t="s">
        <v>1919</v>
      </c>
      <c r="H6" s="3899"/>
      <c r="I6" s="3898" t="s">
        <v>1919</v>
      </c>
      <c r="J6" s="3899"/>
      <c r="K6" s="559" t="s">
        <v>1678</v>
      </c>
      <c r="L6" s="2711"/>
      <c r="M6" s="2712"/>
      <c r="N6" s="2712"/>
      <c r="O6" s="2712"/>
      <c r="P6" s="3831"/>
      <c r="Q6" s="3832"/>
      <c r="R6" s="3812"/>
      <c r="S6" s="3813"/>
      <c r="T6" s="3833"/>
      <c r="U6" s="3834"/>
      <c r="V6" s="3807"/>
      <c r="W6" s="3807"/>
      <c r="X6" s="1355"/>
      <c r="Y6" s="3833"/>
      <c r="Z6" s="3834"/>
      <c r="AA6" s="3806"/>
      <c r="AB6" s="3806"/>
      <c r="AC6" s="3806"/>
    </row>
    <row r="7" spans="1:29" s="108" customFormat="1" ht="15.75" thickBot="1">
      <c r="A7" s="362" t="s">
        <v>1679</v>
      </c>
      <c r="B7" s="363"/>
      <c r="C7" s="364">
        <f>'数据-取费表'!B2</f>
        <v>45491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808" t="s">
        <v>1680</v>
      </c>
      <c r="Q7" s="3835"/>
      <c r="R7" s="701" t="s">
        <v>14</v>
      </c>
      <c r="S7" s="702">
        <f t="shared" ref="S7:S15" si="0">F7</f>
        <v>0</v>
      </c>
      <c r="T7" s="701" t="s">
        <v>14</v>
      </c>
      <c r="U7" s="702">
        <f t="shared" ref="U7:U15" si="1">H7</f>
        <v>0</v>
      </c>
      <c r="V7" s="701" t="s">
        <v>14</v>
      </c>
      <c r="W7" s="702">
        <f t="shared" ref="W7:W15" si="2">J7</f>
        <v>0</v>
      </c>
      <c r="X7" s="703"/>
      <c r="Y7" s="3808" t="s">
        <v>1680</v>
      </c>
      <c r="Z7" s="38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08" t="s">
        <v>1683</v>
      </c>
      <c r="Q8" s="3809"/>
      <c r="R8" s="701" t="s">
        <v>14</v>
      </c>
      <c r="S8" s="702">
        <f t="shared" si="0"/>
        <v>0</v>
      </c>
      <c r="T8" s="701" t="s">
        <v>14</v>
      </c>
      <c r="U8" s="702">
        <f t="shared" si="1"/>
        <v>0</v>
      </c>
      <c r="V8" s="701" t="s">
        <v>14</v>
      </c>
      <c r="W8" s="702">
        <f t="shared" si="2"/>
        <v>0</v>
      </c>
      <c r="X8" s="703"/>
      <c r="Y8" s="3808" t="s">
        <v>1683</v>
      </c>
      <c r="Z8" s="38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845" t="s">
        <v>1686</v>
      </c>
      <c r="Q9" s="1343" t="str">
        <f t="shared" ref="Q9:Q15" si="6">B9</f>
        <v>用途</v>
      </c>
      <c r="R9" s="701" t="s">
        <v>14</v>
      </c>
      <c r="S9" s="702">
        <f t="shared" si="0"/>
        <v>100</v>
      </c>
      <c r="T9" s="701" t="s">
        <v>14</v>
      </c>
      <c r="U9" s="702">
        <f t="shared" si="1"/>
        <v>100</v>
      </c>
      <c r="V9" s="701" t="s">
        <v>14</v>
      </c>
      <c r="W9" s="702">
        <f t="shared" si="2"/>
        <v>100</v>
      </c>
      <c r="X9" s="703"/>
      <c r="Y9" s="37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45"/>
      <c r="Q10" s="1343" t="str">
        <f t="shared" si="6"/>
        <v>土地使用年限（年）</v>
      </c>
      <c r="R10" s="701" t="s">
        <v>14</v>
      </c>
      <c r="S10" s="702" t="e">
        <f t="shared" si="0"/>
        <v>#DIV/0!</v>
      </c>
      <c r="T10" s="701" t="s">
        <v>14</v>
      </c>
      <c r="U10" s="702" t="e">
        <f t="shared" si="1"/>
        <v>#DIV/0!</v>
      </c>
      <c r="V10" s="701" t="s">
        <v>14</v>
      </c>
      <c r="W10" s="702" t="e">
        <f t="shared" si="2"/>
        <v>#DIV/0!</v>
      </c>
      <c r="X10" s="703"/>
      <c r="Y10" s="377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45"/>
      <c r="Q11" s="1343" t="str">
        <f t="shared" si="6"/>
        <v>容积率</v>
      </c>
      <c r="R11" s="701" t="s">
        <v>14</v>
      </c>
      <c r="S11" s="702" t="e">
        <f t="shared" si="0"/>
        <v>#N/A</v>
      </c>
      <c r="T11" s="701" t="s">
        <v>14</v>
      </c>
      <c r="U11" s="702" t="e">
        <f t="shared" si="1"/>
        <v>#N/A</v>
      </c>
      <c r="V11" s="701" t="s">
        <v>14</v>
      </c>
      <c r="W11" s="702" t="e">
        <f t="shared" si="2"/>
        <v>#N/A</v>
      </c>
      <c r="X11" s="703"/>
      <c r="Y11" s="37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45"/>
      <c r="Q12" s="1343">
        <f t="shared" si="6"/>
        <v>111</v>
      </c>
      <c r="R12" s="701" t="s">
        <v>14</v>
      </c>
      <c r="S12" s="702">
        <f t="shared" si="0"/>
        <v>100</v>
      </c>
      <c r="T12" s="701" t="s">
        <v>14</v>
      </c>
      <c r="U12" s="702">
        <f t="shared" si="1"/>
        <v>100</v>
      </c>
      <c r="V12" s="701" t="s">
        <v>14</v>
      </c>
      <c r="W12" s="702">
        <f t="shared" si="2"/>
        <v>100</v>
      </c>
      <c r="X12" s="703"/>
      <c r="Y12" s="37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45"/>
      <c r="Q13" s="1343">
        <f t="shared" si="6"/>
        <v>111</v>
      </c>
      <c r="R13" s="701" t="s">
        <v>14</v>
      </c>
      <c r="S13" s="702">
        <f t="shared" si="0"/>
        <v>100</v>
      </c>
      <c r="T13" s="701" t="s">
        <v>14</v>
      </c>
      <c r="U13" s="702">
        <f t="shared" si="1"/>
        <v>100</v>
      </c>
      <c r="V13" s="701" t="s">
        <v>14</v>
      </c>
      <c r="W13" s="702">
        <f t="shared" si="2"/>
        <v>100</v>
      </c>
      <c r="X13" s="703"/>
      <c r="Y13" s="37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45"/>
      <c r="Q14" s="1343">
        <f t="shared" si="6"/>
        <v>111</v>
      </c>
      <c r="R14" s="701" t="s">
        <v>14</v>
      </c>
      <c r="S14" s="702">
        <f t="shared" si="0"/>
        <v>100</v>
      </c>
      <c r="T14" s="701" t="s">
        <v>14</v>
      </c>
      <c r="U14" s="702">
        <f t="shared" si="1"/>
        <v>100</v>
      </c>
      <c r="V14" s="701" t="s">
        <v>14</v>
      </c>
      <c r="W14" s="702">
        <f t="shared" si="2"/>
        <v>100</v>
      </c>
      <c r="X14" s="703"/>
      <c r="Y14" s="377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38" t="s">
        <v>1691</v>
      </c>
      <c r="Q15" s="1352" t="str">
        <f t="shared" si="6"/>
        <v>产业集聚程度</v>
      </c>
      <c r="R15" s="705" t="s">
        <v>14</v>
      </c>
      <c r="S15" s="706">
        <f t="shared" si="0"/>
        <v>100</v>
      </c>
      <c r="T15" s="705" t="s">
        <v>14</v>
      </c>
      <c r="U15" s="706">
        <f t="shared" si="1"/>
        <v>100</v>
      </c>
      <c r="V15" s="705" t="s">
        <v>14</v>
      </c>
      <c r="W15" s="706">
        <f t="shared" si="2"/>
        <v>100</v>
      </c>
      <c r="X15" s="1355"/>
      <c r="Y15" s="383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39"/>
      <c r="Q16" s="1352"/>
      <c r="R16" s="705"/>
      <c r="S16" s="706"/>
      <c r="T16" s="705"/>
      <c r="U16" s="706"/>
      <c r="V16" s="705"/>
      <c r="W16" s="706"/>
      <c r="X16" s="1355"/>
      <c r="Y16" s="383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39"/>
      <c r="Q17" s="1352" t="str">
        <f>B17</f>
        <v>交通便捷度</v>
      </c>
      <c r="R17" s="705" t="s">
        <v>14</v>
      </c>
      <c r="S17" s="706">
        <f>F17</f>
        <v>100</v>
      </c>
      <c r="T17" s="705" t="s">
        <v>14</v>
      </c>
      <c r="U17" s="706">
        <f>H17</f>
        <v>100</v>
      </c>
      <c r="V17" s="705" t="s">
        <v>14</v>
      </c>
      <c r="W17" s="706">
        <f>J17</f>
        <v>100</v>
      </c>
      <c r="X17" s="1355"/>
      <c r="Y17" s="38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39"/>
      <c r="Q18" s="1352"/>
      <c r="R18" s="705"/>
      <c r="S18" s="706"/>
      <c r="T18" s="705"/>
      <c r="U18" s="706"/>
      <c r="V18" s="705"/>
      <c r="W18" s="706"/>
      <c r="X18" s="1355"/>
      <c r="Y18" s="383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39"/>
      <c r="Q19" s="1352" t="str">
        <f t="shared" ref="Q19:Q33" si="8">B19</f>
        <v>区域土地利用方向</v>
      </c>
      <c r="R19" s="705" t="s">
        <v>14</v>
      </c>
      <c r="S19" s="706">
        <f>F19</f>
        <v>100</v>
      </c>
      <c r="T19" s="705" t="s">
        <v>14</v>
      </c>
      <c r="U19" s="706">
        <f>H19</f>
        <v>100</v>
      </c>
      <c r="V19" s="705" t="s">
        <v>14</v>
      </c>
      <c r="W19" s="706">
        <f>J19</f>
        <v>100</v>
      </c>
      <c r="X19" s="1355"/>
      <c r="Y19" s="38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39"/>
      <c r="Q20" s="1352"/>
      <c r="R20" s="705"/>
      <c r="S20" s="706"/>
      <c r="T20" s="705"/>
      <c r="U20" s="706"/>
      <c r="V20" s="705"/>
      <c r="W20" s="706"/>
      <c r="X20" s="1355"/>
      <c r="Y20" s="383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39"/>
      <c r="Q21" s="1352" t="str">
        <f t="shared" si="8"/>
        <v>环境状况</v>
      </c>
      <c r="R21" s="705" t="s">
        <v>14</v>
      </c>
      <c r="S21" s="706">
        <f>F21</f>
        <v>100</v>
      </c>
      <c r="T21" s="705" t="s">
        <v>14</v>
      </c>
      <c r="U21" s="706">
        <f>H21</f>
        <v>100</v>
      </c>
      <c r="V21" s="705" t="s">
        <v>14</v>
      </c>
      <c r="W21" s="706">
        <f>J21</f>
        <v>100</v>
      </c>
      <c r="X21" s="1355"/>
      <c r="Y21" s="38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39"/>
      <c r="Q22" s="1352"/>
      <c r="R22" s="705"/>
      <c r="S22" s="706"/>
      <c r="T22" s="705"/>
      <c r="U22" s="706"/>
      <c r="V22" s="705"/>
      <c r="W22" s="706"/>
      <c r="X22" s="1355"/>
      <c r="Y22" s="383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39"/>
      <c r="Q23" s="1343" t="str">
        <f t="shared" si="8"/>
        <v>公共配套设施</v>
      </c>
      <c r="R23" s="701" t="s">
        <v>14</v>
      </c>
      <c r="S23" s="702">
        <f>F23</f>
        <v>100</v>
      </c>
      <c r="T23" s="701" t="s">
        <v>14</v>
      </c>
      <c r="U23" s="702">
        <f>H23</f>
        <v>100</v>
      </c>
      <c r="V23" s="701" t="s">
        <v>14</v>
      </c>
      <c r="W23" s="702">
        <f>J23</f>
        <v>100</v>
      </c>
      <c r="X23" s="703"/>
      <c r="Y23" s="38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839"/>
      <c r="Q24" s="1343"/>
      <c r="R24" s="701"/>
      <c r="S24" s="702"/>
      <c r="T24" s="701"/>
      <c r="U24" s="702"/>
      <c r="V24" s="701"/>
      <c r="W24" s="702"/>
      <c r="X24" s="703"/>
      <c r="Y24" s="383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39"/>
      <c r="Q25" s="1343" t="str">
        <f t="shared" ref="Q25" si="9">B25</f>
        <v>基础设施水平</v>
      </c>
      <c r="R25" s="701" t="s">
        <v>14</v>
      </c>
      <c r="S25" s="702">
        <f>F25</f>
        <v>100</v>
      </c>
      <c r="T25" s="701" t="s">
        <v>14</v>
      </c>
      <c r="U25" s="702">
        <f>H25</f>
        <v>100</v>
      </c>
      <c r="V25" s="701" t="s">
        <v>14</v>
      </c>
      <c r="W25" s="702">
        <f>J25</f>
        <v>100</v>
      </c>
      <c r="X25" s="703"/>
      <c r="Y25" s="38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839"/>
      <c r="Q26" s="1343"/>
      <c r="R26" s="701"/>
      <c r="S26" s="702"/>
      <c r="T26" s="701"/>
      <c r="U26" s="702"/>
      <c r="V26" s="701"/>
      <c r="W26" s="702"/>
      <c r="X26" s="703"/>
      <c r="Y26" s="383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39"/>
      <c r="Q28" s="1352" t="str">
        <f t="shared" si="8"/>
        <v>毗邻道路的类型与等级</v>
      </c>
      <c r="R28" s="705" t="s">
        <v>14</v>
      </c>
      <c r="S28" s="706">
        <f t="shared" si="10"/>
        <v>100</v>
      </c>
      <c r="T28" s="705" t="s">
        <v>14</v>
      </c>
      <c r="U28" s="706">
        <f t="shared" si="11"/>
        <v>100</v>
      </c>
      <c r="V28" s="705" t="s">
        <v>14</v>
      </c>
      <c r="W28" s="706">
        <f t="shared" si="12"/>
        <v>100</v>
      </c>
      <c r="X28" s="1355"/>
      <c r="Y28" s="38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39"/>
      <c r="Q29" s="1352"/>
      <c r="R29" s="705"/>
      <c r="S29" s="706"/>
      <c r="T29" s="705"/>
      <c r="U29" s="706"/>
      <c r="V29" s="705"/>
      <c r="W29" s="706"/>
      <c r="X29" s="1355"/>
      <c r="Y29" s="383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39"/>
      <c r="Q30" s="1352" t="str">
        <f t="shared" si="8"/>
        <v>土地级别</v>
      </c>
      <c r="R30" s="705" t="s">
        <v>14</v>
      </c>
      <c r="S30" s="706">
        <f t="shared" si="10"/>
        <v>100</v>
      </c>
      <c r="T30" s="705" t="s">
        <v>14</v>
      </c>
      <c r="U30" s="706">
        <f t="shared" si="11"/>
        <v>100</v>
      </c>
      <c r="V30" s="705" t="s">
        <v>14</v>
      </c>
      <c r="W30" s="706">
        <f t="shared" si="12"/>
        <v>100</v>
      </c>
      <c r="X30" s="1355"/>
      <c r="Y30" s="38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39"/>
      <c r="Q31" s="1352">
        <f t="shared" si="8"/>
        <v>111</v>
      </c>
      <c r="R31" s="705" t="s">
        <v>14</v>
      </c>
      <c r="S31" s="706">
        <f t="shared" si="10"/>
        <v>100</v>
      </c>
      <c r="T31" s="705" t="s">
        <v>14</v>
      </c>
      <c r="U31" s="706">
        <f t="shared" si="11"/>
        <v>100</v>
      </c>
      <c r="V31" s="705" t="s">
        <v>14</v>
      </c>
      <c r="W31" s="706">
        <f t="shared" si="12"/>
        <v>100</v>
      </c>
      <c r="X31" s="1355"/>
      <c r="Y31" s="38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93" t="s">
        <v>1696</v>
      </c>
      <c r="Q32" s="1352">
        <f t="shared" si="8"/>
        <v>111</v>
      </c>
      <c r="R32" s="705" t="s">
        <v>14</v>
      </c>
      <c r="S32" s="706">
        <f t="shared" si="10"/>
        <v>100</v>
      </c>
      <c r="T32" s="705" t="s">
        <v>14</v>
      </c>
      <c r="U32" s="706">
        <f t="shared" si="11"/>
        <v>100</v>
      </c>
      <c r="V32" s="705" t="s">
        <v>14</v>
      </c>
      <c r="W32" s="706">
        <f t="shared" si="12"/>
        <v>100</v>
      </c>
      <c r="X32" s="1355"/>
      <c r="Y32" s="384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43"/>
      <c r="Q33" s="1352">
        <f t="shared" si="8"/>
        <v>111</v>
      </c>
      <c r="R33" s="708" t="s">
        <v>14</v>
      </c>
      <c r="S33" s="709">
        <f t="shared" si="10"/>
        <v>100</v>
      </c>
      <c r="T33" s="708" t="s">
        <v>14</v>
      </c>
      <c r="U33" s="709">
        <f t="shared" si="11"/>
        <v>100</v>
      </c>
      <c r="V33" s="708" t="s">
        <v>14</v>
      </c>
      <c r="W33" s="709">
        <f t="shared" si="12"/>
        <v>100</v>
      </c>
      <c r="X33" s="710"/>
      <c r="Y33" s="384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43"/>
      <c r="Q34" s="1352" t="str">
        <f>B34</f>
        <v>宗地面积</v>
      </c>
      <c r="R34" s="705" t="s">
        <v>14</v>
      </c>
      <c r="S34" s="706" t="e">
        <f t="shared" si="10"/>
        <v>#N/A</v>
      </c>
      <c r="T34" s="705" t="s">
        <v>14</v>
      </c>
      <c r="U34" s="706" t="e">
        <f t="shared" si="11"/>
        <v>#N/A</v>
      </c>
      <c r="V34" s="705" t="s">
        <v>14</v>
      </c>
      <c r="W34" s="706" t="e">
        <f t="shared" si="12"/>
        <v>#N/A</v>
      </c>
      <c r="X34" s="1355"/>
      <c r="Y34" s="384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43"/>
      <c r="Q35" s="1352" t="str">
        <f t="shared" ref="Q35:Q40" si="14">B35</f>
        <v>宗地形状</v>
      </c>
      <c r="R35" s="705" t="s">
        <v>14</v>
      </c>
      <c r="S35" s="706">
        <f t="shared" si="10"/>
        <v>100</v>
      </c>
      <c r="T35" s="705" t="s">
        <v>14</v>
      </c>
      <c r="U35" s="706">
        <f t="shared" si="11"/>
        <v>100</v>
      </c>
      <c r="V35" s="705" t="s">
        <v>14</v>
      </c>
      <c r="W35" s="706">
        <f t="shared" si="12"/>
        <v>100</v>
      </c>
      <c r="X35" s="1355"/>
      <c r="Y35" s="384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843"/>
      <c r="Q36" s="1352" t="str">
        <f t="shared" si="14"/>
        <v>宗地开发程度</v>
      </c>
      <c r="R36" s="701" t="s">
        <v>14</v>
      </c>
      <c r="S36" s="702">
        <f t="shared" si="10"/>
        <v>100</v>
      </c>
      <c r="T36" s="701" t="s">
        <v>14</v>
      </c>
      <c r="U36" s="702">
        <f t="shared" si="11"/>
        <v>100</v>
      </c>
      <c r="V36" s="701" t="s">
        <v>14</v>
      </c>
      <c r="W36" s="702">
        <f t="shared" si="12"/>
        <v>100</v>
      </c>
      <c r="X36" s="703"/>
      <c r="Y36" s="384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43" t="s">
        <v>1696</v>
      </c>
      <c r="Q37" s="1352" t="str">
        <f t="shared" si="14"/>
        <v>工程地质条件</v>
      </c>
      <c r="R37" s="705" t="s">
        <v>14</v>
      </c>
      <c r="S37" s="706">
        <f t="shared" si="10"/>
        <v>100</v>
      </c>
      <c r="T37" s="705" t="s">
        <v>14</v>
      </c>
      <c r="U37" s="706">
        <f t="shared" si="11"/>
        <v>100</v>
      </c>
      <c r="V37" s="705" t="s">
        <v>14</v>
      </c>
      <c r="W37" s="706">
        <f t="shared" si="12"/>
        <v>100</v>
      </c>
      <c r="X37" s="1355"/>
      <c r="Y37" s="384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43"/>
      <c r="Q38" s="1352">
        <f t="shared" si="14"/>
        <v>111</v>
      </c>
      <c r="R38" s="705" t="s">
        <v>14</v>
      </c>
      <c r="S38" s="706">
        <f t="shared" si="10"/>
        <v>100</v>
      </c>
      <c r="T38" s="705" t="s">
        <v>14</v>
      </c>
      <c r="U38" s="706">
        <f t="shared" si="11"/>
        <v>100</v>
      </c>
      <c r="V38" s="705" t="s">
        <v>14</v>
      </c>
      <c r="W38" s="706">
        <f t="shared" si="12"/>
        <v>100</v>
      </c>
      <c r="X38" s="1355"/>
      <c r="Y38" s="38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43"/>
      <c r="Q39" s="1352">
        <f t="shared" si="14"/>
        <v>111</v>
      </c>
      <c r="R39" s="705" t="s">
        <v>14</v>
      </c>
      <c r="S39" s="706">
        <f t="shared" si="10"/>
        <v>100</v>
      </c>
      <c r="T39" s="705" t="s">
        <v>14</v>
      </c>
      <c r="U39" s="706">
        <f t="shared" si="11"/>
        <v>100</v>
      </c>
      <c r="V39" s="705" t="s">
        <v>14</v>
      </c>
      <c r="W39" s="706">
        <f t="shared" si="12"/>
        <v>100</v>
      </c>
      <c r="X39" s="1355"/>
      <c r="Y39" s="38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43"/>
      <c r="Q40" s="1352">
        <f t="shared" si="14"/>
        <v>111</v>
      </c>
      <c r="R40" s="708" t="s">
        <v>14</v>
      </c>
      <c r="S40" s="709">
        <f t="shared" si="10"/>
        <v>100</v>
      </c>
      <c r="T40" s="708" t="s">
        <v>14</v>
      </c>
      <c r="U40" s="709">
        <f t="shared" si="11"/>
        <v>100</v>
      </c>
      <c r="V40" s="708" t="s">
        <v>14</v>
      </c>
      <c r="W40" s="709">
        <f t="shared" si="12"/>
        <v>100</v>
      </c>
      <c r="X40" s="710"/>
      <c r="Y40" s="384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845" t="str">
        <f>A41</f>
        <v>成交单价</v>
      </c>
      <c r="Q41" s="3845"/>
      <c r="R41" s="3807">
        <f>E41</f>
        <v>0</v>
      </c>
      <c r="S41" s="3807"/>
      <c r="T41" s="3807">
        <f>G41</f>
        <v>0</v>
      </c>
      <c r="U41" s="3807"/>
      <c r="V41" s="3807">
        <f>I41</f>
        <v>0</v>
      </c>
      <c r="W41" s="38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845" t="str">
        <f>A42</f>
        <v>比较价值（元/平方米）</v>
      </c>
      <c r="Q42" s="3845"/>
      <c r="R42" s="3895" t="e">
        <f>ROUND(PRODUCT(R41,AA7:AA40),0)</f>
        <v>#DIV/0!</v>
      </c>
      <c r="S42" s="3895"/>
      <c r="T42" s="3895" t="e">
        <f>ROUND(PRODUCT(T41,AB7:AB40),0)</f>
        <v>#DIV/0!</v>
      </c>
      <c r="U42" s="3895"/>
      <c r="V42" s="3895" t="e">
        <f>ROUND(PRODUCT(V41,AC7:AC40),0)</f>
        <v>#DIV/0!</v>
      </c>
      <c r="W42" s="389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847" t="str">
        <f>A43</f>
        <v>估价对象XX用房的比较价值（楼面单价，元/平方米）</v>
      </c>
      <c r="Q43" s="3848"/>
      <c r="R43" s="3896" t="e">
        <f>ROUND(IF(D42="简单平均",AVERAGE(R42:W42),R42*F42+T42*H42+V42*J42),0)</f>
        <v>#DIV/0!</v>
      </c>
      <c r="S43" s="3896"/>
      <c r="T43" s="3896"/>
      <c r="U43" s="3896"/>
      <c r="V43" s="3896"/>
      <c r="W43" s="389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823" t="s">
        <v>1887</v>
      </c>
      <c r="H50" s="389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608.29999999999995</v>
      </c>
      <c r="F51" s="639" t="e">
        <f t="shared" ref="F51:F60" si="15">ROUND(B51*E51/10000,0)</f>
        <v>#DIV/0!</v>
      </c>
      <c r="G51" s="3822"/>
      <c r="H51" s="384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5" t="s">
        <v>2084</v>
      </c>
      <c r="D1" s="3906"/>
      <c r="E1" s="3906"/>
      <c r="F1" s="3906"/>
      <c r="G1" s="3906"/>
      <c r="H1" s="3906"/>
      <c r="I1" s="3906"/>
      <c r="J1" s="3906"/>
      <c r="K1" s="3906"/>
      <c r="L1" s="3906"/>
      <c r="M1" s="3906"/>
      <c r="N1" s="3906"/>
      <c r="O1" s="3906"/>
      <c r="P1" s="3906"/>
      <c r="Q1" s="3906"/>
      <c r="R1" s="3906"/>
      <c r="S1" s="390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2" t="s">
        <v>27</v>
      </c>
      <c r="D22" s="3903"/>
      <c r="E22" s="3903"/>
      <c r="F22" s="3903"/>
      <c r="G22" s="3903"/>
      <c r="H22" s="3903"/>
      <c r="I22" s="3903"/>
      <c r="J22" s="3903"/>
      <c r="K22" s="3903"/>
      <c r="L22" s="3903"/>
      <c r="M22" s="3903"/>
      <c r="N22" s="3903"/>
      <c r="O22" s="3903"/>
      <c r="P22" s="3903"/>
      <c r="Q22" s="390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608.29999999999995</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608.29999999999995</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J15" sqref="J15"/>
    </sheetView>
  </sheetViews>
  <sheetFormatPr defaultRowHeight="12"/>
  <cols>
    <col min="1" max="1" width="5.5" style="3545" customWidth="1"/>
    <col min="2" max="2" width="11.25" style="3545" customWidth="1"/>
    <col min="3" max="3" width="24.75" style="3545" customWidth="1"/>
    <col min="4" max="4" width="6.625" style="3545" customWidth="1"/>
    <col min="5" max="5" width="6.5" style="3545" customWidth="1"/>
    <col min="6" max="6" width="9.25" style="3545" customWidth="1"/>
    <col min="7" max="7" width="19.625" style="3545" customWidth="1"/>
    <col min="8" max="9" width="11.25" style="3545" customWidth="1"/>
    <col min="10" max="10" width="14.25" style="3545" customWidth="1"/>
    <col min="11" max="11" width="11.25" style="3545" customWidth="1"/>
    <col min="12" max="12" width="16.125" style="3545" bestFit="1" customWidth="1"/>
    <col min="13" max="14" width="11.25" style="3545" customWidth="1"/>
    <col min="15" max="15" width="60.875" style="3545" bestFit="1" customWidth="1"/>
    <col min="16" max="256" width="9" style="3545"/>
    <col min="257" max="257" width="5.5" style="3545" customWidth="1"/>
    <col min="258" max="258" width="11.25" style="3545" customWidth="1"/>
    <col min="259" max="259" width="32.125" style="3545" bestFit="1" customWidth="1"/>
    <col min="260" max="260" width="13" style="3545" bestFit="1" customWidth="1"/>
    <col min="261" max="261" width="11.25" style="3545" customWidth="1"/>
    <col min="262" max="262" width="12.75" style="3545" bestFit="1" customWidth="1"/>
    <col min="263" max="265" width="11.25" style="3545" customWidth="1"/>
    <col min="266" max="266" width="14.25" style="3545" customWidth="1"/>
    <col min="267" max="267" width="11.25" style="3545" customWidth="1"/>
    <col min="268" max="268" width="16.125" style="3545" bestFit="1" customWidth="1"/>
    <col min="269" max="270" width="11.25" style="3545" customWidth="1"/>
    <col min="271" max="271" width="60.875" style="3545" bestFit="1" customWidth="1"/>
    <col min="272" max="512" width="9" style="3545"/>
    <col min="513" max="513" width="5.5" style="3545" customWidth="1"/>
    <col min="514" max="514" width="11.25" style="3545" customWidth="1"/>
    <col min="515" max="515" width="32.125" style="3545" bestFit="1" customWidth="1"/>
    <col min="516" max="516" width="13" style="3545" bestFit="1" customWidth="1"/>
    <col min="517" max="517" width="11.25" style="3545" customWidth="1"/>
    <col min="518" max="518" width="12.75" style="3545" bestFit="1" customWidth="1"/>
    <col min="519" max="521" width="11.25" style="3545" customWidth="1"/>
    <col min="522" max="522" width="14.25" style="3545" customWidth="1"/>
    <col min="523" max="523" width="11.25" style="3545" customWidth="1"/>
    <col min="524" max="524" width="16.125" style="3545" bestFit="1" customWidth="1"/>
    <col min="525" max="526" width="11.25" style="3545" customWidth="1"/>
    <col min="527" max="527" width="60.875" style="3545" bestFit="1" customWidth="1"/>
    <col min="528" max="768" width="9" style="3545"/>
    <col min="769" max="769" width="5.5" style="3545" customWidth="1"/>
    <col min="770" max="770" width="11.25" style="3545" customWidth="1"/>
    <col min="771" max="771" width="32.125" style="3545" bestFit="1" customWidth="1"/>
    <col min="772" max="772" width="13" style="3545" bestFit="1" customWidth="1"/>
    <col min="773" max="773" width="11.25" style="3545" customWidth="1"/>
    <col min="774" max="774" width="12.75" style="3545" bestFit="1" customWidth="1"/>
    <col min="775" max="777" width="11.25" style="3545" customWidth="1"/>
    <col min="778" max="778" width="14.25" style="3545" customWidth="1"/>
    <col min="779" max="779" width="11.25" style="3545" customWidth="1"/>
    <col min="780" max="780" width="16.125" style="3545" bestFit="1" customWidth="1"/>
    <col min="781" max="782" width="11.25" style="3545" customWidth="1"/>
    <col min="783" max="783" width="60.875" style="3545" bestFit="1" customWidth="1"/>
    <col min="784" max="1024" width="9" style="3545"/>
    <col min="1025" max="1025" width="5.5" style="3545" customWidth="1"/>
    <col min="1026" max="1026" width="11.25" style="3545" customWidth="1"/>
    <col min="1027" max="1027" width="32.125" style="3545" bestFit="1" customWidth="1"/>
    <col min="1028" max="1028" width="13" style="3545" bestFit="1" customWidth="1"/>
    <col min="1029" max="1029" width="11.25" style="3545" customWidth="1"/>
    <col min="1030" max="1030" width="12.75" style="3545" bestFit="1" customWidth="1"/>
    <col min="1031" max="1033" width="11.25" style="3545" customWidth="1"/>
    <col min="1034" max="1034" width="14.25" style="3545" customWidth="1"/>
    <col min="1035" max="1035" width="11.25" style="3545" customWidth="1"/>
    <col min="1036" max="1036" width="16.125" style="3545" bestFit="1" customWidth="1"/>
    <col min="1037" max="1038" width="11.25" style="3545" customWidth="1"/>
    <col min="1039" max="1039" width="60.875" style="3545" bestFit="1" customWidth="1"/>
    <col min="1040" max="1280" width="9" style="3545"/>
    <col min="1281" max="1281" width="5.5" style="3545" customWidth="1"/>
    <col min="1282" max="1282" width="11.25" style="3545" customWidth="1"/>
    <col min="1283" max="1283" width="32.125" style="3545" bestFit="1" customWidth="1"/>
    <col min="1284" max="1284" width="13" style="3545" bestFit="1" customWidth="1"/>
    <col min="1285" max="1285" width="11.25" style="3545" customWidth="1"/>
    <col min="1286" max="1286" width="12.75" style="3545" bestFit="1" customWidth="1"/>
    <col min="1287" max="1289" width="11.25" style="3545" customWidth="1"/>
    <col min="1290" max="1290" width="14.25" style="3545" customWidth="1"/>
    <col min="1291" max="1291" width="11.25" style="3545" customWidth="1"/>
    <col min="1292" max="1292" width="16.125" style="3545" bestFit="1" customWidth="1"/>
    <col min="1293" max="1294" width="11.25" style="3545" customWidth="1"/>
    <col min="1295" max="1295" width="60.875" style="3545" bestFit="1" customWidth="1"/>
    <col min="1296" max="1536" width="9" style="3545"/>
    <col min="1537" max="1537" width="5.5" style="3545" customWidth="1"/>
    <col min="1538" max="1538" width="11.25" style="3545" customWidth="1"/>
    <col min="1539" max="1539" width="32.125" style="3545" bestFit="1" customWidth="1"/>
    <col min="1540" max="1540" width="13" style="3545" bestFit="1" customWidth="1"/>
    <col min="1541" max="1541" width="11.25" style="3545" customWidth="1"/>
    <col min="1542" max="1542" width="12.75" style="3545" bestFit="1" customWidth="1"/>
    <col min="1543" max="1545" width="11.25" style="3545" customWidth="1"/>
    <col min="1546" max="1546" width="14.25" style="3545" customWidth="1"/>
    <col min="1547" max="1547" width="11.25" style="3545" customWidth="1"/>
    <col min="1548" max="1548" width="16.125" style="3545" bestFit="1" customWidth="1"/>
    <col min="1549" max="1550" width="11.25" style="3545" customWidth="1"/>
    <col min="1551" max="1551" width="60.875" style="3545" bestFit="1" customWidth="1"/>
    <col min="1552" max="1792" width="9" style="3545"/>
    <col min="1793" max="1793" width="5.5" style="3545" customWidth="1"/>
    <col min="1794" max="1794" width="11.25" style="3545" customWidth="1"/>
    <col min="1795" max="1795" width="32.125" style="3545" bestFit="1" customWidth="1"/>
    <col min="1796" max="1796" width="13" style="3545" bestFit="1" customWidth="1"/>
    <col min="1797" max="1797" width="11.25" style="3545" customWidth="1"/>
    <col min="1798" max="1798" width="12.75" style="3545" bestFit="1" customWidth="1"/>
    <col min="1799" max="1801" width="11.25" style="3545" customWidth="1"/>
    <col min="1802" max="1802" width="14.25" style="3545" customWidth="1"/>
    <col min="1803" max="1803" width="11.25" style="3545" customWidth="1"/>
    <col min="1804" max="1804" width="16.125" style="3545" bestFit="1" customWidth="1"/>
    <col min="1805" max="1806" width="11.25" style="3545" customWidth="1"/>
    <col min="1807" max="1807" width="60.875" style="3545" bestFit="1" customWidth="1"/>
    <col min="1808" max="2048" width="9" style="3545"/>
    <col min="2049" max="2049" width="5.5" style="3545" customWidth="1"/>
    <col min="2050" max="2050" width="11.25" style="3545" customWidth="1"/>
    <col min="2051" max="2051" width="32.125" style="3545" bestFit="1" customWidth="1"/>
    <col min="2052" max="2052" width="13" style="3545" bestFit="1" customWidth="1"/>
    <col min="2053" max="2053" width="11.25" style="3545" customWidth="1"/>
    <col min="2054" max="2054" width="12.75" style="3545" bestFit="1" customWidth="1"/>
    <col min="2055" max="2057" width="11.25" style="3545" customWidth="1"/>
    <col min="2058" max="2058" width="14.25" style="3545" customWidth="1"/>
    <col min="2059" max="2059" width="11.25" style="3545" customWidth="1"/>
    <col min="2060" max="2060" width="16.125" style="3545" bestFit="1" customWidth="1"/>
    <col min="2061" max="2062" width="11.25" style="3545" customWidth="1"/>
    <col min="2063" max="2063" width="60.875" style="3545" bestFit="1" customWidth="1"/>
    <col min="2064" max="2304" width="9" style="3545"/>
    <col min="2305" max="2305" width="5.5" style="3545" customWidth="1"/>
    <col min="2306" max="2306" width="11.25" style="3545" customWidth="1"/>
    <col min="2307" max="2307" width="32.125" style="3545" bestFit="1" customWidth="1"/>
    <col min="2308" max="2308" width="13" style="3545" bestFit="1" customWidth="1"/>
    <col min="2309" max="2309" width="11.25" style="3545" customWidth="1"/>
    <col min="2310" max="2310" width="12.75" style="3545" bestFit="1" customWidth="1"/>
    <col min="2311" max="2313" width="11.25" style="3545" customWidth="1"/>
    <col min="2314" max="2314" width="14.25" style="3545" customWidth="1"/>
    <col min="2315" max="2315" width="11.25" style="3545" customWidth="1"/>
    <col min="2316" max="2316" width="16.125" style="3545" bestFit="1" customWidth="1"/>
    <col min="2317" max="2318" width="11.25" style="3545" customWidth="1"/>
    <col min="2319" max="2319" width="60.875" style="3545" bestFit="1" customWidth="1"/>
    <col min="2320" max="2560" width="9" style="3545"/>
    <col min="2561" max="2561" width="5.5" style="3545" customWidth="1"/>
    <col min="2562" max="2562" width="11.25" style="3545" customWidth="1"/>
    <col min="2563" max="2563" width="32.125" style="3545" bestFit="1" customWidth="1"/>
    <col min="2564" max="2564" width="13" style="3545" bestFit="1" customWidth="1"/>
    <col min="2565" max="2565" width="11.25" style="3545" customWidth="1"/>
    <col min="2566" max="2566" width="12.75" style="3545" bestFit="1" customWidth="1"/>
    <col min="2567" max="2569" width="11.25" style="3545" customWidth="1"/>
    <col min="2570" max="2570" width="14.25" style="3545" customWidth="1"/>
    <col min="2571" max="2571" width="11.25" style="3545" customWidth="1"/>
    <col min="2572" max="2572" width="16.125" style="3545" bestFit="1" customWidth="1"/>
    <col min="2573" max="2574" width="11.25" style="3545" customWidth="1"/>
    <col min="2575" max="2575" width="60.875" style="3545" bestFit="1" customWidth="1"/>
    <col min="2576" max="2816" width="9" style="3545"/>
    <col min="2817" max="2817" width="5.5" style="3545" customWidth="1"/>
    <col min="2818" max="2818" width="11.25" style="3545" customWidth="1"/>
    <col min="2819" max="2819" width="32.125" style="3545" bestFit="1" customWidth="1"/>
    <col min="2820" max="2820" width="13" style="3545" bestFit="1" customWidth="1"/>
    <col min="2821" max="2821" width="11.25" style="3545" customWidth="1"/>
    <col min="2822" max="2822" width="12.75" style="3545" bestFit="1" customWidth="1"/>
    <col min="2823" max="2825" width="11.25" style="3545" customWidth="1"/>
    <col min="2826" max="2826" width="14.25" style="3545" customWidth="1"/>
    <col min="2827" max="2827" width="11.25" style="3545" customWidth="1"/>
    <col min="2828" max="2828" width="16.125" style="3545" bestFit="1" customWidth="1"/>
    <col min="2829" max="2830" width="11.25" style="3545" customWidth="1"/>
    <col min="2831" max="2831" width="60.875" style="3545" bestFit="1" customWidth="1"/>
    <col min="2832" max="3072" width="9" style="3545"/>
    <col min="3073" max="3073" width="5.5" style="3545" customWidth="1"/>
    <col min="3074" max="3074" width="11.25" style="3545" customWidth="1"/>
    <col min="3075" max="3075" width="32.125" style="3545" bestFit="1" customWidth="1"/>
    <col min="3076" max="3076" width="13" style="3545" bestFit="1" customWidth="1"/>
    <col min="3077" max="3077" width="11.25" style="3545" customWidth="1"/>
    <col min="3078" max="3078" width="12.75" style="3545" bestFit="1" customWidth="1"/>
    <col min="3079" max="3081" width="11.25" style="3545" customWidth="1"/>
    <col min="3082" max="3082" width="14.25" style="3545" customWidth="1"/>
    <col min="3083" max="3083" width="11.25" style="3545" customWidth="1"/>
    <col min="3084" max="3084" width="16.125" style="3545" bestFit="1" customWidth="1"/>
    <col min="3085" max="3086" width="11.25" style="3545" customWidth="1"/>
    <col min="3087" max="3087" width="60.875" style="3545" bestFit="1" customWidth="1"/>
    <col min="3088" max="3328" width="9" style="3545"/>
    <col min="3329" max="3329" width="5.5" style="3545" customWidth="1"/>
    <col min="3330" max="3330" width="11.25" style="3545" customWidth="1"/>
    <col min="3331" max="3331" width="32.125" style="3545" bestFit="1" customWidth="1"/>
    <col min="3332" max="3332" width="13" style="3545" bestFit="1" customWidth="1"/>
    <col min="3333" max="3333" width="11.25" style="3545" customWidth="1"/>
    <col min="3334" max="3334" width="12.75" style="3545" bestFit="1" customWidth="1"/>
    <col min="3335" max="3337" width="11.25" style="3545" customWidth="1"/>
    <col min="3338" max="3338" width="14.25" style="3545" customWidth="1"/>
    <col min="3339" max="3339" width="11.25" style="3545" customWidth="1"/>
    <col min="3340" max="3340" width="16.125" style="3545" bestFit="1" customWidth="1"/>
    <col min="3341" max="3342" width="11.25" style="3545" customWidth="1"/>
    <col min="3343" max="3343" width="60.875" style="3545" bestFit="1" customWidth="1"/>
    <col min="3344" max="3584" width="9" style="3545"/>
    <col min="3585" max="3585" width="5.5" style="3545" customWidth="1"/>
    <col min="3586" max="3586" width="11.25" style="3545" customWidth="1"/>
    <col min="3587" max="3587" width="32.125" style="3545" bestFit="1" customWidth="1"/>
    <col min="3588" max="3588" width="13" style="3545" bestFit="1" customWidth="1"/>
    <col min="3589" max="3589" width="11.25" style="3545" customWidth="1"/>
    <col min="3590" max="3590" width="12.75" style="3545" bestFit="1" customWidth="1"/>
    <col min="3591" max="3593" width="11.25" style="3545" customWidth="1"/>
    <col min="3594" max="3594" width="14.25" style="3545" customWidth="1"/>
    <col min="3595" max="3595" width="11.25" style="3545" customWidth="1"/>
    <col min="3596" max="3596" width="16.125" style="3545" bestFit="1" customWidth="1"/>
    <col min="3597" max="3598" width="11.25" style="3545" customWidth="1"/>
    <col min="3599" max="3599" width="60.875" style="3545" bestFit="1" customWidth="1"/>
    <col min="3600" max="3840" width="9" style="3545"/>
    <col min="3841" max="3841" width="5.5" style="3545" customWidth="1"/>
    <col min="3842" max="3842" width="11.25" style="3545" customWidth="1"/>
    <col min="3843" max="3843" width="32.125" style="3545" bestFit="1" customWidth="1"/>
    <col min="3844" max="3844" width="13" style="3545" bestFit="1" customWidth="1"/>
    <col min="3845" max="3845" width="11.25" style="3545" customWidth="1"/>
    <col min="3846" max="3846" width="12.75" style="3545" bestFit="1" customWidth="1"/>
    <col min="3847" max="3849" width="11.25" style="3545" customWidth="1"/>
    <col min="3850" max="3850" width="14.25" style="3545" customWidth="1"/>
    <col min="3851" max="3851" width="11.25" style="3545" customWidth="1"/>
    <col min="3852" max="3852" width="16.125" style="3545" bestFit="1" customWidth="1"/>
    <col min="3853" max="3854" width="11.25" style="3545" customWidth="1"/>
    <col min="3855" max="3855" width="60.875" style="3545" bestFit="1" customWidth="1"/>
    <col min="3856" max="4096" width="9" style="3545"/>
    <col min="4097" max="4097" width="5.5" style="3545" customWidth="1"/>
    <col min="4098" max="4098" width="11.25" style="3545" customWidth="1"/>
    <col min="4099" max="4099" width="32.125" style="3545" bestFit="1" customWidth="1"/>
    <col min="4100" max="4100" width="13" style="3545" bestFit="1" customWidth="1"/>
    <col min="4101" max="4101" width="11.25" style="3545" customWidth="1"/>
    <col min="4102" max="4102" width="12.75" style="3545" bestFit="1" customWidth="1"/>
    <col min="4103" max="4105" width="11.25" style="3545" customWidth="1"/>
    <col min="4106" max="4106" width="14.25" style="3545" customWidth="1"/>
    <col min="4107" max="4107" width="11.25" style="3545" customWidth="1"/>
    <col min="4108" max="4108" width="16.125" style="3545" bestFit="1" customWidth="1"/>
    <col min="4109" max="4110" width="11.25" style="3545" customWidth="1"/>
    <col min="4111" max="4111" width="60.875" style="3545" bestFit="1" customWidth="1"/>
    <col min="4112" max="4352" width="9" style="3545"/>
    <col min="4353" max="4353" width="5.5" style="3545" customWidth="1"/>
    <col min="4354" max="4354" width="11.25" style="3545" customWidth="1"/>
    <col min="4355" max="4355" width="32.125" style="3545" bestFit="1" customWidth="1"/>
    <col min="4356" max="4356" width="13" style="3545" bestFit="1" customWidth="1"/>
    <col min="4357" max="4357" width="11.25" style="3545" customWidth="1"/>
    <col min="4358" max="4358" width="12.75" style="3545" bestFit="1" customWidth="1"/>
    <col min="4359" max="4361" width="11.25" style="3545" customWidth="1"/>
    <col min="4362" max="4362" width="14.25" style="3545" customWidth="1"/>
    <col min="4363" max="4363" width="11.25" style="3545" customWidth="1"/>
    <col min="4364" max="4364" width="16.125" style="3545" bestFit="1" customWidth="1"/>
    <col min="4365" max="4366" width="11.25" style="3545" customWidth="1"/>
    <col min="4367" max="4367" width="60.875" style="3545" bestFit="1" customWidth="1"/>
    <col min="4368" max="4608" width="9" style="3545"/>
    <col min="4609" max="4609" width="5.5" style="3545" customWidth="1"/>
    <col min="4610" max="4610" width="11.25" style="3545" customWidth="1"/>
    <col min="4611" max="4611" width="32.125" style="3545" bestFit="1" customWidth="1"/>
    <col min="4612" max="4612" width="13" style="3545" bestFit="1" customWidth="1"/>
    <col min="4613" max="4613" width="11.25" style="3545" customWidth="1"/>
    <col min="4614" max="4614" width="12.75" style="3545" bestFit="1" customWidth="1"/>
    <col min="4615" max="4617" width="11.25" style="3545" customWidth="1"/>
    <col min="4618" max="4618" width="14.25" style="3545" customWidth="1"/>
    <col min="4619" max="4619" width="11.25" style="3545" customWidth="1"/>
    <col min="4620" max="4620" width="16.125" style="3545" bestFit="1" customWidth="1"/>
    <col min="4621" max="4622" width="11.25" style="3545" customWidth="1"/>
    <col min="4623" max="4623" width="60.875" style="3545" bestFit="1" customWidth="1"/>
    <col min="4624" max="4864" width="9" style="3545"/>
    <col min="4865" max="4865" width="5.5" style="3545" customWidth="1"/>
    <col min="4866" max="4866" width="11.25" style="3545" customWidth="1"/>
    <col min="4867" max="4867" width="32.125" style="3545" bestFit="1" customWidth="1"/>
    <col min="4868" max="4868" width="13" style="3545" bestFit="1" customWidth="1"/>
    <col min="4869" max="4869" width="11.25" style="3545" customWidth="1"/>
    <col min="4870" max="4870" width="12.75" style="3545" bestFit="1" customWidth="1"/>
    <col min="4871" max="4873" width="11.25" style="3545" customWidth="1"/>
    <col min="4874" max="4874" width="14.25" style="3545" customWidth="1"/>
    <col min="4875" max="4875" width="11.25" style="3545" customWidth="1"/>
    <col min="4876" max="4876" width="16.125" style="3545" bestFit="1" customWidth="1"/>
    <col min="4877" max="4878" width="11.25" style="3545" customWidth="1"/>
    <col min="4879" max="4879" width="60.875" style="3545" bestFit="1" customWidth="1"/>
    <col min="4880" max="5120" width="9" style="3545"/>
    <col min="5121" max="5121" width="5.5" style="3545" customWidth="1"/>
    <col min="5122" max="5122" width="11.25" style="3545" customWidth="1"/>
    <col min="5123" max="5123" width="32.125" style="3545" bestFit="1" customWidth="1"/>
    <col min="5124" max="5124" width="13" style="3545" bestFit="1" customWidth="1"/>
    <col min="5125" max="5125" width="11.25" style="3545" customWidth="1"/>
    <col min="5126" max="5126" width="12.75" style="3545" bestFit="1" customWidth="1"/>
    <col min="5127" max="5129" width="11.25" style="3545" customWidth="1"/>
    <col min="5130" max="5130" width="14.25" style="3545" customWidth="1"/>
    <col min="5131" max="5131" width="11.25" style="3545" customWidth="1"/>
    <col min="5132" max="5132" width="16.125" style="3545" bestFit="1" customWidth="1"/>
    <col min="5133" max="5134" width="11.25" style="3545" customWidth="1"/>
    <col min="5135" max="5135" width="60.875" style="3545" bestFit="1" customWidth="1"/>
    <col min="5136" max="5376" width="9" style="3545"/>
    <col min="5377" max="5377" width="5.5" style="3545" customWidth="1"/>
    <col min="5378" max="5378" width="11.25" style="3545" customWidth="1"/>
    <col min="5379" max="5379" width="32.125" style="3545" bestFit="1" customWidth="1"/>
    <col min="5380" max="5380" width="13" style="3545" bestFit="1" customWidth="1"/>
    <col min="5381" max="5381" width="11.25" style="3545" customWidth="1"/>
    <col min="5382" max="5382" width="12.75" style="3545" bestFit="1" customWidth="1"/>
    <col min="5383" max="5385" width="11.25" style="3545" customWidth="1"/>
    <col min="5386" max="5386" width="14.25" style="3545" customWidth="1"/>
    <col min="5387" max="5387" width="11.25" style="3545" customWidth="1"/>
    <col min="5388" max="5388" width="16.125" style="3545" bestFit="1" customWidth="1"/>
    <col min="5389" max="5390" width="11.25" style="3545" customWidth="1"/>
    <col min="5391" max="5391" width="60.875" style="3545" bestFit="1" customWidth="1"/>
    <col min="5392" max="5632" width="9" style="3545"/>
    <col min="5633" max="5633" width="5.5" style="3545" customWidth="1"/>
    <col min="5634" max="5634" width="11.25" style="3545" customWidth="1"/>
    <col min="5635" max="5635" width="32.125" style="3545" bestFit="1" customWidth="1"/>
    <col min="5636" max="5636" width="13" style="3545" bestFit="1" customWidth="1"/>
    <col min="5637" max="5637" width="11.25" style="3545" customWidth="1"/>
    <col min="5638" max="5638" width="12.75" style="3545" bestFit="1" customWidth="1"/>
    <col min="5639" max="5641" width="11.25" style="3545" customWidth="1"/>
    <col min="5642" max="5642" width="14.25" style="3545" customWidth="1"/>
    <col min="5643" max="5643" width="11.25" style="3545" customWidth="1"/>
    <col min="5644" max="5644" width="16.125" style="3545" bestFit="1" customWidth="1"/>
    <col min="5645" max="5646" width="11.25" style="3545" customWidth="1"/>
    <col min="5647" max="5647" width="60.875" style="3545" bestFit="1" customWidth="1"/>
    <col min="5648" max="5888" width="9" style="3545"/>
    <col min="5889" max="5889" width="5.5" style="3545" customWidth="1"/>
    <col min="5890" max="5890" width="11.25" style="3545" customWidth="1"/>
    <col min="5891" max="5891" width="32.125" style="3545" bestFit="1" customWidth="1"/>
    <col min="5892" max="5892" width="13" style="3545" bestFit="1" customWidth="1"/>
    <col min="5893" max="5893" width="11.25" style="3545" customWidth="1"/>
    <col min="5894" max="5894" width="12.75" style="3545" bestFit="1" customWidth="1"/>
    <col min="5895" max="5897" width="11.25" style="3545" customWidth="1"/>
    <col min="5898" max="5898" width="14.25" style="3545" customWidth="1"/>
    <col min="5899" max="5899" width="11.25" style="3545" customWidth="1"/>
    <col min="5900" max="5900" width="16.125" style="3545" bestFit="1" customWidth="1"/>
    <col min="5901" max="5902" width="11.25" style="3545" customWidth="1"/>
    <col min="5903" max="5903" width="60.875" style="3545" bestFit="1" customWidth="1"/>
    <col min="5904" max="6144" width="9" style="3545"/>
    <col min="6145" max="6145" width="5.5" style="3545" customWidth="1"/>
    <col min="6146" max="6146" width="11.25" style="3545" customWidth="1"/>
    <col min="6147" max="6147" width="32.125" style="3545" bestFit="1" customWidth="1"/>
    <col min="6148" max="6148" width="13" style="3545" bestFit="1" customWidth="1"/>
    <col min="6149" max="6149" width="11.25" style="3545" customWidth="1"/>
    <col min="6150" max="6150" width="12.75" style="3545" bestFit="1" customWidth="1"/>
    <col min="6151" max="6153" width="11.25" style="3545" customWidth="1"/>
    <col min="6154" max="6154" width="14.25" style="3545" customWidth="1"/>
    <col min="6155" max="6155" width="11.25" style="3545" customWidth="1"/>
    <col min="6156" max="6156" width="16.125" style="3545" bestFit="1" customWidth="1"/>
    <col min="6157" max="6158" width="11.25" style="3545" customWidth="1"/>
    <col min="6159" max="6159" width="60.875" style="3545" bestFit="1" customWidth="1"/>
    <col min="6160" max="6400" width="9" style="3545"/>
    <col min="6401" max="6401" width="5.5" style="3545" customWidth="1"/>
    <col min="6402" max="6402" width="11.25" style="3545" customWidth="1"/>
    <col min="6403" max="6403" width="32.125" style="3545" bestFit="1" customWidth="1"/>
    <col min="6404" max="6404" width="13" style="3545" bestFit="1" customWidth="1"/>
    <col min="6405" max="6405" width="11.25" style="3545" customWidth="1"/>
    <col min="6406" max="6406" width="12.75" style="3545" bestFit="1" customWidth="1"/>
    <col min="6407" max="6409" width="11.25" style="3545" customWidth="1"/>
    <col min="6410" max="6410" width="14.25" style="3545" customWidth="1"/>
    <col min="6411" max="6411" width="11.25" style="3545" customWidth="1"/>
    <col min="6412" max="6412" width="16.125" style="3545" bestFit="1" customWidth="1"/>
    <col min="6413" max="6414" width="11.25" style="3545" customWidth="1"/>
    <col min="6415" max="6415" width="60.875" style="3545" bestFit="1" customWidth="1"/>
    <col min="6416" max="6656" width="9" style="3545"/>
    <col min="6657" max="6657" width="5.5" style="3545" customWidth="1"/>
    <col min="6658" max="6658" width="11.25" style="3545" customWidth="1"/>
    <col min="6659" max="6659" width="32.125" style="3545" bestFit="1" customWidth="1"/>
    <col min="6660" max="6660" width="13" style="3545" bestFit="1" customWidth="1"/>
    <col min="6661" max="6661" width="11.25" style="3545" customWidth="1"/>
    <col min="6662" max="6662" width="12.75" style="3545" bestFit="1" customWidth="1"/>
    <col min="6663" max="6665" width="11.25" style="3545" customWidth="1"/>
    <col min="6666" max="6666" width="14.25" style="3545" customWidth="1"/>
    <col min="6667" max="6667" width="11.25" style="3545" customWidth="1"/>
    <col min="6668" max="6668" width="16.125" style="3545" bestFit="1" customWidth="1"/>
    <col min="6669" max="6670" width="11.25" style="3545" customWidth="1"/>
    <col min="6671" max="6671" width="60.875" style="3545" bestFit="1" customWidth="1"/>
    <col min="6672" max="6912" width="9" style="3545"/>
    <col min="6913" max="6913" width="5.5" style="3545" customWidth="1"/>
    <col min="6914" max="6914" width="11.25" style="3545" customWidth="1"/>
    <col min="6915" max="6915" width="32.125" style="3545" bestFit="1" customWidth="1"/>
    <col min="6916" max="6916" width="13" style="3545" bestFit="1" customWidth="1"/>
    <col min="6917" max="6917" width="11.25" style="3545" customWidth="1"/>
    <col min="6918" max="6918" width="12.75" style="3545" bestFit="1" customWidth="1"/>
    <col min="6919" max="6921" width="11.25" style="3545" customWidth="1"/>
    <col min="6922" max="6922" width="14.25" style="3545" customWidth="1"/>
    <col min="6923" max="6923" width="11.25" style="3545" customWidth="1"/>
    <col min="6924" max="6924" width="16.125" style="3545" bestFit="1" customWidth="1"/>
    <col min="6925" max="6926" width="11.25" style="3545" customWidth="1"/>
    <col min="6927" max="6927" width="60.875" style="3545" bestFit="1" customWidth="1"/>
    <col min="6928" max="7168" width="9" style="3545"/>
    <col min="7169" max="7169" width="5.5" style="3545" customWidth="1"/>
    <col min="7170" max="7170" width="11.25" style="3545" customWidth="1"/>
    <col min="7171" max="7171" width="32.125" style="3545" bestFit="1" customWidth="1"/>
    <col min="7172" max="7172" width="13" style="3545" bestFit="1" customWidth="1"/>
    <col min="7173" max="7173" width="11.25" style="3545" customWidth="1"/>
    <col min="7174" max="7174" width="12.75" style="3545" bestFit="1" customWidth="1"/>
    <col min="7175" max="7177" width="11.25" style="3545" customWidth="1"/>
    <col min="7178" max="7178" width="14.25" style="3545" customWidth="1"/>
    <col min="7179" max="7179" width="11.25" style="3545" customWidth="1"/>
    <col min="7180" max="7180" width="16.125" style="3545" bestFit="1" customWidth="1"/>
    <col min="7181" max="7182" width="11.25" style="3545" customWidth="1"/>
    <col min="7183" max="7183" width="60.875" style="3545" bestFit="1" customWidth="1"/>
    <col min="7184" max="7424" width="9" style="3545"/>
    <col min="7425" max="7425" width="5.5" style="3545" customWidth="1"/>
    <col min="7426" max="7426" width="11.25" style="3545" customWidth="1"/>
    <col min="7427" max="7427" width="32.125" style="3545" bestFit="1" customWidth="1"/>
    <col min="7428" max="7428" width="13" style="3545" bestFit="1" customWidth="1"/>
    <col min="7429" max="7429" width="11.25" style="3545" customWidth="1"/>
    <col min="7430" max="7430" width="12.75" style="3545" bestFit="1" customWidth="1"/>
    <col min="7431" max="7433" width="11.25" style="3545" customWidth="1"/>
    <col min="7434" max="7434" width="14.25" style="3545" customWidth="1"/>
    <col min="7435" max="7435" width="11.25" style="3545" customWidth="1"/>
    <col min="7436" max="7436" width="16.125" style="3545" bestFit="1" customWidth="1"/>
    <col min="7437" max="7438" width="11.25" style="3545" customWidth="1"/>
    <col min="7439" max="7439" width="60.875" style="3545" bestFit="1" customWidth="1"/>
    <col min="7440" max="7680" width="9" style="3545"/>
    <col min="7681" max="7681" width="5.5" style="3545" customWidth="1"/>
    <col min="7682" max="7682" width="11.25" style="3545" customWidth="1"/>
    <col min="7683" max="7683" width="32.125" style="3545" bestFit="1" customWidth="1"/>
    <col min="7684" max="7684" width="13" style="3545" bestFit="1" customWidth="1"/>
    <col min="7685" max="7685" width="11.25" style="3545" customWidth="1"/>
    <col min="7686" max="7686" width="12.75" style="3545" bestFit="1" customWidth="1"/>
    <col min="7687" max="7689" width="11.25" style="3545" customWidth="1"/>
    <col min="7690" max="7690" width="14.25" style="3545" customWidth="1"/>
    <col min="7691" max="7691" width="11.25" style="3545" customWidth="1"/>
    <col min="7692" max="7692" width="16.125" style="3545" bestFit="1" customWidth="1"/>
    <col min="7693" max="7694" width="11.25" style="3545" customWidth="1"/>
    <col min="7695" max="7695" width="60.875" style="3545" bestFit="1" customWidth="1"/>
    <col min="7696" max="7936" width="9" style="3545"/>
    <col min="7937" max="7937" width="5.5" style="3545" customWidth="1"/>
    <col min="7938" max="7938" width="11.25" style="3545" customWidth="1"/>
    <col min="7939" max="7939" width="32.125" style="3545" bestFit="1" customWidth="1"/>
    <col min="7940" max="7940" width="13" style="3545" bestFit="1" customWidth="1"/>
    <col min="7941" max="7941" width="11.25" style="3545" customWidth="1"/>
    <col min="7942" max="7942" width="12.75" style="3545" bestFit="1" customWidth="1"/>
    <col min="7943" max="7945" width="11.25" style="3545" customWidth="1"/>
    <col min="7946" max="7946" width="14.25" style="3545" customWidth="1"/>
    <col min="7947" max="7947" width="11.25" style="3545" customWidth="1"/>
    <col min="7948" max="7948" width="16.125" style="3545" bestFit="1" customWidth="1"/>
    <col min="7949" max="7950" width="11.25" style="3545" customWidth="1"/>
    <col min="7951" max="7951" width="60.875" style="3545" bestFit="1" customWidth="1"/>
    <col min="7952" max="8192" width="9" style="3545"/>
    <col min="8193" max="8193" width="5.5" style="3545" customWidth="1"/>
    <col min="8194" max="8194" width="11.25" style="3545" customWidth="1"/>
    <col min="8195" max="8195" width="32.125" style="3545" bestFit="1" customWidth="1"/>
    <col min="8196" max="8196" width="13" style="3545" bestFit="1" customWidth="1"/>
    <col min="8197" max="8197" width="11.25" style="3545" customWidth="1"/>
    <col min="8198" max="8198" width="12.75" style="3545" bestFit="1" customWidth="1"/>
    <col min="8199" max="8201" width="11.25" style="3545" customWidth="1"/>
    <col min="8202" max="8202" width="14.25" style="3545" customWidth="1"/>
    <col min="8203" max="8203" width="11.25" style="3545" customWidth="1"/>
    <col min="8204" max="8204" width="16.125" style="3545" bestFit="1" customWidth="1"/>
    <col min="8205" max="8206" width="11.25" style="3545" customWidth="1"/>
    <col min="8207" max="8207" width="60.875" style="3545" bestFit="1" customWidth="1"/>
    <col min="8208" max="8448" width="9" style="3545"/>
    <col min="8449" max="8449" width="5.5" style="3545" customWidth="1"/>
    <col min="8450" max="8450" width="11.25" style="3545" customWidth="1"/>
    <col min="8451" max="8451" width="32.125" style="3545" bestFit="1" customWidth="1"/>
    <col min="8452" max="8452" width="13" style="3545" bestFit="1" customWidth="1"/>
    <col min="8453" max="8453" width="11.25" style="3545" customWidth="1"/>
    <col min="8454" max="8454" width="12.75" style="3545" bestFit="1" customWidth="1"/>
    <col min="8455" max="8457" width="11.25" style="3545" customWidth="1"/>
    <col min="8458" max="8458" width="14.25" style="3545" customWidth="1"/>
    <col min="8459" max="8459" width="11.25" style="3545" customWidth="1"/>
    <col min="8460" max="8460" width="16.125" style="3545" bestFit="1" customWidth="1"/>
    <col min="8461" max="8462" width="11.25" style="3545" customWidth="1"/>
    <col min="8463" max="8463" width="60.875" style="3545" bestFit="1" customWidth="1"/>
    <col min="8464" max="8704" width="9" style="3545"/>
    <col min="8705" max="8705" width="5.5" style="3545" customWidth="1"/>
    <col min="8706" max="8706" width="11.25" style="3545" customWidth="1"/>
    <col min="8707" max="8707" width="32.125" style="3545" bestFit="1" customWidth="1"/>
    <col min="8708" max="8708" width="13" style="3545" bestFit="1" customWidth="1"/>
    <col min="8709" max="8709" width="11.25" style="3545" customWidth="1"/>
    <col min="8710" max="8710" width="12.75" style="3545" bestFit="1" customWidth="1"/>
    <col min="8711" max="8713" width="11.25" style="3545" customWidth="1"/>
    <col min="8714" max="8714" width="14.25" style="3545" customWidth="1"/>
    <col min="8715" max="8715" width="11.25" style="3545" customWidth="1"/>
    <col min="8716" max="8716" width="16.125" style="3545" bestFit="1" customWidth="1"/>
    <col min="8717" max="8718" width="11.25" style="3545" customWidth="1"/>
    <col min="8719" max="8719" width="60.875" style="3545" bestFit="1" customWidth="1"/>
    <col min="8720" max="8960" width="9" style="3545"/>
    <col min="8961" max="8961" width="5.5" style="3545" customWidth="1"/>
    <col min="8962" max="8962" width="11.25" style="3545" customWidth="1"/>
    <col min="8963" max="8963" width="32.125" style="3545" bestFit="1" customWidth="1"/>
    <col min="8964" max="8964" width="13" style="3545" bestFit="1" customWidth="1"/>
    <col min="8965" max="8965" width="11.25" style="3545" customWidth="1"/>
    <col min="8966" max="8966" width="12.75" style="3545" bestFit="1" customWidth="1"/>
    <col min="8967" max="8969" width="11.25" style="3545" customWidth="1"/>
    <col min="8970" max="8970" width="14.25" style="3545" customWidth="1"/>
    <col min="8971" max="8971" width="11.25" style="3545" customWidth="1"/>
    <col min="8972" max="8972" width="16.125" style="3545" bestFit="1" customWidth="1"/>
    <col min="8973" max="8974" width="11.25" style="3545" customWidth="1"/>
    <col min="8975" max="8975" width="60.875" style="3545" bestFit="1" customWidth="1"/>
    <col min="8976" max="9216" width="9" style="3545"/>
    <col min="9217" max="9217" width="5.5" style="3545" customWidth="1"/>
    <col min="9218" max="9218" width="11.25" style="3545" customWidth="1"/>
    <col min="9219" max="9219" width="32.125" style="3545" bestFit="1" customWidth="1"/>
    <col min="9220" max="9220" width="13" style="3545" bestFit="1" customWidth="1"/>
    <col min="9221" max="9221" width="11.25" style="3545" customWidth="1"/>
    <col min="9222" max="9222" width="12.75" style="3545" bestFit="1" customWidth="1"/>
    <col min="9223" max="9225" width="11.25" style="3545" customWidth="1"/>
    <col min="9226" max="9226" width="14.25" style="3545" customWidth="1"/>
    <col min="9227" max="9227" width="11.25" style="3545" customWidth="1"/>
    <col min="9228" max="9228" width="16.125" style="3545" bestFit="1" customWidth="1"/>
    <col min="9229" max="9230" width="11.25" style="3545" customWidth="1"/>
    <col min="9231" max="9231" width="60.875" style="3545" bestFit="1" customWidth="1"/>
    <col min="9232" max="9472" width="9" style="3545"/>
    <col min="9473" max="9473" width="5.5" style="3545" customWidth="1"/>
    <col min="9474" max="9474" width="11.25" style="3545" customWidth="1"/>
    <col min="9475" max="9475" width="32.125" style="3545" bestFit="1" customWidth="1"/>
    <col min="9476" max="9476" width="13" style="3545" bestFit="1" customWidth="1"/>
    <col min="9477" max="9477" width="11.25" style="3545" customWidth="1"/>
    <col min="9478" max="9478" width="12.75" style="3545" bestFit="1" customWidth="1"/>
    <col min="9479" max="9481" width="11.25" style="3545" customWidth="1"/>
    <col min="9482" max="9482" width="14.25" style="3545" customWidth="1"/>
    <col min="9483" max="9483" width="11.25" style="3545" customWidth="1"/>
    <col min="9484" max="9484" width="16.125" style="3545" bestFit="1" customWidth="1"/>
    <col min="9485" max="9486" width="11.25" style="3545" customWidth="1"/>
    <col min="9487" max="9487" width="60.875" style="3545" bestFit="1" customWidth="1"/>
    <col min="9488" max="9728" width="9" style="3545"/>
    <col min="9729" max="9729" width="5.5" style="3545" customWidth="1"/>
    <col min="9730" max="9730" width="11.25" style="3545" customWidth="1"/>
    <col min="9731" max="9731" width="32.125" style="3545" bestFit="1" customWidth="1"/>
    <col min="9732" max="9732" width="13" style="3545" bestFit="1" customWidth="1"/>
    <col min="9733" max="9733" width="11.25" style="3545" customWidth="1"/>
    <col min="9734" max="9734" width="12.75" style="3545" bestFit="1" customWidth="1"/>
    <col min="9735" max="9737" width="11.25" style="3545" customWidth="1"/>
    <col min="9738" max="9738" width="14.25" style="3545" customWidth="1"/>
    <col min="9739" max="9739" width="11.25" style="3545" customWidth="1"/>
    <col min="9740" max="9740" width="16.125" style="3545" bestFit="1" customWidth="1"/>
    <col min="9741" max="9742" width="11.25" style="3545" customWidth="1"/>
    <col min="9743" max="9743" width="60.875" style="3545" bestFit="1" customWidth="1"/>
    <col min="9744" max="9984" width="9" style="3545"/>
    <col min="9985" max="9985" width="5.5" style="3545" customWidth="1"/>
    <col min="9986" max="9986" width="11.25" style="3545" customWidth="1"/>
    <col min="9987" max="9987" width="32.125" style="3545" bestFit="1" customWidth="1"/>
    <col min="9988" max="9988" width="13" style="3545" bestFit="1" customWidth="1"/>
    <col min="9989" max="9989" width="11.25" style="3545" customWidth="1"/>
    <col min="9990" max="9990" width="12.75" style="3545" bestFit="1" customWidth="1"/>
    <col min="9991" max="9993" width="11.25" style="3545" customWidth="1"/>
    <col min="9994" max="9994" width="14.25" style="3545" customWidth="1"/>
    <col min="9995" max="9995" width="11.25" style="3545" customWidth="1"/>
    <col min="9996" max="9996" width="16.125" style="3545" bestFit="1" customWidth="1"/>
    <col min="9997" max="9998" width="11.25" style="3545" customWidth="1"/>
    <col min="9999" max="9999" width="60.875" style="3545" bestFit="1" customWidth="1"/>
    <col min="10000" max="10240" width="9" style="3545"/>
    <col min="10241" max="10241" width="5.5" style="3545" customWidth="1"/>
    <col min="10242" max="10242" width="11.25" style="3545" customWidth="1"/>
    <col min="10243" max="10243" width="32.125" style="3545" bestFit="1" customWidth="1"/>
    <col min="10244" max="10244" width="13" style="3545" bestFit="1" customWidth="1"/>
    <col min="10245" max="10245" width="11.25" style="3545" customWidth="1"/>
    <col min="10246" max="10246" width="12.75" style="3545" bestFit="1" customWidth="1"/>
    <col min="10247" max="10249" width="11.25" style="3545" customWidth="1"/>
    <col min="10250" max="10250" width="14.25" style="3545" customWidth="1"/>
    <col min="10251" max="10251" width="11.25" style="3545" customWidth="1"/>
    <col min="10252" max="10252" width="16.125" style="3545" bestFit="1" customWidth="1"/>
    <col min="10253" max="10254" width="11.25" style="3545" customWidth="1"/>
    <col min="10255" max="10255" width="60.875" style="3545" bestFit="1" customWidth="1"/>
    <col min="10256" max="10496" width="9" style="3545"/>
    <col min="10497" max="10497" width="5.5" style="3545" customWidth="1"/>
    <col min="10498" max="10498" width="11.25" style="3545" customWidth="1"/>
    <col min="10499" max="10499" width="32.125" style="3545" bestFit="1" customWidth="1"/>
    <col min="10500" max="10500" width="13" style="3545" bestFit="1" customWidth="1"/>
    <col min="10501" max="10501" width="11.25" style="3545" customWidth="1"/>
    <col min="10502" max="10502" width="12.75" style="3545" bestFit="1" customWidth="1"/>
    <col min="10503" max="10505" width="11.25" style="3545" customWidth="1"/>
    <col min="10506" max="10506" width="14.25" style="3545" customWidth="1"/>
    <col min="10507" max="10507" width="11.25" style="3545" customWidth="1"/>
    <col min="10508" max="10508" width="16.125" style="3545" bestFit="1" customWidth="1"/>
    <col min="10509" max="10510" width="11.25" style="3545" customWidth="1"/>
    <col min="10511" max="10511" width="60.875" style="3545" bestFit="1" customWidth="1"/>
    <col min="10512" max="10752" width="9" style="3545"/>
    <col min="10753" max="10753" width="5.5" style="3545" customWidth="1"/>
    <col min="10754" max="10754" width="11.25" style="3545" customWidth="1"/>
    <col min="10755" max="10755" width="32.125" style="3545" bestFit="1" customWidth="1"/>
    <col min="10756" max="10756" width="13" style="3545" bestFit="1" customWidth="1"/>
    <col min="10757" max="10757" width="11.25" style="3545" customWidth="1"/>
    <col min="10758" max="10758" width="12.75" style="3545" bestFit="1" customWidth="1"/>
    <col min="10759" max="10761" width="11.25" style="3545" customWidth="1"/>
    <col min="10762" max="10762" width="14.25" style="3545" customWidth="1"/>
    <col min="10763" max="10763" width="11.25" style="3545" customWidth="1"/>
    <col min="10764" max="10764" width="16.125" style="3545" bestFit="1" customWidth="1"/>
    <col min="10765" max="10766" width="11.25" style="3545" customWidth="1"/>
    <col min="10767" max="10767" width="60.875" style="3545" bestFit="1" customWidth="1"/>
    <col min="10768" max="11008" width="9" style="3545"/>
    <col min="11009" max="11009" width="5.5" style="3545" customWidth="1"/>
    <col min="11010" max="11010" width="11.25" style="3545" customWidth="1"/>
    <col min="11011" max="11011" width="32.125" style="3545" bestFit="1" customWidth="1"/>
    <col min="11012" max="11012" width="13" style="3545" bestFit="1" customWidth="1"/>
    <col min="11013" max="11013" width="11.25" style="3545" customWidth="1"/>
    <col min="11014" max="11014" width="12.75" style="3545" bestFit="1" customWidth="1"/>
    <col min="11015" max="11017" width="11.25" style="3545" customWidth="1"/>
    <col min="11018" max="11018" width="14.25" style="3545" customWidth="1"/>
    <col min="11019" max="11019" width="11.25" style="3545" customWidth="1"/>
    <col min="11020" max="11020" width="16.125" style="3545" bestFit="1" customWidth="1"/>
    <col min="11021" max="11022" width="11.25" style="3545" customWidth="1"/>
    <col min="11023" max="11023" width="60.875" style="3545" bestFit="1" customWidth="1"/>
    <col min="11024" max="11264" width="9" style="3545"/>
    <col min="11265" max="11265" width="5.5" style="3545" customWidth="1"/>
    <col min="11266" max="11266" width="11.25" style="3545" customWidth="1"/>
    <col min="11267" max="11267" width="32.125" style="3545" bestFit="1" customWidth="1"/>
    <col min="11268" max="11268" width="13" style="3545" bestFit="1" customWidth="1"/>
    <col min="11269" max="11269" width="11.25" style="3545" customWidth="1"/>
    <col min="11270" max="11270" width="12.75" style="3545" bestFit="1" customWidth="1"/>
    <col min="11271" max="11273" width="11.25" style="3545" customWidth="1"/>
    <col min="11274" max="11274" width="14.25" style="3545" customWidth="1"/>
    <col min="11275" max="11275" width="11.25" style="3545" customWidth="1"/>
    <col min="11276" max="11276" width="16.125" style="3545" bestFit="1" customWidth="1"/>
    <col min="11277" max="11278" width="11.25" style="3545" customWidth="1"/>
    <col min="11279" max="11279" width="60.875" style="3545" bestFit="1" customWidth="1"/>
    <col min="11280" max="11520" width="9" style="3545"/>
    <col min="11521" max="11521" width="5.5" style="3545" customWidth="1"/>
    <col min="11522" max="11522" width="11.25" style="3545" customWidth="1"/>
    <col min="11523" max="11523" width="32.125" style="3545" bestFit="1" customWidth="1"/>
    <col min="11524" max="11524" width="13" style="3545" bestFit="1" customWidth="1"/>
    <col min="11525" max="11525" width="11.25" style="3545" customWidth="1"/>
    <col min="11526" max="11526" width="12.75" style="3545" bestFit="1" customWidth="1"/>
    <col min="11527" max="11529" width="11.25" style="3545" customWidth="1"/>
    <col min="11530" max="11530" width="14.25" style="3545" customWidth="1"/>
    <col min="11531" max="11531" width="11.25" style="3545" customWidth="1"/>
    <col min="11532" max="11532" width="16.125" style="3545" bestFit="1" customWidth="1"/>
    <col min="11533" max="11534" width="11.25" style="3545" customWidth="1"/>
    <col min="11535" max="11535" width="60.875" style="3545" bestFit="1" customWidth="1"/>
    <col min="11536" max="11776" width="9" style="3545"/>
    <col min="11777" max="11777" width="5.5" style="3545" customWidth="1"/>
    <col min="11778" max="11778" width="11.25" style="3545" customWidth="1"/>
    <col min="11779" max="11779" width="32.125" style="3545" bestFit="1" customWidth="1"/>
    <col min="11780" max="11780" width="13" style="3545" bestFit="1" customWidth="1"/>
    <col min="11781" max="11781" width="11.25" style="3545" customWidth="1"/>
    <col min="11782" max="11782" width="12.75" style="3545" bestFit="1" customWidth="1"/>
    <col min="11783" max="11785" width="11.25" style="3545" customWidth="1"/>
    <col min="11786" max="11786" width="14.25" style="3545" customWidth="1"/>
    <col min="11787" max="11787" width="11.25" style="3545" customWidth="1"/>
    <col min="11788" max="11788" width="16.125" style="3545" bestFit="1" customWidth="1"/>
    <col min="11789" max="11790" width="11.25" style="3545" customWidth="1"/>
    <col min="11791" max="11791" width="60.875" style="3545" bestFit="1" customWidth="1"/>
    <col min="11792" max="12032" width="9" style="3545"/>
    <col min="12033" max="12033" width="5.5" style="3545" customWidth="1"/>
    <col min="12034" max="12034" width="11.25" style="3545" customWidth="1"/>
    <col min="12035" max="12035" width="32.125" style="3545" bestFit="1" customWidth="1"/>
    <col min="12036" max="12036" width="13" style="3545" bestFit="1" customWidth="1"/>
    <col min="12037" max="12037" width="11.25" style="3545" customWidth="1"/>
    <col min="12038" max="12038" width="12.75" style="3545" bestFit="1" customWidth="1"/>
    <col min="12039" max="12041" width="11.25" style="3545" customWidth="1"/>
    <col min="12042" max="12042" width="14.25" style="3545" customWidth="1"/>
    <col min="12043" max="12043" width="11.25" style="3545" customWidth="1"/>
    <col min="12044" max="12044" width="16.125" style="3545" bestFit="1" customWidth="1"/>
    <col min="12045" max="12046" width="11.25" style="3545" customWidth="1"/>
    <col min="12047" max="12047" width="60.875" style="3545" bestFit="1" customWidth="1"/>
    <col min="12048" max="12288" width="9" style="3545"/>
    <col min="12289" max="12289" width="5.5" style="3545" customWidth="1"/>
    <col min="12290" max="12290" width="11.25" style="3545" customWidth="1"/>
    <col min="12291" max="12291" width="32.125" style="3545" bestFit="1" customWidth="1"/>
    <col min="12292" max="12292" width="13" style="3545" bestFit="1" customWidth="1"/>
    <col min="12293" max="12293" width="11.25" style="3545" customWidth="1"/>
    <col min="12294" max="12294" width="12.75" style="3545" bestFit="1" customWidth="1"/>
    <col min="12295" max="12297" width="11.25" style="3545" customWidth="1"/>
    <col min="12298" max="12298" width="14.25" style="3545" customWidth="1"/>
    <col min="12299" max="12299" width="11.25" style="3545" customWidth="1"/>
    <col min="12300" max="12300" width="16.125" style="3545" bestFit="1" customWidth="1"/>
    <col min="12301" max="12302" width="11.25" style="3545" customWidth="1"/>
    <col min="12303" max="12303" width="60.875" style="3545" bestFit="1" customWidth="1"/>
    <col min="12304" max="12544" width="9" style="3545"/>
    <col min="12545" max="12545" width="5.5" style="3545" customWidth="1"/>
    <col min="12546" max="12546" width="11.25" style="3545" customWidth="1"/>
    <col min="12547" max="12547" width="32.125" style="3545" bestFit="1" customWidth="1"/>
    <col min="12548" max="12548" width="13" style="3545" bestFit="1" customWidth="1"/>
    <col min="12549" max="12549" width="11.25" style="3545" customWidth="1"/>
    <col min="12550" max="12550" width="12.75" style="3545" bestFit="1" customWidth="1"/>
    <col min="12551" max="12553" width="11.25" style="3545" customWidth="1"/>
    <col min="12554" max="12554" width="14.25" style="3545" customWidth="1"/>
    <col min="12555" max="12555" width="11.25" style="3545" customWidth="1"/>
    <col min="12556" max="12556" width="16.125" style="3545" bestFit="1" customWidth="1"/>
    <col min="12557" max="12558" width="11.25" style="3545" customWidth="1"/>
    <col min="12559" max="12559" width="60.875" style="3545" bestFit="1" customWidth="1"/>
    <col min="12560" max="12800" width="9" style="3545"/>
    <col min="12801" max="12801" width="5.5" style="3545" customWidth="1"/>
    <col min="12802" max="12802" width="11.25" style="3545" customWidth="1"/>
    <col min="12803" max="12803" width="32.125" style="3545" bestFit="1" customWidth="1"/>
    <col min="12804" max="12804" width="13" style="3545" bestFit="1" customWidth="1"/>
    <col min="12805" max="12805" width="11.25" style="3545" customWidth="1"/>
    <col min="12806" max="12806" width="12.75" style="3545" bestFit="1" customWidth="1"/>
    <col min="12807" max="12809" width="11.25" style="3545" customWidth="1"/>
    <col min="12810" max="12810" width="14.25" style="3545" customWidth="1"/>
    <col min="12811" max="12811" width="11.25" style="3545" customWidth="1"/>
    <col min="12812" max="12812" width="16.125" style="3545" bestFit="1" customWidth="1"/>
    <col min="12813" max="12814" width="11.25" style="3545" customWidth="1"/>
    <col min="12815" max="12815" width="60.875" style="3545" bestFit="1" customWidth="1"/>
    <col min="12816" max="13056" width="9" style="3545"/>
    <col min="13057" max="13057" width="5.5" style="3545" customWidth="1"/>
    <col min="13058" max="13058" width="11.25" style="3545" customWidth="1"/>
    <col min="13059" max="13059" width="32.125" style="3545" bestFit="1" customWidth="1"/>
    <col min="13060" max="13060" width="13" style="3545" bestFit="1" customWidth="1"/>
    <col min="13061" max="13061" width="11.25" style="3545" customWidth="1"/>
    <col min="13062" max="13062" width="12.75" style="3545" bestFit="1" customWidth="1"/>
    <col min="13063" max="13065" width="11.25" style="3545" customWidth="1"/>
    <col min="13066" max="13066" width="14.25" style="3545" customWidth="1"/>
    <col min="13067" max="13067" width="11.25" style="3545" customWidth="1"/>
    <col min="13068" max="13068" width="16.125" style="3545" bestFit="1" customWidth="1"/>
    <col min="13069" max="13070" width="11.25" style="3545" customWidth="1"/>
    <col min="13071" max="13071" width="60.875" style="3545" bestFit="1" customWidth="1"/>
    <col min="13072" max="13312" width="9" style="3545"/>
    <col min="13313" max="13313" width="5.5" style="3545" customWidth="1"/>
    <col min="13314" max="13314" width="11.25" style="3545" customWidth="1"/>
    <col min="13315" max="13315" width="32.125" style="3545" bestFit="1" customWidth="1"/>
    <col min="13316" max="13316" width="13" style="3545" bestFit="1" customWidth="1"/>
    <col min="13317" max="13317" width="11.25" style="3545" customWidth="1"/>
    <col min="13318" max="13318" width="12.75" style="3545" bestFit="1" customWidth="1"/>
    <col min="13319" max="13321" width="11.25" style="3545" customWidth="1"/>
    <col min="13322" max="13322" width="14.25" style="3545" customWidth="1"/>
    <col min="13323" max="13323" width="11.25" style="3545" customWidth="1"/>
    <col min="13324" max="13324" width="16.125" style="3545" bestFit="1" customWidth="1"/>
    <col min="13325" max="13326" width="11.25" style="3545" customWidth="1"/>
    <col min="13327" max="13327" width="60.875" style="3545" bestFit="1" customWidth="1"/>
    <col min="13328" max="13568" width="9" style="3545"/>
    <col min="13569" max="13569" width="5.5" style="3545" customWidth="1"/>
    <col min="13570" max="13570" width="11.25" style="3545" customWidth="1"/>
    <col min="13571" max="13571" width="32.125" style="3545" bestFit="1" customWidth="1"/>
    <col min="13572" max="13572" width="13" style="3545" bestFit="1" customWidth="1"/>
    <col min="13573" max="13573" width="11.25" style="3545" customWidth="1"/>
    <col min="13574" max="13574" width="12.75" style="3545" bestFit="1" customWidth="1"/>
    <col min="13575" max="13577" width="11.25" style="3545" customWidth="1"/>
    <col min="13578" max="13578" width="14.25" style="3545" customWidth="1"/>
    <col min="13579" max="13579" width="11.25" style="3545" customWidth="1"/>
    <col min="13580" max="13580" width="16.125" style="3545" bestFit="1" customWidth="1"/>
    <col min="13581" max="13582" width="11.25" style="3545" customWidth="1"/>
    <col min="13583" max="13583" width="60.875" style="3545" bestFit="1" customWidth="1"/>
    <col min="13584" max="13824" width="9" style="3545"/>
    <col min="13825" max="13825" width="5.5" style="3545" customWidth="1"/>
    <col min="13826" max="13826" width="11.25" style="3545" customWidth="1"/>
    <col min="13827" max="13827" width="32.125" style="3545" bestFit="1" customWidth="1"/>
    <col min="13828" max="13828" width="13" style="3545" bestFit="1" customWidth="1"/>
    <col min="13829" max="13829" width="11.25" style="3545" customWidth="1"/>
    <col min="13830" max="13830" width="12.75" style="3545" bestFit="1" customWidth="1"/>
    <col min="13831" max="13833" width="11.25" style="3545" customWidth="1"/>
    <col min="13834" max="13834" width="14.25" style="3545" customWidth="1"/>
    <col min="13835" max="13835" width="11.25" style="3545" customWidth="1"/>
    <col min="13836" max="13836" width="16.125" style="3545" bestFit="1" customWidth="1"/>
    <col min="13837" max="13838" width="11.25" style="3545" customWidth="1"/>
    <col min="13839" max="13839" width="60.875" style="3545" bestFit="1" customWidth="1"/>
    <col min="13840" max="14080" width="9" style="3545"/>
    <col min="14081" max="14081" width="5.5" style="3545" customWidth="1"/>
    <col min="14082" max="14082" width="11.25" style="3545" customWidth="1"/>
    <col min="14083" max="14083" width="32.125" style="3545" bestFit="1" customWidth="1"/>
    <col min="14084" max="14084" width="13" style="3545" bestFit="1" customWidth="1"/>
    <col min="14085" max="14085" width="11.25" style="3545" customWidth="1"/>
    <col min="14086" max="14086" width="12.75" style="3545" bestFit="1" customWidth="1"/>
    <col min="14087" max="14089" width="11.25" style="3545" customWidth="1"/>
    <col min="14090" max="14090" width="14.25" style="3545" customWidth="1"/>
    <col min="14091" max="14091" width="11.25" style="3545" customWidth="1"/>
    <col min="14092" max="14092" width="16.125" style="3545" bestFit="1" customWidth="1"/>
    <col min="14093" max="14094" width="11.25" style="3545" customWidth="1"/>
    <col min="14095" max="14095" width="60.875" style="3545" bestFit="1" customWidth="1"/>
    <col min="14096" max="14336" width="9" style="3545"/>
    <col min="14337" max="14337" width="5.5" style="3545" customWidth="1"/>
    <col min="14338" max="14338" width="11.25" style="3545" customWidth="1"/>
    <col min="14339" max="14339" width="32.125" style="3545" bestFit="1" customWidth="1"/>
    <col min="14340" max="14340" width="13" style="3545" bestFit="1" customWidth="1"/>
    <col min="14341" max="14341" width="11.25" style="3545" customWidth="1"/>
    <col min="14342" max="14342" width="12.75" style="3545" bestFit="1" customWidth="1"/>
    <col min="14343" max="14345" width="11.25" style="3545" customWidth="1"/>
    <col min="14346" max="14346" width="14.25" style="3545" customWidth="1"/>
    <col min="14347" max="14347" width="11.25" style="3545" customWidth="1"/>
    <col min="14348" max="14348" width="16.125" style="3545" bestFit="1" customWidth="1"/>
    <col min="14349" max="14350" width="11.25" style="3545" customWidth="1"/>
    <col min="14351" max="14351" width="60.875" style="3545" bestFit="1" customWidth="1"/>
    <col min="14352" max="14592" width="9" style="3545"/>
    <col min="14593" max="14593" width="5.5" style="3545" customWidth="1"/>
    <col min="14594" max="14594" width="11.25" style="3545" customWidth="1"/>
    <col min="14595" max="14595" width="32.125" style="3545" bestFit="1" customWidth="1"/>
    <col min="14596" max="14596" width="13" style="3545" bestFit="1" customWidth="1"/>
    <col min="14597" max="14597" width="11.25" style="3545" customWidth="1"/>
    <col min="14598" max="14598" width="12.75" style="3545" bestFit="1" customWidth="1"/>
    <col min="14599" max="14601" width="11.25" style="3545" customWidth="1"/>
    <col min="14602" max="14602" width="14.25" style="3545" customWidth="1"/>
    <col min="14603" max="14603" width="11.25" style="3545" customWidth="1"/>
    <col min="14604" max="14604" width="16.125" style="3545" bestFit="1" customWidth="1"/>
    <col min="14605" max="14606" width="11.25" style="3545" customWidth="1"/>
    <col min="14607" max="14607" width="60.875" style="3545" bestFit="1" customWidth="1"/>
    <col min="14608" max="14848" width="9" style="3545"/>
    <col min="14849" max="14849" width="5.5" style="3545" customWidth="1"/>
    <col min="14850" max="14850" width="11.25" style="3545" customWidth="1"/>
    <col min="14851" max="14851" width="32.125" style="3545" bestFit="1" customWidth="1"/>
    <col min="14852" max="14852" width="13" style="3545" bestFit="1" customWidth="1"/>
    <col min="14853" max="14853" width="11.25" style="3545" customWidth="1"/>
    <col min="14854" max="14854" width="12.75" style="3545" bestFit="1" customWidth="1"/>
    <col min="14855" max="14857" width="11.25" style="3545" customWidth="1"/>
    <col min="14858" max="14858" width="14.25" style="3545" customWidth="1"/>
    <col min="14859" max="14859" width="11.25" style="3545" customWidth="1"/>
    <col min="14860" max="14860" width="16.125" style="3545" bestFit="1" customWidth="1"/>
    <col min="14861" max="14862" width="11.25" style="3545" customWidth="1"/>
    <col min="14863" max="14863" width="60.875" style="3545" bestFit="1" customWidth="1"/>
    <col min="14864" max="15104" width="9" style="3545"/>
    <col min="15105" max="15105" width="5.5" style="3545" customWidth="1"/>
    <col min="15106" max="15106" width="11.25" style="3545" customWidth="1"/>
    <col min="15107" max="15107" width="32.125" style="3545" bestFit="1" customWidth="1"/>
    <col min="15108" max="15108" width="13" style="3545" bestFit="1" customWidth="1"/>
    <col min="15109" max="15109" width="11.25" style="3545" customWidth="1"/>
    <col min="15110" max="15110" width="12.75" style="3545" bestFit="1" customWidth="1"/>
    <col min="15111" max="15113" width="11.25" style="3545" customWidth="1"/>
    <col min="15114" max="15114" width="14.25" style="3545" customWidth="1"/>
    <col min="15115" max="15115" width="11.25" style="3545" customWidth="1"/>
    <col min="15116" max="15116" width="16.125" style="3545" bestFit="1" customWidth="1"/>
    <col min="15117" max="15118" width="11.25" style="3545" customWidth="1"/>
    <col min="15119" max="15119" width="60.875" style="3545" bestFit="1" customWidth="1"/>
    <col min="15120" max="15360" width="9" style="3545"/>
    <col min="15361" max="15361" width="5.5" style="3545" customWidth="1"/>
    <col min="15362" max="15362" width="11.25" style="3545" customWidth="1"/>
    <col min="15363" max="15363" width="32.125" style="3545" bestFit="1" customWidth="1"/>
    <col min="15364" max="15364" width="13" style="3545" bestFit="1" customWidth="1"/>
    <col min="15365" max="15365" width="11.25" style="3545" customWidth="1"/>
    <col min="15366" max="15366" width="12.75" style="3545" bestFit="1" customWidth="1"/>
    <col min="15367" max="15369" width="11.25" style="3545" customWidth="1"/>
    <col min="15370" max="15370" width="14.25" style="3545" customWidth="1"/>
    <col min="15371" max="15371" width="11.25" style="3545" customWidth="1"/>
    <col min="15372" max="15372" width="16.125" style="3545" bestFit="1" customWidth="1"/>
    <col min="15373" max="15374" width="11.25" style="3545" customWidth="1"/>
    <col min="15375" max="15375" width="60.875" style="3545" bestFit="1" customWidth="1"/>
    <col min="15376" max="15616" width="9" style="3545"/>
    <col min="15617" max="15617" width="5.5" style="3545" customWidth="1"/>
    <col min="15618" max="15618" width="11.25" style="3545" customWidth="1"/>
    <col min="15619" max="15619" width="32.125" style="3545" bestFit="1" customWidth="1"/>
    <col min="15620" max="15620" width="13" style="3545" bestFit="1" customWidth="1"/>
    <col min="15621" max="15621" width="11.25" style="3545" customWidth="1"/>
    <col min="15622" max="15622" width="12.75" style="3545" bestFit="1" customWidth="1"/>
    <col min="15623" max="15625" width="11.25" style="3545" customWidth="1"/>
    <col min="15626" max="15626" width="14.25" style="3545" customWidth="1"/>
    <col min="15627" max="15627" width="11.25" style="3545" customWidth="1"/>
    <col min="15628" max="15628" width="16.125" style="3545" bestFit="1" customWidth="1"/>
    <col min="15629" max="15630" width="11.25" style="3545" customWidth="1"/>
    <col min="15631" max="15631" width="60.875" style="3545" bestFit="1" customWidth="1"/>
    <col min="15632" max="15872" width="9" style="3545"/>
    <col min="15873" max="15873" width="5.5" style="3545" customWidth="1"/>
    <col min="15874" max="15874" width="11.25" style="3545" customWidth="1"/>
    <col min="15875" max="15875" width="32.125" style="3545" bestFit="1" customWidth="1"/>
    <col min="15876" max="15876" width="13" style="3545" bestFit="1" customWidth="1"/>
    <col min="15877" max="15877" width="11.25" style="3545" customWidth="1"/>
    <col min="15878" max="15878" width="12.75" style="3545" bestFit="1" customWidth="1"/>
    <col min="15879" max="15881" width="11.25" style="3545" customWidth="1"/>
    <col min="15882" max="15882" width="14.25" style="3545" customWidth="1"/>
    <col min="15883" max="15883" width="11.25" style="3545" customWidth="1"/>
    <col min="15884" max="15884" width="16.125" style="3545" bestFit="1" customWidth="1"/>
    <col min="15885" max="15886" width="11.25" style="3545" customWidth="1"/>
    <col min="15887" max="15887" width="60.875" style="3545" bestFit="1" customWidth="1"/>
    <col min="15888" max="16128" width="9" style="3545"/>
    <col min="16129" max="16129" width="5.5" style="3545" customWidth="1"/>
    <col min="16130" max="16130" width="11.25" style="3545" customWidth="1"/>
    <col min="16131" max="16131" width="32.125" style="3545" bestFit="1" customWidth="1"/>
    <col min="16132" max="16132" width="13" style="3545" bestFit="1" customWidth="1"/>
    <col min="16133" max="16133" width="11.25" style="3545" customWidth="1"/>
    <col min="16134" max="16134" width="12.75" style="3545" bestFit="1" customWidth="1"/>
    <col min="16135" max="16137" width="11.25" style="3545" customWidth="1"/>
    <col min="16138" max="16138" width="14.25" style="3545" customWidth="1"/>
    <col min="16139" max="16139" width="11.25" style="3545" customWidth="1"/>
    <col min="16140" max="16140" width="16.125" style="3545" bestFit="1" customWidth="1"/>
    <col min="16141" max="16142" width="11.25" style="3545" customWidth="1"/>
    <col min="16143" max="16143" width="60.875" style="3545" bestFit="1" customWidth="1"/>
    <col min="16144" max="16384" width="9" style="3545"/>
  </cols>
  <sheetData>
    <row r="1" spans="1:76">
      <c r="A1" s="3545" t="s">
        <v>3614</v>
      </c>
      <c r="B1" s="3545" t="s">
        <v>3616</v>
      </c>
      <c r="C1" s="3545" t="s">
        <v>3615</v>
      </c>
      <c r="D1" s="3545" t="s">
        <v>3619</v>
      </c>
      <c r="E1" s="3545" t="s">
        <v>3620</v>
      </c>
      <c r="F1" s="3545" t="s">
        <v>3622</v>
      </c>
      <c r="G1" s="3545" t="s">
        <v>3623</v>
      </c>
      <c r="H1" s="3545" t="s">
        <v>3625</v>
      </c>
      <c r="I1" s="3545" t="s">
        <v>3626</v>
      </c>
      <c r="J1" s="3545" t="s">
        <v>3627</v>
      </c>
    </row>
    <row r="2" spans="1:76">
      <c r="A2" s="3545">
        <v>1</v>
      </c>
      <c r="B2" s="3545" t="s">
        <v>3617</v>
      </c>
      <c r="C2" s="3545" t="s">
        <v>3618</v>
      </c>
      <c r="D2" s="3545">
        <v>420</v>
      </c>
      <c r="E2" s="3545" t="s">
        <v>3621</v>
      </c>
      <c r="F2" s="3545">
        <v>370.4</v>
      </c>
      <c r="G2" s="3545" t="s">
        <v>3624</v>
      </c>
      <c r="H2" s="3545">
        <f>14*(1+5%)</f>
        <v>14.700000000000001</v>
      </c>
      <c r="I2" s="3545" t="s">
        <v>3633</v>
      </c>
      <c r="J2" s="3545" t="s">
        <v>3628</v>
      </c>
      <c r="K2" s="3545">
        <f>3.2/30</f>
        <v>0.10666666666666667</v>
      </c>
    </row>
    <row r="3" spans="1:76">
      <c r="A3" s="3545">
        <v>2</v>
      </c>
      <c r="B3" s="3545" t="s">
        <v>3629</v>
      </c>
      <c r="C3" s="3545" t="s">
        <v>3630</v>
      </c>
      <c r="D3" s="3545">
        <f>654.11+657.17</f>
        <v>1311.28</v>
      </c>
      <c r="E3" s="3545" t="s">
        <v>3631</v>
      </c>
      <c r="G3" s="3545" t="s">
        <v>3632</v>
      </c>
      <c r="H3" s="3545">
        <f>ROUND(475*10000/D3/365*(1+5%),1)</f>
        <v>10.4</v>
      </c>
      <c r="I3" s="3545" t="s">
        <v>3634</v>
      </c>
      <c r="J3" s="3545" t="s">
        <v>3628</v>
      </c>
    </row>
    <row r="4" spans="1:76" s="3564" customFormat="1" ht="13.5">
      <c r="A4" s="3566">
        <v>3</v>
      </c>
      <c r="B4" s="3566" t="s">
        <v>3636</v>
      </c>
      <c r="C4" s="3566" t="s">
        <v>3635</v>
      </c>
      <c r="D4" s="3566">
        <v>464.13</v>
      </c>
      <c r="E4" s="3564" t="s">
        <v>3504</v>
      </c>
      <c r="F4" s="3565"/>
      <c r="H4" s="3566">
        <v>17.503500000000003</v>
      </c>
    </row>
    <row r="5" spans="1:76" s="3564" customFormat="1" ht="13.5">
      <c r="A5" s="3566">
        <v>4</v>
      </c>
      <c r="B5" s="3566" t="s">
        <v>3637</v>
      </c>
      <c r="C5" s="3566" t="s">
        <v>3635</v>
      </c>
      <c r="D5" s="3566">
        <v>465.33</v>
      </c>
      <c r="E5" s="3564" t="s">
        <v>3504</v>
      </c>
      <c r="F5" s="3565"/>
      <c r="H5" s="3566">
        <v>19.11</v>
      </c>
    </row>
    <row r="6" spans="1:76">
      <c r="A6" s="3545">
        <v>5</v>
      </c>
      <c r="C6" s="3545" t="str">
        <f>C12</f>
        <v>石景山区玉泉西里二区</v>
      </c>
      <c r="D6" s="3545">
        <f>AS11</f>
        <v>300</v>
      </c>
      <c r="E6" s="3545" t="s">
        <v>3621</v>
      </c>
      <c r="H6" s="3545">
        <f>AX11</f>
        <v>10</v>
      </c>
    </row>
    <row r="7" spans="1:76" ht="12.75" thickBot="1">
      <c r="A7" s="3545">
        <v>6</v>
      </c>
      <c r="B7" s="3545" t="s">
        <v>3756</v>
      </c>
      <c r="C7" s="3607" t="s">
        <v>3755</v>
      </c>
      <c r="D7" s="3545">
        <v>500</v>
      </c>
      <c r="E7" s="3545" t="s">
        <v>3621</v>
      </c>
      <c r="H7" s="3545">
        <v>9</v>
      </c>
    </row>
    <row r="8" spans="1:76" s="3568" customFormat="1" ht="15" thickBot="1">
      <c r="A8" s="3608">
        <v>5</v>
      </c>
      <c r="B8" s="3608" t="s">
        <v>3757</v>
      </c>
      <c r="C8" s="3608">
        <v>500</v>
      </c>
      <c r="D8" s="3608" t="s">
        <v>3504</v>
      </c>
      <c r="E8" s="3608">
        <v>10.5</v>
      </c>
      <c r="F8" s="3608" t="s">
        <v>3758</v>
      </c>
      <c r="G8" s="3908" t="s">
        <v>3580</v>
      </c>
      <c r="H8" s="3908" t="s">
        <v>3581</v>
      </c>
      <c r="I8" s="3916" t="s">
        <v>3582</v>
      </c>
      <c r="J8" s="3918" t="s">
        <v>3643</v>
      </c>
      <c r="K8" s="3920" t="s">
        <v>3644</v>
      </c>
      <c r="L8" s="3921"/>
      <c r="M8" s="3921" t="s">
        <v>3645</v>
      </c>
      <c r="N8" s="3921"/>
      <c r="O8" s="3921" t="s">
        <v>3646</v>
      </c>
      <c r="P8" s="3921"/>
      <c r="Q8" s="3921" t="s">
        <v>3647</v>
      </c>
      <c r="R8" s="3921"/>
      <c r="S8" s="3921"/>
      <c r="T8" s="3921"/>
      <c r="U8" s="3921" t="s">
        <v>3648</v>
      </c>
      <c r="V8" s="3921"/>
      <c r="W8" s="3921"/>
      <c r="X8" s="3921"/>
      <c r="Y8" s="3921"/>
      <c r="Z8" s="3921" t="s">
        <v>3649</v>
      </c>
      <c r="AA8" s="3921"/>
      <c r="AB8" s="3921" t="s">
        <v>3650</v>
      </c>
      <c r="AC8" s="3921"/>
      <c r="AD8" s="3921" t="s">
        <v>3651</v>
      </c>
      <c r="AE8" s="3921"/>
      <c r="AF8" s="3921" t="s">
        <v>3652</v>
      </c>
      <c r="AG8" s="3921"/>
      <c r="AH8" s="3921" t="s">
        <v>3653</v>
      </c>
      <c r="AI8" s="3921"/>
      <c r="AJ8" s="3922" t="s">
        <v>3654</v>
      </c>
      <c r="AK8" s="3924" t="s">
        <v>3655</v>
      </c>
      <c r="AL8" s="3925"/>
      <c r="AM8" s="3925" t="s">
        <v>3656</v>
      </c>
      <c r="AN8" s="3925"/>
      <c r="AO8" s="3925" t="s">
        <v>3657</v>
      </c>
      <c r="AP8" s="3925"/>
      <c r="AQ8" s="3925" t="s">
        <v>3658</v>
      </c>
      <c r="AR8" s="3925"/>
      <c r="AS8" s="3925"/>
      <c r="AT8" s="3925"/>
      <c r="AU8" s="3925"/>
      <c r="AV8" s="3926" t="s">
        <v>3659</v>
      </c>
      <c r="AW8" s="3926" t="s">
        <v>3660</v>
      </c>
      <c r="AX8" s="3925" t="s">
        <v>3661</v>
      </c>
      <c r="AY8" s="3925"/>
      <c r="AZ8" s="3925"/>
      <c r="BA8" s="3925"/>
      <c r="BB8" s="3925"/>
      <c r="BC8" s="3567" t="s">
        <v>3662</v>
      </c>
      <c r="BD8" s="3925" t="s">
        <v>3663</v>
      </c>
      <c r="BE8" s="3925"/>
      <c r="BF8" s="3925"/>
      <c r="BG8" s="3925" t="s">
        <v>3664</v>
      </c>
      <c r="BH8" s="3925" t="s">
        <v>3665</v>
      </c>
      <c r="BI8" s="3925"/>
      <c r="BJ8" s="3925" t="s">
        <v>3666</v>
      </c>
      <c r="BK8" s="3925" t="s">
        <v>3667</v>
      </c>
      <c r="BL8" s="3925"/>
      <c r="BM8" s="3925" t="s">
        <v>3668</v>
      </c>
      <c r="BN8" s="3931"/>
      <c r="BO8" s="3932" t="s">
        <v>3669</v>
      </c>
      <c r="BP8" s="3933"/>
      <c r="BQ8" s="3933"/>
      <c r="BR8" s="3933"/>
      <c r="BS8" s="3934"/>
      <c r="BT8" s="3935" t="s">
        <v>3670</v>
      </c>
      <c r="BU8" s="3929" t="s">
        <v>3671</v>
      </c>
      <c r="BV8" s="3929" t="s">
        <v>3672</v>
      </c>
      <c r="BW8" s="3929" t="s">
        <v>3673</v>
      </c>
      <c r="BX8" s="3929" t="s">
        <v>3674</v>
      </c>
    </row>
    <row r="9" spans="1:76" s="3568" customFormat="1" ht="32.25" thickBot="1">
      <c r="A9" s="3910" t="s">
        <v>3638</v>
      </c>
      <c r="B9" s="3912" t="s">
        <v>3639</v>
      </c>
      <c r="C9" s="3914" t="s">
        <v>3640</v>
      </c>
      <c r="D9" s="3914"/>
      <c r="E9" s="3914" t="s">
        <v>3641</v>
      </c>
      <c r="F9" s="3914" t="s">
        <v>3642</v>
      </c>
      <c r="G9" s="3909"/>
      <c r="H9" s="3909"/>
      <c r="I9" s="3917"/>
      <c r="J9" s="3919"/>
      <c r="K9" s="3571" t="s">
        <v>3677</v>
      </c>
      <c r="L9" s="3572" t="s">
        <v>3678</v>
      </c>
      <c r="M9" s="3573" t="s">
        <v>3679</v>
      </c>
      <c r="N9" s="3573" t="s">
        <v>3680</v>
      </c>
      <c r="O9" s="3572" t="s">
        <v>3681</v>
      </c>
      <c r="P9" s="3572" t="s">
        <v>3682</v>
      </c>
      <c r="Q9" s="3573" t="s">
        <v>3683</v>
      </c>
      <c r="R9" s="3573" t="s">
        <v>3684</v>
      </c>
      <c r="S9" s="3572" t="s">
        <v>3685</v>
      </c>
      <c r="T9" s="3572" t="s">
        <v>3686</v>
      </c>
      <c r="U9" s="3572" t="s">
        <v>3687</v>
      </c>
      <c r="V9" s="3572" t="s">
        <v>3688</v>
      </c>
      <c r="W9" s="3572" t="s">
        <v>3689</v>
      </c>
      <c r="X9" s="3572" t="s">
        <v>3690</v>
      </c>
      <c r="Y9" s="3572" t="s">
        <v>3691</v>
      </c>
      <c r="Z9" s="3572" t="s">
        <v>3692</v>
      </c>
      <c r="AA9" s="3572" t="s">
        <v>3693</v>
      </c>
      <c r="AB9" s="3573" t="s">
        <v>3694</v>
      </c>
      <c r="AC9" s="3572" t="s">
        <v>3695</v>
      </c>
      <c r="AD9" s="3573" t="s">
        <v>3696</v>
      </c>
      <c r="AE9" s="3573" t="s">
        <v>3697</v>
      </c>
      <c r="AF9" s="3573" t="s">
        <v>3698</v>
      </c>
      <c r="AG9" s="3573" t="s">
        <v>3695</v>
      </c>
      <c r="AH9" s="3573" t="s">
        <v>3699</v>
      </c>
      <c r="AI9" s="3573" t="s">
        <v>3700</v>
      </c>
      <c r="AJ9" s="3923"/>
      <c r="AK9" s="3574" t="s">
        <v>3701</v>
      </c>
      <c r="AL9" s="3575" t="s">
        <v>3702</v>
      </c>
      <c r="AM9" s="3575" t="s">
        <v>3703</v>
      </c>
      <c r="AN9" s="3575" t="s">
        <v>3704</v>
      </c>
      <c r="AO9" s="3575" t="s">
        <v>3705</v>
      </c>
      <c r="AP9" s="3576" t="s">
        <v>3695</v>
      </c>
      <c r="AQ9" s="3576" t="s">
        <v>3706</v>
      </c>
      <c r="AR9" s="3575" t="s">
        <v>3707</v>
      </c>
      <c r="AS9" s="3575" t="s">
        <v>3708</v>
      </c>
      <c r="AT9" s="3575" t="s">
        <v>3709</v>
      </c>
      <c r="AU9" s="3576" t="s">
        <v>3710</v>
      </c>
      <c r="AV9" s="3927"/>
      <c r="AW9" s="3927"/>
      <c r="AX9" s="3577" t="s">
        <v>3711</v>
      </c>
      <c r="AY9" s="3577" t="s">
        <v>3712</v>
      </c>
      <c r="AZ9" s="3578" t="s">
        <v>3713</v>
      </c>
      <c r="BA9" s="3578" t="s">
        <v>3714</v>
      </c>
      <c r="BB9" s="3578" t="s">
        <v>3715</v>
      </c>
      <c r="BC9" s="3577"/>
      <c r="BD9" s="3575" t="s">
        <v>3716</v>
      </c>
      <c r="BE9" s="3575" t="s">
        <v>3717</v>
      </c>
      <c r="BF9" s="3575" t="s">
        <v>3718</v>
      </c>
      <c r="BG9" s="3928"/>
      <c r="BH9" s="3575" t="s">
        <v>3719</v>
      </c>
      <c r="BI9" s="3575" t="s">
        <v>3720</v>
      </c>
      <c r="BJ9" s="3928"/>
      <c r="BK9" s="3576" t="s">
        <v>3721</v>
      </c>
      <c r="BL9" s="3575" t="s">
        <v>3722</v>
      </c>
      <c r="BM9" s="3575" t="s">
        <v>3723</v>
      </c>
      <c r="BN9" s="3579" t="s">
        <v>3724</v>
      </c>
      <c r="BO9" s="3580" t="s">
        <v>3725</v>
      </c>
      <c r="BP9" s="3581" t="s">
        <v>3726</v>
      </c>
      <c r="BQ9" s="3580" t="s">
        <v>3727</v>
      </c>
      <c r="BR9" s="3580" t="s">
        <v>3728</v>
      </c>
      <c r="BS9" s="3582" t="s">
        <v>3729</v>
      </c>
      <c r="BT9" s="3936"/>
      <c r="BU9" s="3930"/>
      <c r="BV9" s="3930"/>
      <c r="BW9" s="3930"/>
      <c r="BX9" s="3930"/>
    </row>
    <row r="10" spans="1:76" s="3012" customFormat="1" ht="14.25" thickBot="1">
      <c r="A10" s="3911"/>
      <c r="B10" s="3913"/>
      <c r="C10" s="3569" t="s">
        <v>3675</v>
      </c>
      <c r="D10" s="3570" t="s">
        <v>3676</v>
      </c>
      <c r="E10" s="3915"/>
      <c r="F10" s="3915"/>
      <c r="G10" s="3585" t="s">
        <v>3737</v>
      </c>
      <c r="H10" s="3586" t="s">
        <v>3738</v>
      </c>
      <c r="I10" s="3587" t="s">
        <v>3583</v>
      </c>
      <c r="J10" s="3588" t="s">
        <v>3575</v>
      </c>
      <c r="K10" s="3589" t="s">
        <v>3739</v>
      </c>
      <c r="L10" s="3590" t="s">
        <v>673</v>
      </c>
      <c r="M10" s="3591" t="s">
        <v>3584</v>
      </c>
      <c r="N10" s="3590" t="s">
        <v>3576</v>
      </c>
      <c r="O10" s="3590" t="s">
        <v>3587</v>
      </c>
      <c r="P10" s="3590" t="s">
        <v>3731</v>
      </c>
      <c r="Q10" s="3546">
        <v>2</v>
      </c>
      <c r="R10" s="3546">
        <v>1</v>
      </c>
      <c r="S10" s="3546">
        <v>1</v>
      </c>
      <c r="T10" s="3590" t="s">
        <v>3731</v>
      </c>
      <c r="U10" s="3590" t="s">
        <v>3577</v>
      </c>
      <c r="V10" s="3546">
        <v>20</v>
      </c>
      <c r="W10" s="3546">
        <v>20</v>
      </c>
      <c r="X10" s="3546" t="s">
        <v>3731</v>
      </c>
      <c r="Y10" s="3546" t="s">
        <v>3731</v>
      </c>
      <c r="Z10" s="3546">
        <v>3</v>
      </c>
      <c r="AA10" s="3546" t="s">
        <v>3731</v>
      </c>
      <c r="AB10" s="3546">
        <v>2006</v>
      </c>
      <c r="AC10" s="3546" t="s">
        <v>3731</v>
      </c>
      <c r="AD10" s="3546" t="s">
        <v>3731</v>
      </c>
      <c r="AE10" s="3546" t="s">
        <v>3731</v>
      </c>
      <c r="AF10" s="3546" t="s">
        <v>3731</v>
      </c>
      <c r="AG10" s="3546" t="s">
        <v>3731</v>
      </c>
      <c r="AH10" s="3546" t="s">
        <v>3731</v>
      </c>
      <c r="AI10" s="3546" t="s">
        <v>3731</v>
      </c>
      <c r="AJ10" s="3600" t="s">
        <v>3731</v>
      </c>
      <c r="AK10" s="3592" t="s">
        <v>3740</v>
      </c>
      <c r="AL10" s="3592" t="s">
        <v>3741</v>
      </c>
      <c r="AM10" s="3590" t="s">
        <v>3585</v>
      </c>
      <c r="AN10" s="3590" t="s">
        <v>3731</v>
      </c>
      <c r="AO10" s="3592" t="s">
        <v>3731</v>
      </c>
      <c r="AP10" s="3592" t="s">
        <v>3731</v>
      </c>
      <c r="AQ10" s="3592">
        <v>420</v>
      </c>
      <c r="AR10" s="3593">
        <v>400</v>
      </c>
      <c r="AS10" s="3592">
        <v>420</v>
      </c>
      <c r="AT10" s="3594">
        <f t="shared" ref="AT10:AT11" si="0">IF(OR(AQ10=0,AR10=0,AS10=0),"/",AR10/AS10)</f>
        <v>0.95238095238095233</v>
      </c>
      <c r="AU10" s="3593">
        <v>0.95</v>
      </c>
      <c r="AV10" s="3590" t="s">
        <v>3588</v>
      </c>
      <c r="AW10" s="3595" t="s">
        <v>3570</v>
      </c>
      <c r="AX10" s="3592">
        <v>14</v>
      </c>
      <c r="AY10" s="3596">
        <f t="shared" ref="AY10:AY11" si="1">ROUND((AX10-BA10/30-BB10)/(1+AZ10),2)</f>
        <v>13.23</v>
      </c>
      <c r="AZ10" s="3590">
        <v>0.05</v>
      </c>
      <c r="BA10" s="3592">
        <v>3.2</v>
      </c>
      <c r="BB10" s="3592">
        <v>0</v>
      </c>
      <c r="BC10" s="3593" t="s">
        <v>3731</v>
      </c>
      <c r="BD10" s="3592">
        <v>43279</v>
      </c>
      <c r="BE10" s="3592">
        <v>45470</v>
      </c>
      <c r="BF10" s="3592">
        <v>6</v>
      </c>
      <c r="BG10" s="3592">
        <v>2</v>
      </c>
      <c r="BH10" s="3592" t="s">
        <v>3742</v>
      </c>
      <c r="BI10" s="3592">
        <v>0.01</v>
      </c>
      <c r="BJ10" s="3592" t="s">
        <v>3731</v>
      </c>
      <c r="BK10" s="3590" t="s">
        <v>3579</v>
      </c>
      <c r="BL10" s="3592">
        <v>43279</v>
      </c>
      <c r="BM10" s="3590" t="s">
        <v>3556</v>
      </c>
      <c r="BN10" s="3601" t="s">
        <v>3731</v>
      </c>
      <c r="BO10" s="3597" t="s">
        <v>3731</v>
      </c>
      <c r="BP10" s="3591" t="s">
        <v>3731</v>
      </c>
      <c r="BQ10" s="3598" t="s">
        <v>3731</v>
      </c>
      <c r="BR10" s="3598" t="s">
        <v>3731</v>
      </c>
      <c r="BS10" s="3602" t="s">
        <v>3731</v>
      </c>
      <c r="BT10" s="3599" t="s">
        <v>3731</v>
      </c>
      <c r="BU10" s="3599" t="s">
        <v>3732</v>
      </c>
      <c r="BV10" s="3599">
        <v>45030</v>
      </c>
      <c r="BW10" s="3599" t="s">
        <v>3743</v>
      </c>
      <c r="BX10" s="3599">
        <v>45034</v>
      </c>
    </row>
    <row r="11" spans="1:76" s="3012" customFormat="1" ht="14.25" thickBot="1">
      <c r="A11" s="3583" t="s">
        <v>3734</v>
      </c>
      <c r="B11" s="3584" t="s">
        <v>3735</v>
      </c>
      <c r="C11" s="3585" t="s">
        <v>3736</v>
      </c>
      <c r="D11" s="3585" t="s">
        <v>3736</v>
      </c>
      <c r="E11" s="3585" t="s">
        <v>3733</v>
      </c>
      <c r="F11" s="3585" t="s">
        <v>3733</v>
      </c>
      <c r="G11" s="3585" t="s">
        <v>3737</v>
      </c>
      <c r="H11" s="3586" t="s">
        <v>3738</v>
      </c>
      <c r="I11" s="3587" t="s">
        <v>3583</v>
      </c>
      <c r="J11" s="3588" t="s">
        <v>3586</v>
      </c>
      <c r="K11" s="3589" t="s">
        <v>3730</v>
      </c>
      <c r="L11" s="3590" t="s">
        <v>673</v>
      </c>
      <c r="M11" s="3591" t="s">
        <v>3584</v>
      </c>
      <c r="N11" s="3590" t="s">
        <v>3731</v>
      </c>
      <c r="O11" s="3590" t="s">
        <v>3587</v>
      </c>
      <c r="P11" s="3590" t="s">
        <v>3731</v>
      </c>
      <c r="Q11" s="3546" t="s">
        <v>3731</v>
      </c>
      <c r="R11" s="3546" t="s">
        <v>3731</v>
      </c>
      <c r="S11" s="3546">
        <v>1</v>
      </c>
      <c r="T11" s="3590" t="s">
        <v>3731</v>
      </c>
      <c r="U11" s="3590" t="s">
        <v>3577</v>
      </c>
      <c r="V11" s="3546" t="s">
        <v>3731</v>
      </c>
      <c r="W11" s="3546" t="s">
        <v>3731</v>
      </c>
      <c r="X11" s="3546" t="s">
        <v>3731</v>
      </c>
      <c r="Y11" s="3546" t="s">
        <v>3731</v>
      </c>
      <c r="Z11" s="3546">
        <v>3</v>
      </c>
      <c r="AA11" s="3546" t="s">
        <v>3731</v>
      </c>
      <c r="AB11" s="3546" t="s">
        <v>3731</v>
      </c>
      <c r="AC11" s="3546">
        <v>2006</v>
      </c>
      <c r="AD11" s="3546" t="s">
        <v>3731</v>
      </c>
      <c r="AE11" s="3546" t="s">
        <v>3731</v>
      </c>
      <c r="AF11" s="3546" t="s">
        <v>3731</v>
      </c>
      <c r="AG11" s="3546" t="s">
        <v>3731</v>
      </c>
      <c r="AH11" s="3546" t="s">
        <v>3731</v>
      </c>
      <c r="AI11" s="3546" t="s">
        <v>3731</v>
      </c>
      <c r="AJ11" s="3600" t="s">
        <v>3731</v>
      </c>
      <c r="AK11" s="3592" t="s">
        <v>3731</v>
      </c>
      <c r="AL11" s="3592" t="s">
        <v>3731</v>
      </c>
      <c r="AM11" s="3590" t="s">
        <v>3731</v>
      </c>
      <c r="AN11" s="3590" t="s">
        <v>3731</v>
      </c>
      <c r="AO11" s="3592" t="s">
        <v>3731</v>
      </c>
      <c r="AP11" s="3592" t="s">
        <v>3731</v>
      </c>
      <c r="AQ11" s="3592">
        <v>300</v>
      </c>
      <c r="AR11" s="3593">
        <v>220</v>
      </c>
      <c r="AS11" s="3592">
        <v>300</v>
      </c>
      <c r="AT11" s="3594">
        <f t="shared" si="0"/>
        <v>0.73333333333333328</v>
      </c>
      <c r="AU11" s="3593">
        <v>0.75</v>
      </c>
      <c r="AV11" s="3590" t="s">
        <v>3578</v>
      </c>
      <c r="AW11" s="3595" t="s">
        <v>3589</v>
      </c>
      <c r="AX11" s="3592">
        <v>10</v>
      </c>
      <c r="AY11" s="3596">
        <f t="shared" si="1"/>
        <v>9.42</v>
      </c>
      <c r="AZ11" s="3590">
        <v>0.05</v>
      </c>
      <c r="BA11" s="3592">
        <v>3.2</v>
      </c>
      <c r="BB11" s="3592">
        <v>0</v>
      </c>
      <c r="BC11" s="3593" t="s">
        <v>3731</v>
      </c>
      <c r="BD11" s="3592" t="s">
        <v>3731</v>
      </c>
      <c r="BE11" s="3592" t="s">
        <v>3731</v>
      </c>
      <c r="BF11" s="3592" t="s">
        <v>3731</v>
      </c>
      <c r="BG11" s="3592" t="s">
        <v>3731</v>
      </c>
      <c r="BH11" s="3592" t="s">
        <v>3731</v>
      </c>
      <c r="BI11" s="3592" t="s">
        <v>3731</v>
      </c>
      <c r="BJ11" s="3592" t="s">
        <v>3731</v>
      </c>
      <c r="BK11" s="3590" t="s">
        <v>3590</v>
      </c>
      <c r="BL11" s="3592" t="s">
        <v>3731</v>
      </c>
      <c r="BM11" s="3590" t="s">
        <v>3556</v>
      </c>
      <c r="BN11" s="3601" t="s">
        <v>3731</v>
      </c>
      <c r="BO11" s="3597" t="s">
        <v>3731</v>
      </c>
      <c r="BP11" s="3590" t="s">
        <v>3731</v>
      </c>
      <c r="BQ11" s="3598" t="s">
        <v>3731</v>
      </c>
      <c r="BR11" s="3598" t="s">
        <v>3731</v>
      </c>
      <c r="BS11" s="3602" t="s">
        <v>3731</v>
      </c>
      <c r="BT11" s="3599" t="s">
        <v>3745</v>
      </c>
      <c r="BU11" s="3599" t="s">
        <v>3732</v>
      </c>
      <c r="BV11" s="3599">
        <v>45030</v>
      </c>
      <c r="BW11" s="3599" t="s">
        <v>3743</v>
      </c>
      <c r="BX11" s="3599">
        <v>45034</v>
      </c>
    </row>
    <row r="12" spans="1:76" ht="12.75" thickBot="1">
      <c r="A12" s="3583" t="s">
        <v>3734</v>
      </c>
      <c r="B12" s="3584" t="s">
        <v>3735</v>
      </c>
      <c r="C12" s="3585" t="s">
        <v>3744</v>
      </c>
      <c r="D12" s="3585" t="s">
        <v>3744</v>
      </c>
      <c r="E12" s="3585" t="s">
        <v>3733</v>
      </c>
      <c r="F12" s="3585" t="s">
        <v>3733</v>
      </c>
    </row>
    <row r="15" spans="1:76">
      <c r="H15" s="3545" t="s">
        <v>3763</v>
      </c>
      <c r="I15" s="3545" t="s">
        <v>3764</v>
      </c>
      <c r="J15" s="3545" t="s">
        <v>3765</v>
      </c>
      <c r="K15" s="3545" t="s">
        <v>3767</v>
      </c>
      <c r="L15" s="3545" t="s">
        <v>3766</v>
      </c>
      <c r="M15" s="3545" t="s">
        <v>3768</v>
      </c>
      <c r="N15" s="3545" t="s">
        <v>3773</v>
      </c>
    </row>
    <row r="16" spans="1:76">
      <c r="A16" s="3545" t="s">
        <v>3760</v>
      </c>
      <c r="B16" s="3545" t="s">
        <v>3761</v>
      </c>
      <c r="C16" s="3607" t="s">
        <v>3755</v>
      </c>
      <c r="D16" s="3545">
        <v>642</v>
      </c>
      <c r="E16" s="3545">
        <v>1</v>
      </c>
      <c r="G16" s="3545" t="s">
        <v>3762</v>
      </c>
      <c r="H16" s="3545">
        <v>9</v>
      </c>
      <c r="I16" s="3545">
        <f>ROUND(H16*(1+3%),2)</f>
        <v>9.27</v>
      </c>
      <c r="J16" s="3545">
        <f>ROUND(I16*(1+3%),2)</f>
        <v>9.5500000000000007</v>
      </c>
      <c r="K16" s="3545">
        <f>ROUND(J16*(1+3%),2)</f>
        <v>9.84</v>
      </c>
      <c r="L16" s="3545">
        <f>ROUND(K16*(1+3%),2)</f>
        <v>10.14</v>
      </c>
      <c r="M16" s="3545" t="s">
        <v>3769</v>
      </c>
      <c r="N16" s="3564">
        <f>5/30</f>
        <v>0.16666666666666666</v>
      </c>
      <c r="O16" s="3545">
        <f>L16-N16</f>
        <v>9.9733333333333345</v>
      </c>
    </row>
    <row r="17" spans="1:10">
      <c r="A17" s="3545" t="s">
        <v>3770</v>
      </c>
      <c r="B17" s="3545" t="s">
        <v>3771</v>
      </c>
      <c r="C17" s="3607" t="s">
        <v>3755</v>
      </c>
      <c r="D17" s="3545">
        <v>893</v>
      </c>
      <c r="E17" s="3545" t="s">
        <v>3774</v>
      </c>
      <c r="G17" s="3545" t="s">
        <v>3772</v>
      </c>
      <c r="H17" s="3545">
        <v>7.15</v>
      </c>
      <c r="I17" s="3545">
        <v>7.51</v>
      </c>
      <c r="J17" s="3545">
        <v>7.89</v>
      </c>
    </row>
    <row r="19" spans="1:10">
      <c r="E19" s="3545" t="s">
        <v>3775</v>
      </c>
      <c r="F19" s="3545">
        <v>380.25</v>
      </c>
      <c r="G19" s="3545">
        <v>9</v>
      </c>
    </row>
    <row r="20" spans="1:10">
      <c r="E20" s="3545" t="s">
        <v>3776</v>
      </c>
      <c r="F20" s="3545">
        <v>512.75</v>
      </c>
      <c r="G20" s="3545">
        <f>G19*0.65</f>
        <v>5.8500000000000005</v>
      </c>
    </row>
    <row r="21" spans="1:10">
      <c r="G21" s="3545">
        <f>ROUND((G19*F19+G20*F20)/D17,2)</f>
        <v>7.19</v>
      </c>
    </row>
  </sheetData>
  <mergeCells count="39">
    <mergeCell ref="BV8:BV9"/>
    <mergeCell ref="BW8:BW9"/>
    <mergeCell ref="BX8:BX9"/>
    <mergeCell ref="BK8:BL8"/>
    <mergeCell ref="BM8:BN8"/>
    <mergeCell ref="BO8:BS8"/>
    <mergeCell ref="BT8:BT9"/>
    <mergeCell ref="BU8:BU9"/>
    <mergeCell ref="AX8:BB8"/>
    <mergeCell ref="BD8:BF8"/>
    <mergeCell ref="BG8:BG9"/>
    <mergeCell ref="BH8:BI8"/>
    <mergeCell ref="BJ8:BJ9"/>
    <mergeCell ref="AM8:AN8"/>
    <mergeCell ref="AO8:AP8"/>
    <mergeCell ref="AQ8:AU8"/>
    <mergeCell ref="AV8:AV9"/>
    <mergeCell ref="AW8:AW9"/>
    <mergeCell ref="AD8:AE8"/>
    <mergeCell ref="AF8:AG8"/>
    <mergeCell ref="AH8:AI8"/>
    <mergeCell ref="AJ8:AJ9"/>
    <mergeCell ref="AK8:AL8"/>
    <mergeCell ref="O8:P8"/>
    <mergeCell ref="Q8:T8"/>
    <mergeCell ref="U8:Y8"/>
    <mergeCell ref="Z8:AA8"/>
    <mergeCell ref="AB8:AC8"/>
    <mergeCell ref="H8:H9"/>
    <mergeCell ref="I8:I9"/>
    <mergeCell ref="J8:J9"/>
    <mergeCell ref="K8:L8"/>
    <mergeCell ref="M8:N8"/>
    <mergeCell ref="G8:G9"/>
    <mergeCell ref="A9:A10"/>
    <mergeCell ref="B9:B10"/>
    <mergeCell ref="C9:D9"/>
    <mergeCell ref="E9:E10"/>
    <mergeCell ref="F9:F10"/>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49" customWidth="1"/>
    <col min="2" max="2" width="19.375" style="3524" customWidth="1"/>
    <col min="3" max="3" width="10.125" style="3510" customWidth="1"/>
    <col min="4" max="4" width="6.375" style="3510" customWidth="1"/>
    <col min="5" max="5" width="7.375" style="3510" customWidth="1"/>
    <col min="6" max="6" width="6.5" style="3510" customWidth="1"/>
    <col min="7" max="7" width="19.375" style="3525" customWidth="1"/>
    <col min="8" max="8" width="19.5" style="3449" customWidth="1"/>
    <col min="9" max="9" width="8.625" style="3449" customWidth="1"/>
    <col min="10" max="10" width="10.5" style="3445" customWidth="1"/>
    <col min="11" max="11" width="7.75" style="3478" customWidth="1"/>
    <col min="12" max="12" width="16.375" style="3478" customWidth="1"/>
    <col min="13" max="16" width="8.125" style="3449" customWidth="1"/>
    <col min="17" max="17" width="9" style="3449"/>
    <col min="18" max="18" width="20.375" style="3449" customWidth="1"/>
    <col min="19" max="20" width="9" style="3449"/>
    <col min="21" max="21" width="15.625" style="3449" customWidth="1"/>
    <col min="22" max="16384" width="9" style="3449"/>
  </cols>
  <sheetData>
    <row r="1" spans="1:16">
      <c r="A1" s="3937" t="s">
        <v>3373</v>
      </c>
      <c r="B1" s="3937"/>
      <c r="C1" s="3937"/>
      <c r="D1" s="3937"/>
      <c r="E1" s="3937"/>
      <c r="F1" s="3937"/>
      <c r="G1" s="3937"/>
      <c r="H1" s="3937"/>
      <c r="I1" s="3937"/>
      <c r="K1" s="3938" t="s">
        <v>3374</v>
      </c>
      <c r="L1" s="3446" t="s">
        <v>3375</v>
      </c>
      <c r="M1" s="3447">
        <v>0</v>
      </c>
      <c r="N1" s="3448"/>
      <c r="O1" s="3448"/>
    </row>
    <row r="2" spans="1:16" ht="15.75" customHeight="1">
      <c r="A2" s="3450" t="s">
        <v>3376</v>
      </c>
      <c r="B2" s="3451" t="s">
        <v>3377</v>
      </c>
      <c r="C2" s="3939" t="s">
        <v>3378</v>
      </c>
      <c r="D2" s="3940"/>
      <c r="E2" s="3940"/>
      <c r="F2" s="3941"/>
      <c r="G2" s="3452" t="s">
        <v>3379</v>
      </c>
      <c r="H2" s="3942" t="s">
        <v>3380</v>
      </c>
      <c r="I2" s="3942"/>
      <c r="K2" s="3938"/>
      <c r="L2" s="3446" t="s">
        <v>3381</v>
      </c>
      <c r="M2" s="3453" t="s">
        <v>3382</v>
      </c>
      <c r="N2" s="3454"/>
      <c r="O2" s="3454"/>
    </row>
    <row r="3" spans="1:16">
      <c r="A3" s="3455" t="s">
        <v>3383</v>
      </c>
      <c r="B3" s="3456" t="s">
        <v>3384</v>
      </c>
      <c r="C3" s="3939" t="e">
        <f>'比较法-商业售价'!B2*10000</f>
        <v>#DIV/0!</v>
      </c>
      <c r="D3" s="3940"/>
      <c r="E3" s="3940"/>
      <c r="F3" s="3941"/>
      <c r="G3" s="3455" t="s">
        <v>3385</v>
      </c>
      <c r="H3" s="3457" t="s">
        <v>3386</v>
      </c>
      <c r="I3" s="3458">
        <f>'数据-汇总表'!E3</f>
        <v>608.29999999999995</v>
      </c>
      <c r="J3" s="3445" t="e">
        <f>C3/I3</f>
        <v>#DIV/0!</v>
      </c>
      <c r="K3" s="3938"/>
      <c r="L3" s="3446" t="s">
        <v>3387</v>
      </c>
      <c r="M3" s="3453" t="s">
        <v>3388</v>
      </c>
      <c r="N3" s="3454"/>
      <c r="O3" s="3459"/>
    </row>
    <row r="4" spans="1:16">
      <c r="A4" s="3943" t="s">
        <v>3389</v>
      </c>
      <c r="B4" s="3944" t="s">
        <v>3390</v>
      </c>
      <c r="C4" s="3945" t="e">
        <f>ROUND(C3*(I4-I6)/(1-((1+I6)/(1+I4))^I5),0)</f>
        <v>#DIV/0!</v>
      </c>
      <c r="D4" s="3946"/>
      <c r="E4" s="3946"/>
      <c r="F4" s="3947"/>
      <c r="G4" s="3943" t="s">
        <v>3391</v>
      </c>
      <c r="H4" s="3460" t="s">
        <v>3392</v>
      </c>
      <c r="I4" s="3461">
        <v>0.04</v>
      </c>
      <c r="J4" s="3445" t="e">
        <f>'比较法-商业'!C49*365/J3</f>
        <v>#DIV/0!</v>
      </c>
      <c r="K4" s="3938"/>
      <c r="L4" s="3446" t="s">
        <v>3393</v>
      </c>
      <c r="M4" s="3462">
        <f>ROUND(1-(1-M1)*M2/M3,2)</f>
        <v>0.57999999999999996</v>
      </c>
      <c r="N4" s="3454"/>
      <c r="O4" s="3454"/>
    </row>
    <row r="5" spans="1:16" s="3466" customFormat="1" ht="18" customHeight="1">
      <c r="A5" s="3943"/>
      <c r="B5" s="3944"/>
      <c r="C5" s="3948"/>
      <c r="D5" s="3949"/>
      <c r="E5" s="3949"/>
      <c r="F5" s="3950"/>
      <c r="G5" s="3943"/>
      <c r="H5" s="3456" t="s">
        <v>3394</v>
      </c>
      <c r="I5" s="3463">
        <f>'数据-取费表'!F6</f>
        <v>0</v>
      </c>
      <c r="J5" s="3464"/>
      <c r="K5" s="3938"/>
      <c r="L5" s="3446" t="s">
        <v>3395</v>
      </c>
      <c r="M5" s="3465">
        <v>0.5</v>
      </c>
      <c r="N5" s="3454"/>
      <c r="O5" s="3454"/>
    </row>
    <row r="6" spans="1:16" s="3466" customFormat="1" ht="18" customHeight="1">
      <c r="A6" s="3943"/>
      <c r="B6" s="3944"/>
      <c r="C6" s="3951"/>
      <c r="D6" s="3952"/>
      <c r="E6" s="3952"/>
      <c r="F6" s="3953"/>
      <c r="G6" s="3943"/>
      <c r="H6" s="3456" t="s">
        <v>3396</v>
      </c>
      <c r="I6" s="3461">
        <v>0.03</v>
      </c>
      <c r="J6" s="3467"/>
      <c r="K6" s="3954" t="s">
        <v>3397</v>
      </c>
      <c r="L6" s="3468" t="s">
        <v>3398</v>
      </c>
      <c r="M6" s="3469" t="s">
        <v>3399</v>
      </c>
      <c r="N6" s="3469" t="s">
        <v>3400</v>
      </c>
      <c r="O6" s="3469" t="s">
        <v>3401</v>
      </c>
      <c r="P6" s="3469" t="s">
        <v>3402</v>
      </c>
    </row>
    <row r="7" spans="1:16" s="3466" customFormat="1" ht="17.25" customHeight="1">
      <c r="A7" s="3455" t="s">
        <v>3403</v>
      </c>
      <c r="B7" s="3456" t="s">
        <v>3404</v>
      </c>
      <c r="C7" s="3939">
        <f ca="1">ROUND(C23*I7,0)</f>
        <v>3156405</v>
      </c>
      <c r="D7" s="3940"/>
      <c r="E7" s="3940"/>
      <c r="F7" s="3941"/>
      <c r="G7" s="3452" t="s">
        <v>3405</v>
      </c>
      <c r="H7" s="3456" t="s">
        <v>3406</v>
      </c>
      <c r="I7" s="3470">
        <f>'数据-取费表'!N6</f>
        <v>0.77500000000000002</v>
      </c>
      <c r="K7" s="3954"/>
      <c r="L7" s="3468" t="s">
        <v>3407</v>
      </c>
      <c r="M7" s="3469">
        <v>100</v>
      </c>
      <c r="N7" s="3469" t="s">
        <v>3408</v>
      </c>
      <c r="O7" s="3469">
        <v>60</v>
      </c>
      <c r="P7" s="3471">
        <v>0.3</v>
      </c>
    </row>
    <row r="8" spans="1:16" s="3466" customFormat="1" ht="23.25" customHeight="1">
      <c r="A8" s="3450" t="s">
        <v>3409</v>
      </c>
      <c r="B8" s="3456" t="s">
        <v>3410</v>
      </c>
      <c r="C8" s="3939">
        <f>ROUND(I8*I3,0)</f>
        <v>2737350</v>
      </c>
      <c r="D8" s="3940"/>
      <c r="E8" s="3940"/>
      <c r="F8" s="3941"/>
      <c r="G8" s="3452" t="s">
        <v>3411</v>
      </c>
      <c r="H8" s="3456" t="s">
        <v>3412</v>
      </c>
      <c r="I8" s="3472">
        <f>'数据-取费表'!L6</f>
        <v>4500</v>
      </c>
      <c r="J8" s="3473">
        <f>D36</f>
        <v>7.4</v>
      </c>
      <c r="K8" s="3954"/>
      <c r="L8" s="3468" t="s">
        <v>3413</v>
      </c>
      <c r="M8" s="3469">
        <v>100</v>
      </c>
      <c r="N8" s="3469" t="s">
        <v>3408</v>
      </c>
      <c r="O8" s="3469">
        <v>60</v>
      </c>
      <c r="P8" s="3471">
        <v>0.5</v>
      </c>
    </row>
    <row r="9" spans="1:16" s="3466" customFormat="1" ht="18" customHeight="1">
      <c r="A9" s="3450" t="s">
        <v>3414</v>
      </c>
      <c r="B9" s="3456" t="s">
        <v>3415</v>
      </c>
      <c r="C9" s="3939">
        <f>ROUND(C8*H9,0)</f>
        <v>82121</v>
      </c>
      <c r="D9" s="3940"/>
      <c r="E9" s="3940"/>
      <c r="F9" s="3941"/>
      <c r="G9" s="3452" t="s">
        <v>3416</v>
      </c>
      <c r="H9" s="3955">
        <f>'数据-取费表'!B33</f>
        <v>0.03</v>
      </c>
      <c r="I9" s="3955"/>
      <c r="J9" s="3473" t="e">
        <f>D37</f>
        <v>#DIV/0!</v>
      </c>
      <c r="K9" s="3954"/>
      <c r="L9" s="3468" t="s">
        <v>3417</v>
      </c>
      <c r="M9" s="3469">
        <v>100</v>
      </c>
      <c r="N9" s="3469" t="s">
        <v>3408</v>
      </c>
      <c r="O9" s="3469">
        <v>60</v>
      </c>
      <c r="P9" s="3471">
        <f>1-P7-P8</f>
        <v>0.19999999999999996</v>
      </c>
    </row>
    <row r="10" spans="1:16" s="3466" customFormat="1" ht="18" customHeight="1">
      <c r="A10" s="3450" t="s">
        <v>3418</v>
      </c>
      <c r="B10" s="3456" t="s">
        <v>3419</v>
      </c>
      <c r="C10" s="3939">
        <f>ROUND(C8*H10,0)</f>
        <v>0</v>
      </c>
      <c r="D10" s="3940"/>
      <c r="E10" s="3940"/>
      <c r="F10" s="3941"/>
      <c r="G10" s="3452" t="s">
        <v>3416</v>
      </c>
      <c r="H10" s="3955">
        <v>0</v>
      </c>
      <c r="I10" s="3955"/>
      <c r="J10" s="3473" t="e">
        <f>D38</f>
        <v>#DIV/0!</v>
      </c>
      <c r="K10" s="3954"/>
      <c r="L10" s="3474" t="s">
        <v>3395</v>
      </c>
      <c r="M10" s="3475">
        <f>1-M5</f>
        <v>0.5</v>
      </c>
      <c r="N10" s="3469" t="s">
        <v>3393</v>
      </c>
      <c r="O10" s="3476">
        <f>ROUND((O7*P7+O8*P8+O9*P9)/100,2)</f>
        <v>0.6</v>
      </c>
      <c r="P10" s="3477"/>
    </row>
    <row r="11" spans="1:16" s="3466" customFormat="1" ht="29.25" customHeight="1">
      <c r="A11" s="3450" t="s">
        <v>3420</v>
      </c>
      <c r="B11" s="3456" t="s">
        <v>3421</v>
      </c>
      <c r="C11" s="3939">
        <f>ROUND(I11*I3,0)</f>
        <v>121660</v>
      </c>
      <c r="D11" s="3940"/>
      <c r="E11" s="3940"/>
      <c r="F11" s="3941"/>
      <c r="G11" s="3452" t="s">
        <v>3422</v>
      </c>
      <c r="H11" s="3456" t="s">
        <v>3423</v>
      </c>
      <c r="I11" s="3452">
        <f>'数据-取费表'!B35</f>
        <v>200</v>
      </c>
      <c r="J11" s="3464"/>
      <c r="K11" s="3478"/>
      <c r="L11" s="3478"/>
      <c r="N11" s="3466">
        <f>(M4+O10)/2</f>
        <v>0.59</v>
      </c>
    </row>
    <row r="12" spans="1:16" s="3466" customFormat="1" ht="18" customHeight="1">
      <c r="A12" s="3450" t="s">
        <v>3424</v>
      </c>
      <c r="B12" s="3456" t="s">
        <v>3425</v>
      </c>
      <c r="C12" s="3939">
        <f>ROUND(C8*H12,0)</f>
        <v>41060</v>
      </c>
      <c r="D12" s="3940"/>
      <c r="E12" s="3940"/>
      <c r="F12" s="3941"/>
      <c r="G12" s="3452" t="s">
        <v>3416</v>
      </c>
      <c r="H12" s="3955">
        <f>'数据-取费表'!B36</f>
        <v>1.4999999999999999E-2</v>
      </c>
      <c r="I12" s="3955"/>
      <c r="J12" s="3479" t="s">
        <v>3426</v>
      </c>
      <c r="L12" s="3480"/>
    </row>
    <row r="13" spans="1:16" s="3466" customFormat="1" ht="18" customHeight="1">
      <c r="A13" s="3450" t="s">
        <v>438</v>
      </c>
      <c r="B13" s="3456" t="s">
        <v>3427</v>
      </c>
      <c r="C13" s="3939">
        <f>SUM(C8:F12)</f>
        <v>2982191</v>
      </c>
      <c r="D13" s="3940"/>
      <c r="E13" s="3940"/>
      <c r="F13" s="3941"/>
      <c r="G13" s="3942" t="s">
        <v>3428</v>
      </c>
      <c r="H13" s="3942"/>
      <c r="I13" s="3942"/>
      <c r="J13" s="3479" t="s">
        <v>3429</v>
      </c>
      <c r="L13" s="3480"/>
    </row>
    <row r="14" spans="1:16" s="3466" customFormat="1" ht="18" customHeight="1">
      <c r="A14" s="3450" t="s">
        <v>3430</v>
      </c>
      <c r="B14" s="3456" t="s">
        <v>3431</v>
      </c>
      <c r="C14" s="3939">
        <f>ROUND(C13*H14,0)</f>
        <v>59644</v>
      </c>
      <c r="D14" s="3940"/>
      <c r="E14" s="3940"/>
      <c r="F14" s="3941"/>
      <c r="G14" s="3452" t="s">
        <v>3432</v>
      </c>
      <c r="H14" s="3955">
        <v>0.02</v>
      </c>
      <c r="I14" s="3955"/>
      <c r="J14" s="3464"/>
      <c r="L14" s="3480"/>
    </row>
    <row r="15" spans="1:16" s="3466" customFormat="1" ht="18" customHeight="1">
      <c r="A15" s="3450" t="s">
        <v>393</v>
      </c>
      <c r="B15" s="3456" t="s">
        <v>3433</v>
      </c>
      <c r="C15" s="3960">
        <f>H15</f>
        <v>0.02</v>
      </c>
      <c r="D15" s="3961"/>
      <c r="E15" s="3958" t="str">
        <f>E18</f>
        <v>V</v>
      </c>
      <c r="F15" s="3959"/>
      <c r="G15" s="3452" t="s">
        <v>3434</v>
      </c>
      <c r="H15" s="3955">
        <v>0.02</v>
      </c>
      <c r="I15" s="3955"/>
      <c r="J15" s="3481"/>
      <c r="K15" s="3482"/>
    </row>
    <row r="16" spans="1:16" s="3466" customFormat="1" ht="18" customHeight="1">
      <c r="A16" s="3483" t="s">
        <v>394</v>
      </c>
      <c r="B16" s="3484" t="s">
        <v>3435</v>
      </c>
      <c r="C16" s="3485">
        <f ca="1">C17</f>
        <v>104943</v>
      </c>
      <c r="D16" s="3486" t="s">
        <v>3436</v>
      </c>
      <c r="E16" s="3487">
        <f ca="1">C18</f>
        <v>6.9000000000000008E-4</v>
      </c>
      <c r="F16" s="3488" t="str">
        <f>E18</f>
        <v>V</v>
      </c>
      <c r="G16" s="3939" t="s">
        <v>3437</v>
      </c>
      <c r="H16" s="3940"/>
      <c r="I16" s="3941"/>
      <c r="J16" s="3464"/>
      <c r="K16" s="3478"/>
    </row>
    <row r="17" spans="1:21" s="3466" customFormat="1" ht="18" customHeight="1">
      <c r="A17" s="3450" t="s">
        <v>3438</v>
      </c>
      <c r="B17" s="3456" t="s">
        <v>3439</v>
      </c>
      <c r="C17" s="3939">
        <f ca="1">ROUND((C13+C14)*I18*(I17/2),0)</f>
        <v>104943</v>
      </c>
      <c r="D17" s="3940"/>
      <c r="E17" s="3940"/>
      <c r="F17" s="3941"/>
      <c r="G17" s="3485" t="s">
        <v>3440</v>
      </c>
      <c r="H17" s="3456" t="s">
        <v>3441</v>
      </c>
      <c r="I17" s="3489">
        <f>'数据-取费表'!B21</f>
        <v>2</v>
      </c>
      <c r="J17" s="3479" t="s">
        <v>3442</v>
      </c>
      <c r="K17" s="3478"/>
      <c r="L17" s="3478"/>
    </row>
    <row r="18" spans="1:21" s="3466" customFormat="1" ht="18" customHeight="1">
      <c r="A18" s="3450" t="s">
        <v>3443</v>
      </c>
      <c r="B18" s="3456" t="s">
        <v>3444</v>
      </c>
      <c r="C18" s="3956">
        <f ca="1">H15*I18*I17/2</f>
        <v>6.9000000000000008E-4</v>
      </c>
      <c r="D18" s="3957"/>
      <c r="E18" s="3958" t="s">
        <v>3446</v>
      </c>
      <c r="F18" s="3959"/>
      <c r="G18" s="3485" t="s">
        <v>3447</v>
      </c>
      <c r="H18" s="3456" t="s">
        <v>3448</v>
      </c>
      <c r="I18" s="3490">
        <f ca="1">'数据-取费表'!B40</f>
        <v>3.4500000000000003E-2</v>
      </c>
      <c r="J18" s="3479" t="s">
        <v>3449</v>
      </c>
      <c r="K18" s="3478"/>
      <c r="L18" s="3478"/>
    </row>
    <row r="19" spans="1:21" s="3466" customFormat="1" ht="27" customHeight="1">
      <c r="A19" s="3450" t="s">
        <v>395</v>
      </c>
      <c r="B19" s="3456" t="s">
        <v>3450</v>
      </c>
      <c r="C19" s="3485">
        <f>C20</f>
        <v>608367</v>
      </c>
      <c r="D19" s="3486" t="s">
        <v>3436</v>
      </c>
      <c r="E19" s="3486">
        <f>C21</f>
        <v>4.0000000000000001E-3</v>
      </c>
      <c r="F19" s="3488" t="str">
        <f>E21</f>
        <v>V</v>
      </c>
      <c r="G19" s="3939" t="s">
        <v>3451</v>
      </c>
      <c r="H19" s="3940"/>
      <c r="I19" s="3941"/>
      <c r="J19" s="3464"/>
      <c r="K19" s="3478"/>
      <c r="L19" s="3478"/>
    </row>
    <row r="20" spans="1:21" s="3466" customFormat="1" ht="26.25" customHeight="1">
      <c r="A20" s="3450" t="s">
        <v>3452</v>
      </c>
      <c r="B20" s="3456" t="s">
        <v>3453</v>
      </c>
      <c r="C20" s="3939">
        <f>ROUND((C13+C14)*I20,0)</f>
        <v>608367</v>
      </c>
      <c r="D20" s="3940"/>
      <c r="E20" s="3940"/>
      <c r="F20" s="3941"/>
      <c r="G20" s="3452" t="s">
        <v>3454</v>
      </c>
      <c r="H20" s="3964" t="s">
        <v>3455</v>
      </c>
      <c r="I20" s="3966">
        <f>'数据-取费表'!Q6</f>
        <v>0.2</v>
      </c>
      <c r="J20" s="3479" t="s">
        <v>3456</v>
      </c>
      <c r="K20" s="3478"/>
      <c r="L20" s="3478"/>
      <c r="R20" s="3466" t="s">
        <v>3611</v>
      </c>
      <c r="S20" s="3466">
        <v>15</v>
      </c>
      <c r="T20" s="3466">
        <v>15</v>
      </c>
      <c r="U20" s="3559" t="e">
        <f>ROUND(U21*U22/365/0.8,1)</f>
        <v>#DIV/0!</v>
      </c>
    </row>
    <row r="21" spans="1:21" s="3466" customFormat="1" ht="27" customHeight="1">
      <c r="A21" s="3450" t="s">
        <v>3452</v>
      </c>
      <c r="B21" s="3456" t="s">
        <v>3457</v>
      </c>
      <c r="C21" s="3967">
        <f>H15*I20</f>
        <v>4.0000000000000001E-3</v>
      </c>
      <c r="D21" s="3968"/>
      <c r="E21" s="3958" t="s">
        <v>3445</v>
      </c>
      <c r="F21" s="3959"/>
      <c r="G21" s="3452" t="s">
        <v>3458</v>
      </c>
      <c r="H21" s="3965"/>
      <c r="I21" s="3966"/>
      <c r="J21" s="3464"/>
      <c r="K21" s="3478"/>
      <c r="L21" s="3478"/>
      <c r="R21" s="3466" t="s">
        <v>3608</v>
      </c>
      <c r="S21" s="3466">
        <f>S20*365*0.8/S22</f>
        <v>87600</v>
      </c>
      <c r="T21" s="3466">
        <v>60000</v>
      </c>
      <c r="U21" s="3466" t="e">
        <f>'比较法-商业售价'!C49</f>
        <v>#DIV/0!</v>
      </c>
    </row>
    <row r="22" spans="1:21" s="3466" customFormat="1" ht="18" customHeight="1">
      <c r="A22" s="3450" t="s">
        <v>396</v>
      </c>
      <c r="B22" s="3456" t="s">
        <v>3459</v>
      </c>
      <c r="C22" s="3967">
        <f>ROUND(H22/1.05,4)</f>
        <v>5.33E-2</v>
      </c>
      <c r="D22" s="3968"/>
      <c r="E22" s="3958" t="s">
        <v>3445</v>
      </c>
      <c r="F22" s="3959"/>
      <c r="G22" s="3452" t="s">
        <v>3460</v>
      </c>
      <c r="H22" s="3955">
        <f>'数据-取费表'!B41</f>
        <v>5.6000000000000001E-2</v>
      </c>
      <c r="I22" s="3955"/>
      <c r="J22" s="3491"/>
      <c r="K22" s="3478"/>
      <c r="L22" s="3478"/>
      <c r="R22" s="3466" t="s">
        <v>3609</v>
      </c>
      <c r="S22" s="3562">
        <v>0.05</v>
      </c>
      <c r="T22" s="3562">
        <f>T20*365*0.8/T21</f>
        <v>7.2999999999999995E-2</v>
      </c>
      <c r="U22" s="3563">
        <v>7.0000000000000007E-2</v>
      </c>
    </row>
    <row r="23" spans="1:21" s="3466" customFormat="1" ht="18" customHeight="1">
      <c r="A23" s="3450" t="s">
        <v>3461</v>
      </c>
      <c r="B23" s="3456" t="s">
        <v>3462</v>
      </c>
      <c r="C23" s="3939">
        <f ca="1">ROUND((C13+C14+C17+C20)/(1-H15-C18-C21-C22),0)</f>
        <v>4072781</v>
      </c>
      <c r="D23" s="3940"/>
      <c r="E23" s="3940"/>
      <c r="F23" s="3941"/>
      <c r="G23" s="3939" t="s">
        <v>3463</v>
      </c>
      <c r="H23" s="3940"/>
      <c r="I23" s="3941"/>
      <c r="J23" s="3491"/>
      <c r="K23" s="3478"/>
      <c r="L23" s="3478"/>
      <c r="R23" s="3466" t="s">
        <v>3610</v>
      </c>
    </row>
    <row r="24" spans="1:21" s="3466" customFormat="1" ht="18" customHeight="1">
      <c r="A24" s="3450" t="s">
        <v>3464</v>
      </c>
      <c r="B24" s="3456" t="s">
        <v>3465</v>
      </c>
      <c r="C24" s="3492">
        <f ca="1">C27+C28</f>
        <v>23520</v>
      </c>
      <c r="D24" s="3493" t="s">
        <v>3466</v>
      </c>
      <c r="E24" s="3962">
        <f>H29+E26+H25</f>
        <v>0.18028571428571427</v>
      </c>
      <c r="F24" s="3963"/>
      <c r="G24" s="3942" t="s">
        <v>3467</v>
      </c>
      <c r="H24" s="3942"/>
      <c r="I24" s="3942"/>
      <c r="J24" s="3491"/>
      <c r="K24" s="3561" t="e">
        <f ca="1">C4/C30</f>
        <v>#DIV/0!</v>
      </c>
      <c r="L24" s="3478"/>
    </row>
    <row r="25" spans="1:21" s="3466" customFormat="1" ht="18" customHeight="1">
      <c r="A25" s="3450" t="s">
        <v>438</v>
      </c>
      <c r="B25" s="3456" t="s">
        <v>3468</v>
      </c>
      <c r="C25" s="3960" t="s">
        <v>3469</v>
      </c>
      <c r="D25" s="3961"/>
      <c r="E25" s="3969">
        <f>ROUND(H25/1.05,4)</f>
        <v>5.33E-2</v>
      </c>
      <c r="F25" s="3970"/>
      <c r="G25" s="3452" t="s">
        <v>3470</v>
      </c>
      <c r="H25" s="3971">
        <f>'数据-取费表'!B41</f>
        <v>5.6000000000000001E-2</v>
      </c>
      <c r="I25" s="3971"/>
      <c r="J25" s="3481"/>
      <c r="K25" s="3478"/>
      <c r="L25" s="3478"/>
    </row>
    <row r="26" spans="1:21" s="3466" customFormat="1" ht="18" customHeight="1">
      <c r="A26" s="3450" t="s">
        <v>3430</v>
      </c>
      <c r="B26" s="3456" t="s">
        <v>3471</v>
      </c>
      <c r="C26" s="3960" t="s">
        <v>3469</v>
      </c>
      <c r="D26" s="3961"/>
      <c r="E26" s="3972">
        <f>H26/1.05</f>
        <v>0.11428571428571428</v>
      </c>
      <c r="F26" s="3973"/>
      <c r="G26" s="3452"/>
      <c r="H26" s="3974">
        <f>'数据-取费表'!B51</f>
        <v>0.12</v>
      </c>
      <c r="I26" s="3975"/>
      <c r="J26" s="3481"/>
      <c r="K26" s="3478"/>
      <c r="L26" s="3478"/>
      <c r="M26" s="3560">
        <f>15*365*0.8/0.05</f>
        <v>87600</v>
      </c>
    </row>
    <row r="27" spans="1:21" s="3466" customFormat="1" ht="18" customHeight="1">
      <c r="A27" s="3450" t="s">
        <v>393</v>
      </c>
      <c r="B27" s="3456" t="s">
        <v>3472</v>
      </c>
      <c r="C27" s="3939">
        <f ca="1">ROUND(C23*H27,0)</f>
        <v>20364</v>
      </c>
      <c r="D27" s="3940"/>
      <c r="E27" s="3940"/>
      <c r="F27" s="3941"/>
      <c r="G27" s="3452" t="s">
        <v>3473</v>
      </c>
      <c r="H27" s="3971">
        <v>5.0000000000000001E-3</v>
      </c>
      <c r="I27" s="3971"/>
      <c r="J27" s="3481"/>
      <c r="K27" s="3478"/>
      <c r="L27" s="3478"/>
      <c r="M27" s="3466">
        <v>65000</v>
      </c>
      <c r="N27" s="3560">
        <f>15*365/0.09</f>
        <v>60833.333333333336</v>
      </c>
    </row>
    <row r="28" spans="1:21" s="3466" customFormat="1" ht="18" customHeight="1">
      <c r="A28" s="3450" t="s">
        <v>394</v>
      </c>
      <c r="B28" s="3456" t="s">
        <v>3474</v>
      </c>
      <c r="C28" s="3939">
        <f ca="1">ROUND(C7*H28,0)</f>
        <v>3156</v>
      </c>
      <c r="D28" s="3940"/>
      <c r="E28" s="3940"/>
      <c r="F28" s="3941"/>
      <c r="G28" s="3452" t="s">
        <v>3475</v>
      </c>
      <c r="H28" s="3976">
        <v>1E-3</v>
      </c>
      <c r="I28" s="3976"/>
      <c r="J28" s="3464"/>
      <c r="K28" s="3478"/>
      <c r="L28" s="3478"/>
      <c r="M28" s="3558">
        <f>M27/M26</f>
        <v>0.74200913242009137</v>
      </c>
    </row>
    <row r="29" spans="1:21" s="3466" customFormat="1" ht="18" customHeight="1">
      <c r="A29" s="3450" t="s">
        <v>395</v>
      </c>
      <c r="B29" s="3456" t="s">
        <v>3476</v>
      </c>
      <c r="C29" s="3960" t="s">
        <v>3469</v>
      </c>
      <c r="D29" s="3961"/>
      <c r="E29" s="3977">
        <f>H29</f>
        <v>0.01</v>
      </c>
      <c r="F29" s="3963"/>
      <c r="G29" s="3452" t="s">
        <v>3477</v>
      </c>
      <c r="H29" s="3971">
        <v>0.01</v>
      </c>
      <c r="I29" s="3971"/>
      <c r="J29" s="3494"/>
      <c r="K29" s="3478"/>
      <c r="L29" s="3478"/>
    </row>
    <row r="30" spans="1:21" s="3466" customFormat="1" ht="18" customHeight="1">
      <c r="A30" s="3455" t="s">
        <v>3478</v>
      </c>
      <c r="B30" s="3456" t="s">
        <v>3479</v>
      </c>
      <c r="C30" s="3939" t="e">
        <f ca="1">ROUND((C4+C24)/(1-E24),0)</f>
        <v>#DIV/0!</v>
      </c>
      <c r="D30" s="3940"/>
      <c r="E30" s="3940"/>
      <c r="F30" s="3941"/>
      <c r="G30" s="3943" t="s">
        <v>3480</v>
      </c>
      <c r="H30" s="3943"/>
      <c r="I30" s="3943"/>
      <c r="J30" s="3495" t="s">
        <v>3481</v>
      </c>
      <c r="K30" s="3478"/>
      <c r="L30" s="3478"/>
    </row>
    <row r="31" spans="1:21" s="3466" customFormat="1" ht="18" customHeight="1">
      <c r="A31" s="3943" t="s">
        <v>3482</v>
      </c>
      <c r="B31" s="3944" t="s">
        <v>3483</v>
      </c>
      <c r="C31" s="3978" t="e">
        <f ca="1">ROUND(C30/I31/I32/I3,2)</f>
        <v>#DIV/0!</v>
      </c>
      <c r="D31" s="3979"/>
      <c r="E31" s="3979"/>
      <c r="F31" s="3980"/>
      <c r="G31" s="3942" t="s">
        <v>3484</v>
      </c>
      <c r="H31" s="3456" t="s">
        <v>3485</v>
      </c>
      <c r="I31" s="3452">
        <v>365</v>
      </c>
      <c r="J31" s="3496"/>
      <c r="K31" s="3478"/>
      <c r="L31" s="3478"/>
    </row>
    <row r="32" spans="1:21" s="3466" customFormat="1" ht="18" customHeight="1">
      <c r="A32" s="3943"/>
      <c r="B32" s="3944"/>
      <c r="C32" s="3981"/>
      <c r="D32" s="3982"/>
      <c r="E32" s="3982"/>
      <c r="F32" s="3983"/>
      <c r="G32" s="3942"/>
      <c r="H32" s="3456" t="s">
        <v>3486</v>
      </c>
      <c r="I32" s="3497">
        <v>0.95</v>
      </c>
      <c r="J32" s="3498"/>
      <c r="K32" s="3478"/>
      <c r="L32" s="3499"/>
    </row>
    <row r="33" spans="1:13" s="3466" customFormat="1" ht="18" customHeight="1">
      <c r="A33" s="3449"/>
      <c r="B33" s="3500"/>
      <c r="C33" s="3501"/>
      <c r="D33" s="3501"/>
      <c r="E33" s="3501"/>
      <c r="F33" s="3501"/>
      <c r="G33" s="3502"/>
      <c r="H33" s="3503"/>
      <c r="I33" s="3449"/>
      <c r="J33" s="3504"/>
      <c r="K33" s="3478"/>
      <c r="L33" s="3499"/>
    </row>
    <row r="34" spans="1:13" s="3466" customFormat="1" ht="18" customHeight="1">
      <c r="A34" s="3449"/>
      <c r="B34" s="3986" t="s">
        <v>3487</v>
      </c>
      <c r="C34" s="3986"/>
      <c r="D34" s="3986"/>
      <c r="E34" s="3986"/>
      <c r="F34" s="3986"/>
      <c r="G34" s="3505"/>
      <c r="H34" s="3506"/>
      <c r="I34" s="3507"/>
      <c r="J34" s="3464"/>
      <c r="K34" s="3478"/>
      <c r="L34" s="3478"/>
      <c r="M34" s="3449"/>
    </row>
    <row r="35" spans="1:13" s="3466" customFormat="1" ht="18" customHeight="1">
      <c r="A35" s="3449"/>
      <c r="B35" s="3508" t="s">
        <v>3488</v>
      </c>
      <c r="C35" s="3509" t="s">
        <v>3402</v>
      </c>
      <c r="D35" s="3987" t="s">
        <v>3489</v>
      </c>
      <c r="E35" s="3987"/>
      <c r="F35" s="3987"/>
      <c r="G35" s="3505"/>
      <c r="H35" s="3506"/>
      <c r="I35" s="3510"/>
      <c r="J35" s="3491"/>
      <c r="K35" s="3449"/>
      <c r="L35" s="3449"/>
      <c r="M35" s="3449"/>
    </row>
    <row r="36" spans="1:13">
      <c r="B36" s="3508" t="s">
        <v>3490</v>
      </c>
      <c r="C36" s="3511">
        <v>0.5</v>
      </c>
      <c r="D36" s="3988">
        <f>'比较法-商业'!C49</f>
        <v>7.4</v>
      </c>
      <c r="E36" s="3988"/>
      <c r="F36" s="3988"/>
      <c r="G36" s="3505"/>
      <c r="H36" s="3506"/>
      <c r="I36" s="3510"/>
      <c r="K36" s="3449"/>
      <c r="L36" s="3449"/>
    </row>
    <row r="37" spans="1:13" ht="20.100000000000001" customHeight="1">
      <c r="B37" s="3508" t="s">
        <v>3491</v>
      </c>
      <c r="C37" s="3511">
        <f>1-C36</f>
        <v>0.5</v>
      </c>
      <c r="D37" s="3988" t="e">
        <f>U20</f>
        <v>#DIV/0!</v>
      </c>
      <c r="E37" s="3988"/>
      <c r="F37" s="3988"/>
      <c r="G37" s="3512" t="e">
        <f>(D37-D36)/D37</f>
        <v>#DIV/0!</v>
      </c>
      <c r="H37" s="3513"/>
      <c r="I37" s="3514"/>
      <c r="J37" s="3449"/>
      <c r="K37" s="3449"/>
      <c r="L37" s="3449"/>
    </row>
    <row r="38" spans="1:13" ht="22.5" customHeight="1">
      <c r="B38" s="3989" t="s">
        <v>3492</v>
      </c>
      <c r="C38" s="3989"/>
      <c r="D38" s="3990" t="e">
        <f>ROUND(D36*C36+D37*C37,2)</f>
        <v>#DIV/0!</v>
      </c>
      <c r="E38" s="3991"/>
      <c r="F38" s="3992"/>
      <c r="G38" s="3505"/>
      <c r="H38" s="3513"/>
      <c r="I38" s="3514"/>
      <c r="J38" s="3449">
        <f>8.2*365</f>
        <v>2992.9999999999995</v>
      </c>
      <c r="K38" s="3449"/>
      <c r="L38" s="3449"/>
    </row>
    <row r="39" spans="1:13" ht="22.5" customHeight="1">
      <c r="B39" s="3508" t="s">
        <v>3493</v>
      </c>
      <c r="C39" s="3515" t="e">
        <f>ROUND(D38*0.9,1)</f>
        <v>#DIV/0!</v>
      </c>
      <c r="D39" s="3516" t="s">
        <v>3494</v>
      </c>
      <c r="E39" s="3984" t="e">
        <f>ROUND(D38*1.1,1)</f>
        <v>#DIV/0!</v>
      </c>
      <c r="F39" s="3984"/>
      <c r="G39" s="3517"/>
      <c r="H39" s="3518"/>
      <c r="J39" s="3449" t="e">
        <f ca="1">'成本法 (元)'!B3</f>
        <v>#DIV/0!</v>
      </c>
      <c r="K39" s="3449"/>
      <c r="L39" s="3449"/>
    </row>
    <row r="40" spans="1:13" ht="18" customHeight="1">
      <c r="B40" s="3508" t="s">
        <v>3495</v>
      </c>
      <c r="C40" s="3519" t="e">
        <f>ROUND(C39*365/12,0)</f>
        <v>#DIV/0!</v>
      </c>
      <c r="D40" s="3516" t="s">
        <v>3494</v>
      </c>
      <c r="E40" s="3985" t="e">
        <f>ROUND(E39*365/12,0)</f>
        <v>#DIV/0!</v>
      </c>
      <c r="F40" s="3985"/>
      <c r="G40" s="3520" t="s">
        <v>3496</v>
      </c>
      <c r="H40" s="3520">
        <f>ROUND(65*12/365,2)</f>
        <v>2.14</v>
      </c>
      <c r="J40" s="3449" t="e">
        <f ca="1">J38/J39</f>
        <v>#DIV/0!</v>
      </c>
      <c r="K40" s="3449"/>
      <c r="L40" s="3449"/>
    </row>
    <row r="41" spans="1:13" ht="18" customHeight="1">
      <c r="B41" s="3521"/>
      <c r="C41" s="3522"/>
      <c r="D41" s="3506"/>
      <c r="E41" s="3506"/>
      <c r="F41" s="3506"/>
      <c r="G41" s="3517"/>
      <c r="H41" s="3523"/>
      <c r="J41" s="3449"/>
    </row>
    <row r="42" spans="1:13" ht="18" customHeight="1">
      <c r="B42" s="3517" t="s">
        <v>3497</v>
      </c>
      <c r="C42" s="3506"/>
      <c r="D42" s="3506"/>
      <c r="E42" s="3517" t="s">
        <v>3498</v>
      </c>
      <c r="F42" s="3506"/>
      <c r="G42" s="3517"/>
      <c r="H42" s="3517" t="s">
        <v>3499</v>
      </c>
      <c r="J42" s="3449"/>
    </row>
    <row r="43" spans="1:13" ht="29.25" customHeight="1"/>
    <row r="45" spans="1:13" ht="175.5">
      <c r="C45" s="3510" t="s">
        <v>3613</v>
      </c>
      <c r="D45" s="3510" t="s">
        <v>3612</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4000" t="s">
        <v>2606</v>
      </c>
      <c r="B20" s="3993" t="s">
        <v>2627</v>
      </c>
      <c r="C20" s="3099" t="s">
        <v>2438</v>
      </c>
      <c r="D20" s="3100"/>
      <c r="E20" s="3101">
        <v>1</v>
      </c>
      <c r="F20" s="3102" t="s">
        <v>2439</v>
      </c>
      <c r="G20" s="3102"/>
    </row>
    <row r="21" spans="1:13" ht="19.5" customHeight="1">
      <c r="A21" s="4001"/>
      <c r="B21" s="3994"/>
      <c r="C21" s="3103" t="s">
        <v>2440</v>
      </c>
      <c r="D21" s="3104"/>
      <c r="E21" s="3105">
        <v>1</v>
      </c>
      <c r="F21" s="3102" t="s">
        <v>2441</v>
      </c>
      <c r="G21" s="3102"/>
    </row>
    <row r="22" spans="1:13" ht="19.5" customHeight="1">
      <c r="A22" s="4001"/>
      <c r="B22" s="3994"/>
      <c r="C22" s="3103" t="s">
        <v>2442</v>
      </c>
      <c r="D22" s="3104"/>
      <c r="E22" s="3105">
        <v>0.9</v>
      </c>
      <c r="F22" s="3102" t="s">
        <v>2443</v>
      </c>
      <c r="G22" s="3102"/>
    </row>
    <row r="23" spans="1:13" ht="19.5" customHeight="1">
      <c r="A23" s="4001"/>
      <c r="B23" s="3994"/>
      <c r="C23" s="3103" t="s">
        <v>2444</v>
      </c>
      <c r="D23" s="3104"/>
      <c r="E23" s="3105">
        <v>0.9</v>
      </c>
      <c r="F23" s="3102" t="s">
        <v>2445</v>
      </c>
      <c r="G23" s="3102"/>
    </row>
    <row r="24" spans="1:13" ht="19.5" customHeight="1">
      <c r="A24" s="4001"/>
      <c r="B24" s="3994"/>
      <c r="C24" s="3103" t="s">
        <v>2446</v>
      </c>
      <c r="D24" s="3104"/>
      <c r="E24" s="3105">
        <v>0.8</v>
      </c>
      <c r="F24" s="3102" t="s">
        <v>2447</v>
      </c>
      <c r="G24" s="3102"/>
    </row>
    <row r="25" spans="1:13" ht="19.5" customHeight="1" thickBot="1">
      <c r="A25" s="4002"/>
      <c r="B25" s="3995"/>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996" t="s">
        <v>2630</v>
      </c>
      <c r="B27" s="3993" t="s">
        <v>2611</v>
      </c>
      <c r="C27" s="3099" t="s">
        <v>2451</v>
      </c>
      <c r="D27" s="3100"/>
      <c r="E27" s="3101">
        <v>1</v>
      </c>
      <c r="F27" s="3102" t="s">
        <v>2452</v>
      </c>
      <c r="G27" s="3102"/>
    </row>
    <row r="28" spans="1:13" ht="19.5" customHeight="1">
      <c r="A28" s="3997"/>
      <c r="B28" s="3994"/>
      <c r="C28" s="3103" t="s">
        <v>2453</v>
      </c>
      <c r="D28" s="3104"/>
      <c r="E28" s="3105">
        <v>1</v>
      </c>
      <c r="F28" s="3102" t="s">
        <v>2454</v>
      </c>
      <c r="G28" s="3102"/>
    </row>
    <row r="29" spans="1:13" ht="19.5" customHeight="1">
      <c r="A29" s="3997"/>
      <c r="B29" s="3994"/>
      <c r="C29" s="3103" t="s">
        <v>2455</v>
      </c>
      <c r="D29" s="3104"/>
      <c r="E29" s="3105">
        <v>0.8</v>
      </c>
      <c r="F29" s="3102" t="s">
        <v>2456</v>
      </c>
      <c r="G29" s="3102"/>
    </row>
    <row r="30" spans="1:13" ht="19.5" customHeight="1">
      <c r="A30" s="3997"/>
      <c r="B30" s="3994"/>
      <c r="C30" s="3103" t="s">
        <v>2457</v>
      </c>
      <c r="D30" s="3104"/>
      <c r="E30" s="3105">
        <v>0.8</v>
      </c>
      <c r="F30" s="3102" t="s">
        <v>2458</v>
      </c>
      <c r="G30" s="3102"/>
    </row>
    <row r="31" spans="1:13" ht="19.5" customHeight="1">
      <c r="A31" s="3997"/>
      <c r="B31" s="3994"/>
      <c r="C31" s="3103" t="s">
        <v>2459</v>
      </c>
      <c r="D31" s="3104"/>
      <c r="E31" s="3105">
        <v>0.8</v>
      </c>
      <c r="F31" s="3102" t="s">
        <v>2460</v>
      </c>
      <c r="G31" s="3102"/>
    </row>
    <row r="32" spans="1:13" ht="19.5" customHeight="1">
      <c r="A32" s="3997"/>
      <c r="B32" s="3994"/>
      <c r="C32" s="3103" t="s">
        <v>2461</v>
      </c>
      <c r="D32" s="3104"/>
      <c r="E32" s="3105">
        <v>0.7</v>
      </c>
      <c r="F32" s="3102" t="s">
        <v>2462</v>
      </c>
      <c r="G32" s="3102"/>
    </row>
    <row r="33" spans="1:7" ht="19.5" customHeight="1">
      <c r="A33" s="3997"/>
      <c r="B33" s="3994"/>
      <c r="C33" s="3103" t="s">
        <v>2463</v>
      </c>
      <c r="D33" s="3104"/>
      <c r="E33" s="3105">
        <v>0.8</v>
      </c>
      <c r="F33" s="3102" t="s">
        <v>2464</v>
      </c>
      <c r="G33" s="3102"/>
    </row>
    <row r="34" spans="1:7" ht="19.5" customHeight="1">
      <c r="A34" s="3997"/>
      <c r="B34" s="3994"/>
      <c r="C34" s="3103" t="s">
        <v>2465</v>
      </c>
      <c r="D34" s="3104"/>
      <c r="E34" s="3105">
        <v>0.6</v>
      </c>
      <c r="F34" s="3102" t="s">
        <v>2466</v>
      </c>
      <c r="G34" s="3102"/>
    </row>
    <row r="35" spans="1:7" ht="19.5" customHeight="1">
      <c r="A35" s="3997"/>
      <c r="B35" s="3994"/>
      <c r="C35" s="3103" t="s">
        <v>2467</v>
      </c>
      <c r="D35" s="3104"/>
      <c r="E35" s="3105">
        <v>0.2</v>
      </c>
      <c r="F35" s="3102" t="s">
        <v>2468</v>
      </c>
      <c r="G35" s="3102"/>
    </row>
    <row r="36" spans="1:7" ht="19.5" customHeight="1">
      <c r="A36" s="3997"/>
      <c r="B36" s="3994"/>
      <c r="C36" s="3103" t="s">
        <v>2469</v>
      </c>
      <c r="D36" s="3104"/>
      <c r="E36" s="3105">
        <v>0.2</v>
      </c>
      <c r="F36" s="3102" t="s">
        <v>2470</v>
      </c>
      <c r="G36" s="3102"/>
    </row>
    <row r="37" spans="1:7" ht="19.5" customHeight="1">
      <c r="A37" s="3997"/>
      <c r="B37" s="3999" t="s">
        <v>2631</v>
      </c>
      <c r="C37" s="3103" t="s">
        <v>2471</v>
      </c>
      <c r="D37" s="3104"/>
      <c r="E37" s="3105">
        <v>0.6</v>
      </c>
      <c r="F37" s="3102" t="s">
        <v>2472</v>
      </c>
      <c r="G37" s="3102"/>
    </row>
    <row r="38" spans="1:7" ht="19.5" customHeight="1">
      <c r="A38" s="3997"/>
      <c r="B38" s="3994"/>
      <c r="C38" s="3103" t="s">
        <v>2473</v>
      </c>
      <c r="D38" s="3104"/>
      <c r="E38" s="3105">
        <v>0.6</v>
      </c>
      <c r="F38" s="3102" t="s">
        <v>2474</v>
      </c>
      <c r="G38" s="3102"/>
    </row>
    <row r="39" spans="1:7" ht="19.5" customHeight="1" thickBot="1">
      <c r="A39" s="3998"/>
      <c r="B39" s="3995"/>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4000" t="s">
        <v>2609</v>
      </c>
      <c r="B41" s="3993" t="s">
        <v>2633</v>
      </c>
      <c r="C41" s="3099" t="s">
        <v>2478</v>
      </c>
      <c r="D41" s="3100"/>
      <c r="E41" s="3101">
        <v>1</v>
      </c>
      <c r="F41" s="3102" t="s">
        <v>2479</v>
      </c>
      <c r="G41" s="3102"/>
    </row>
    <row r="42" spans="1:7" ht="19.5" customHeight="1">
      <c r="A42" s="4001"/>
      <c r="B42" s="3994"/>
      <c r="C42" s="3103" t="s">
        <v>2480</v>
      </c>
      <c r="D42" s="3104"/>
      <c r="E42" s="3105">
        <v>1</v>
      </c>
      <c r="F42" s="3102" t="s">
        <v>2481</v>
      </c>
      <c r="G42" s="3102"/>
    </row>
    <row r="43" spans="1:7" ht="19.5" customHeight="1">
      <c r="A43" s="4001"/>
      <c r="B43" s="4003"/>
      <c r="C43" s="3103" t="s">
        <v>2482</v>
      </c>
      <c r="D43" s="3104"/>
      <c r="E43" s="3105">
        <v>1.5</v>
      </c>
      <c r="F43" s="3102" t="s">
        <v>2483</v>
      </c>
      <c r="G43" s="3102"/>
    </row>
    <row r="44" spans="1:7" ht="19.5" customHeight="1">
      <c r="A44" s="4001"/>
      <c r="B44" s="3114" t="s">
        <v>2634</v>
      </c>
      <c r="C44" s="3103" t="s">
        <v>2635</v>
      </c>
      <c r="D44" s="3104"/>
      <c r="E44" s="3105">
        <v>2</v>
      </c>
      <c r="F44" s="3102" t="s">
        <v>2484</v>
      </c>
      <c r="G44" s="3102"/>
    </row>
    <row r="45" spans="1:7" ht="19.5" customHeight="1">
      <c r="A45" s="4001"/>
      <c r="B45" s="3999" t="s">
        <v>2636</v>
      </c>
      <c r="C45" s="3103" t="s">
        <v>2485</v>
      </c>
      <c r="D45" s="3104"/>
      <c r="E45" s="3105">
        <v>1</v>
      </c>
      <c r="F45" s="3102" t="s">
        <v>2486</v>
      </c>
      <c r="G45" s="3102"/>
    </row>
    <row r="46" spans="1:7" ht="19.5" customHeight="1">
      <c r="A46" s="4001"/>
      <c r="B46" s="3994"/>
      <c r="C46" s="3103" t="s">
        <v>2487</v>
      </c>
      <c r="D46" s="3104"/>
      <c r="E46" s="3105">
        <v>1</v>
      </c>
      <c r="F46" s="3102" t="s">
        <v>2488</v>
      </c>
      <c r="G46" s="3102"/>
    </row>
    <row r="47" spans="1:7" ht="19.5" customHeight="1">
      <c r="A47" s="4001"/>
      <c r="B47" s="3994"/>
      <c r="C47" s="3103" t="s">
        <v>2489</v>
      </c>
      <c r="D47" s="3104"/>
      <c r="E47" s="3105">
        <v>1</v>
      </c>
      <c r="F47" s="3102" t="s">
        <v>2490</v>
      </c>
      <c r="G47" s="3102"/>
    </row>
    <row r="48" spans="1:7" ht="19.5" customHeight="1">
      <c r="A48" s="4001"/>
      <c r="B48" s="3994"/>
      <c r="C48" s="3103" t="s">
        <v>2491</v>
      </c>
      <c r="D48" s="3104"/>
      <c r="E48" s="3105">
        <v>1</v>
      </c>
      <c r="F48" s="3102" t="s">
        <v>2492</v>
      </c>
      <c r="G48" s="3102"/>
    </row>
    <row r="49" spans="1:7" ht="19.5" customHeight="1">
      <c r="A49" s="4001"/>
      <c r="B49" s="3994"/>
      <c r="C49" s="3103" t="s">
        <v>2493</v>
      </c>
      <c r="D49" s="3104"/>
      <c r="E49" s="3105">
        <v>1</v>
      </c>
      <c r="F49" s="3102" t="s">
        <v>2494</v>
      </c>
      <c r="G49" s="3102"/>
    </row>
    <row r="50" spans="1:7" ht="19.5" customHeight="1">
      <c r="A50" s="4001"/>
      <c r="B50" s="3994"/>
      <c r="C50" s="3103" t="s">
        <v>2495</v>
      </c>
      <c r="D50" s="3104"/>
      <c r="E50" s="3105">
        <v>1</v>
      </c>
      <c r="F50" s="3102" t="s">
        <v>2496</v>
      </c>
      <c r="G50" s="3102"/>
    </row>
    <row r="51" spans="1:7" ht="19.5" customHeight="1" thickBot="1">
      <c r="A51" s="4002"/>
      <c r="B51" s="3995"/>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999" t="s">
        <v>2650</v>
      </c>
      <c r="C73" s="3088" t="s">
        <v>2651</v>
      </c>
      <c r="D73" s="3088" t="s">
        <v>2652</v>
      </c>
      <c r="E73" s="3114">
        <v>0.2</v>
      </c>
      <c r="F73" s="3114">
        <v>25</v>
      </c>
    </row>
    <row r="74" spans="1:7" ht="24">
      <c r="A74" s="3114">
        <v>2</v>
      </c>
      <c r="B74" s="3994"/>
      <c r="C74" s="3088" t="s">
        <v>2653</v>
      </c>
      <c r="D74" s="3088" t="s">
        <v>2654</v>
      </c>
      <c r="E74" s="3114">
        <v>0.2</v>
      </c>
      <c r="F74" s="3114">
        <v>25</v>
      </c>
    </row>
    <row r="75" spans="1:7" ht="24">
      <c r="A75" s="3114">
        <v>3</v>
      </c>
      <c r="B75" s="3994"/>
      <c r="C75" s="3088" t="s">
        <v>2655</v>
      </c>
      <c r="D75" s="3088" t="s">
        <v>2656</v>
      </c>
      <c r="E75" s="3114">
        <v>0.2</v>
      </c>
      <c r="F75" s="3114">
        <v>25</v>
      </c>
    </row>
    <row r="76" spans="1:7" ht="13.5">
      <c r="A76" s="3114">
        <v>4</v>
      </c>
      <c r="B76" s="3994"/>
      <c r="C76" s="3088" t="s">
        <v>2657</v>
      </c>
      <c r="D76" s="3088" t="s">
        <v>2658</v>
      </c>
      <c r="E76" s="3114">
        <v>0.15</v>
      </c>
      <c r="F76" s="3114">
        <v>20</v>
      </c>
    </row>
    <row r="77" spans="1:7" ht="24">
      <c r="A77" s="3114">
        <v>5</v>
      </c>
      <c r="B77" s="3994"/>
      <c r="C77" s="3088" t="s">
        <v>2659</v>
      </c>
      <c r="D77" s="3088" t="s">
        <v>2660</v>
      </c>
      <c r="E77" s="3114">
        <v>0.15</v>
      </c>
      <c r="F77" s="3114">
        <v>20</v>
      </c>
    </row>
    <row r="78" spans="1:7" ht="24">
      <c r="A78" s="3114">
        <v>6</v>
      </c>
      <c r="B78" s="3994"/>
      <c r="C78" s="3088" t="s">
        <v>2661</v>
      </c>
      <c r="D78" s="3088" t="s">
        <v>2662</v>
      </c>
      <c r="E78" s="3114">
        <v>0.15</v>
      </c>
      <c r="F78" s="3114">
        <v>20</v>
      </c>
    </row>
    <row r="79" spans="1:7" ht="24">
      <c r="A79" s="3114">
        <v>7</v>
      </c>
      <c r="B79" s="3994"/>
      <c r="C79" s="3088" t="s">
        <v>2663</v>
      </c>
      <c r="D79" s="3088" t="s">
        <v>2664</v>
      </c>
      <c r="E79" s="3114">
        <v>0.15</v>
      </c>
      <c r="F79" s="3114">
        <v>20</v>
      </c>
    </row>
    <row r="80" spans="1:7" ht="24">
      <c r="A80" s="3114">
        <v>8</v>
      </c>
      <c r="B80" s="3994"/>
      <c r="C80" s="3088" t="s">
        <v>2665</v>
      </c>
      <c r="D80" s="3088" t="s">
        <v>2666</v>
      </c>
      <c r="E80" s="3114">
        <v>0.1</v>
      </c>
      <c r="F80" s="3114">
        <v>15</v>
      </c>
    </row>
    <row r="81" spans="1:6" ht="24">
      <c r="A81" s="3114">
        <v>9</v>
      </c>
      <c r="B81" s="3994"/>
      <c r="C81" s="3088" t="s">
        <v>2667</v>
      </c>
      <c r="D81" s="3088" t="s">
        <v>2668</v>
      </c>
      <c r="E81" s="3114">
        <v>0.1</v>
      </c>
      <c r="F81" s="3114">
        <v>15</v>
      </c>
    </row>
    <row r="82" spans="1:6" ht="24">
      <c r="A82" s="3114">
        <v>10</v>
      </c>
      <c r="B82" s="3994"/>
      <c r="C82" s="3088" t="s">
        <v>2669</v>
      </c>
      <c r="D82" s="3088" t="s">
        <v>2670</v>
      </c>
      <c r="E82" s="3114">
        <v>0.1</v>
      </c>
      <c r="F82" s="3114">
        <v>15</v>
      </c>
    </row>
    <row r="83" spans="1:6" ht="24">
      <c r="A83" s="3114">
        <v>11</v>
      </c>
      <c r="B83" s="3994"/>
      <c r="C83" s="3088" t="s">
        <v>2671</v>
      </c>
      <c r="D83" s="3088" t="s">
        <v>2672</v>
      </c>
      <c r="E83" s="3114">
        <v>0.1</v>
      </c>
      <c r="F83" s="3114">
        <v>15</v>
      </c>
    </row>
    <row r="84" spans="1:6" ht="24">
      <c r="A84" s="3114">
        <v>12</v>
      </c>
      <c r="B84" s="3994"/>
      <c r="C84" s="3088" t="s">
        <v>2673</v>
      </c>
      <c r="D84" s="3088" t="s">
        <v>2674</v>
      </c>
      <c r="E84" s="3114">
        <v>0.1</v>
      </c>
      <c r="F84" s="3114">
        <v>15</v>
      </c>
    </row>
    <row r="85" spans="1:6" ht="13.5">
      <c r="A85" s="3114">
        <v>13</v>
      </c>
      <c r="B85" s="3994"/>
      <c r="C85" s="3088" t="s">
        <v>2675</v>
      </c>
      <c r="D85" s="3088" t="s">
        <v>2676</v>
      </c>
      <c r="E85" s="3114">
        <v>0.1</v>
      </c>
      <c r="F85" s="3114">
        <v>15</v>
      </c>
    </row>
    <row r="86" spans="1:6" ht="13.5">
      <c r="A86" s="3114">
        <v>14</v>
      </c>
      <c r="B86" s="3994"/>
      <c r="C86" s="3088" t="s">
        <v>2677</v>
      </c>
      <c r="D86" s="3088" t="s">
        <v>2678</v>
      </c>
      <c r="E86" s="3114">
        <v>0.1</v>
      </c>
      <c r="F86" s="3114">
        <v>15</v>
      </c>
    </row>
    <row r="87" spans="1:6" ht="13.5">
      <c r="A87" s="3114">
        <v>15</v>
      </c>
      <c r="B87" s="3994"/>
      <c r="C87" s="3088" t="s">
        <v>2679</v>
      </c>
      <c r="D87" s="3088" t="s">
        <v>2680</v>
      </c>
      <c r="E87" s="3114">
        <v>0.1</v>
      </c>
      <c r="F87" s="3114">
        <v>15</v>
      </c>
    </row>
    <row r="88" spans="1:6" ht="24">
      <c r="A88" s="3114">
        <v>16</v>
      </c>
      <c r="B88" s="3994"/>
      <c r="C88" s="3088" t="s">
        <v>2681</v>
      </c>
      <c r="D88" s="3088" t="s">
        <v>2682</v>
      </c>
      <c r="E88" s="3114">
        <v>0.1</v>
      </c>
      <c r="F88" s="3114">
        <v>15</v>
      </c>
    </row>
    <row r="89" spans="1:6" ht="24">
      <c r="A89" s="3114">
        <v>17</v>
      </c>
      <c r="B89" s="4003"/>
      <c r="C89" s="3088" t="s">
        <v>2683</v>
      </c>
      <c r="D89" s="3088" t="s">
        <v>2684</v>
      </c>
      <c r="E89" s="3114">
        <v>0.1</v>
      </c>
      <c r="F89" s="3114">
        <v>15</v>
      </c>
    </row>
    <row r="90" spans="1:6" ht="13.5">
      <c r="A90" s="3114">
        <v>18</v>
      </c>
      <c r="B90" s="3999" t="s">
        <v>2685</v>
      </c>
      <c r="C90" s="3088" t="s">
        <v>2686</v>
      </c>
      <c r="D90" s="3088" t="s">
        <v>2687</v>
      </c>
      <c r="E90" s="3114">
        <v>0.2</v>
      </c>
      <c r="F90" s="3114">
        <v>25</v>
      </c>
    </row>
    <row r="91" spans="1:6" ht="24">
      <c r="A91" s="3114">
        <v>19</v>
      </c>
      <c r="B91" s="3994"/>
      <c r="C91" s="3088" t="s">
        <v>2688</v>
      </c>
      <c r="D91" s="3088" t="s">
        <v>2689</v>
      </c>
      <c r="E91" s="3114">
        <v>0.2</v>
      </c>
      <c r="F91" s="3114">
        <v>25</v>
      </c>
    </row>
    <row r="92" spans="1:6" ht="13.5">
      <c r="A92" s="3114">
        <v>20</v>
      </c>
      <c r="B92" s="3994"/>
      <c r="C92" s="3088" t="s">
        <v>2690</v>
      </c>
      <c r="D92" s="3088" t="s">
        <v>2691</v>
      </c>
      <c r="E92" s="3114">
        <v>0.15</v>
      </c>
      <c r="F92" s="3114">
        <v>20</v>
      </c>
    </row>
    <row r="93" spans="1:6" ht="13.5">
      <c r="A93" s="3114">
        <v>21</v>
      </c>
      <c r="B93" s="3994"/>
      <c r="C93" s="3088" t="s">
        <v>2692</v>
      </c>
      <c r="D93" s="3088" t="s">
        <v>2693</v>
      </c>
      <c r="E93" s="3114">
        <v>0.15</v>
      </c>
      <c r="F93" s="3114">
        <v>20</v>
      </c>
    </row>
    <row r="94" spans="1:6" ht="13.5">
      <c r="A94" s="3114">
        <v>22</v>
      </c>
      <c r="B94" s="3994"/>
      <c r="C94" s="3088" t="s">
        <v>2694</v>
      </c>
      <c r="D94" s="3088" t="s">
        <v>2695</v>
      </c>
      <c r="E94" s="3114">
        <v>0.15</v>
      </c>
      <c r="F94" s="3114">
        <v>20</v>
      </c>
    </row>
    <row r="95" spans="1:6" ht="36">
      <c r="A95" s="3114">
        <v>23</v>
      </c>
      <c r="B95" s="3994"/>
      <c r="C95" s="3088" t="s">
        <v>2696</v>
      </c>
      <c r="D95" s="3088" t="s">
        <v>2697</v>
      </c>
      <c r="E95" s="3114">
        <v>0.15</v>
      </c>
      <c r="F95" s="3114">
        <v>20</v>
      </c>
    </row>
    <row r="96" spans="1:6" ht="13.5">
      <c r="A96" s="3114">
        <v>24</v>
      </c>
      <c r="B96" s="3994"/>
      <c r="C96" s="3088" t="s">
        <v>2698</v>
      </c>
      <c r="D96" s="3088" t="s">
        <v>2699</v>
      </c>
      <c r="E96" s="3114">
        <v>0.1</v>
      </c>
      <c r="F96" s="3114">
        <v>15</v>
      </c>
    </row>
    <row r="97" spans="1:6" ht="13.5">
      <c r="A97" s="3114">
        <v>25</v>
      </c>
      <c r="B97" s="3994"/>
      <c r="C97" s="3088" t="s">
        <v>2700</v>
      </c>
      <c r="D97" s="3088" t="s">
        <v>2701</v>
      </c>
      <c r="E97" s="3114">
        <v>0.1</v>
      </c>
      <c r="F97" s="3114">
        <v>15</v>
      </c>
    </row>
    <row r="98" spans="1:6" ht="24">
      <c r="A98" s="3114">
        <v>26</v>
      </c>
      <c r="B98" s="3994"/>
      <c r="C98" s="3088" t="s">
        <v>2702</v>
      </c>
      <c r="D98" s="3088" t="s">
        <v>2703</v>
      </c>
      <c r="E98" s="3114">
        <v>0.1</v>
      </c>
      <c r="F98" s="3114">
        <v>15</v>
      </c>
    </row>
    <row r="99" spans="1:6" ht="24">
      <c r="A99" s="3114">
        <v>27</v>
      </c>
      <c r="B99" s="3994"/>
      <c r="C99" s="3088" t="s">
        <v>2704</v>
      </c>
      <c r="D99" s="3088" t="s">
        <v>2705</v>
      </c>
      <c r="E99" s="3114">
        <v>0.1</v>
      </c>
      <c r="F99" s="3114">
        <v>15</v>
      </c>
    </row>
    <row r="100" spans="1:6" ht="13.5">
      <c r="A100" s="3114">
        <v>28</v>
      </c>
      <c r="B100" s="3994"/>
      <c r="C100" s="3088" t="s">
        <v>2706</v>
      </c>
      <c r="D100" s="3088" t="s">
        <v>2707</v>
      </c>
      <c r="E100" s="3114">
        <v>0.1</v>
      </c>
      <c r="F100" s="3114">
        <v>15</v>
      </c>
    </row>
    <row r="101" spans="1:6" ht="13.5">
      <c r="A101" s="3114">
        <v>29</v>
      </c>
      <c r="B101" s="3994"/>
      <c r="C101" s="3088" t="s">
        <v>2708</v>
      </c>
      <c r="D101" s="3088" t="s">
        <v>2709</v>
      </c>
      <c r="E101" s="3114">
        <v>0.1</v>
      </c>
      <c r="F101" s="3114">
        <v>15</v>
      </c>
    </row>
    <row r="102" spans="1:6" ht="13.5">
      <c r="A102" s="3114">
        <v>30</v>
      </c>
      <c r="B102" s="3994"/>
      <c r="C102" s="3088" t="s">
        <v>2710</v>
      </c>
      <c r="D102" s="3088" t="s">
        <v>2711</v>
      </c>
      <c r="E102" s="3114">
        <v>0.1</v>
      </c>
      <c r="F102" s="3114">
        <v>15</v>
      </c>
    </row>
    <row r="103" spans="1:6" ht="24">
      <c r="A103" s="3114">
        <v>31</v>
      </c>
      <c r="B103" s="3994"/>
      <c r="C103" s="3088" t="s">
        <v>2712</v>
      </c>
      <c r="D103" s="3088" t="s">
        <v>2713</v>
      </c>
      <c r="E103" s="3114">
        <v>0.1</v>
      </c>
      <c r="F103" s="3114">
        <v>15</v>
      </c>
    </row>
    <row r="104" spans="1:6" ht="24">
      <c r="A104" s="3114">
        <v>32</v>
      </c>
      <c r="B104" s="3994"/>
      <c r="C104" s="3088" t="s">
        <v>2714</v>
      </c>
      <c r="D104" s="3088" t="s">
        <v>2715</v>
      </c>
      <c r="E104" s="3114">
        <v>0.1</v>
      </c>
      <c r="F104" s="3114">
        <v>15</v>
      </c>
    </row>
    <row r="105" spans="1:6" ht="24">
      <c r="A105" s="3114">
        <v>33</v>
      </c>
      <c r="B105" s="3994"/>
      <c r="C105" s="3088" t="s">
        <v>2716</v>
      </c>
      <c r="D105" s="3088" t="s">
        <v>2717</v>
      </c>
      <c r="E105" s="3114">
        <v>0.1</v>
      </c>
      <c r="F105" s="3114">
        <v>15</v>
      </c>
    </row>
    <row r="106" spans="1:6" ht="24">
      <c r="A106" s="3114">
        <v>34</v>
      </c>
      <c r="B106" s="4003"/>
      <c r="C106" s="3088" t="s">
        <v>2718</v>
      </c>
      <c r="D106" s="3088" t="s">
        <v>2719</v>
      </c>
      <c r="E106" s="3114">
        <v>0.1</v>
      </c>
      <c r="F106" s="3114">
        <v>15</v>
      </c>
    </row>
    <row r="107" spans="1:6" ht="24">
      <c r="A107" s="3114">
        <v>35</v>
      </c>
      <c r="B107" s="3999" t="s">
        <v>2720</v>
      </c>
      <c r="C107" s="3114" t="s">
        <v>2721</v>
      </c>
      <c r="D107" s="3088" t="s">
        <v>2722</v>
      </c>
      <c r="E107" s="3114">
        <v>0.15</v>
      </c>
      <c r="F107" s="3114">
        <v>20</v>
      </c>
    </row>
    <row r="108" spans="1:6" ht="13.5">
      <c r="A108" s="3114">
        <v>36</v>
      </c>
      <c r="B108" s="3994"/>
      <c r="C108" s="3114" t="s">
        <v>2723</v>
      </c>
      <c r="D108" s="3088" t="s">
        <v>2724</v>
      </c>
      <c r="E108" s="3114">
        <v>0.15</v>
      </c>
      <c r="F108" s="3114">
        <v>20</v>
      </c>
    </row>
    <row r="109" spans="1:6" ht="13.5">
      <c r="A109" s="3114">
        <v>37</v>
      </c>
      <c r="B109" s="3994"/>
      <c r="C109" s="3114" t="s">
        <v>2725</v>
      </c>
      <c r="D109" s="3088" t="s">
        <v>2726</v>
      </c>
      <c r="E109" s="3114">
        <v>0.15</v>
      </c>
      <c r="F109" s="3114">
        <v>20</v>
      </c>
    </row>
    <row r="110" spans="1:6" ht="13.5">
      <c r="A110" s="3114">
        <v>38</v>
      </c>
      <c r="B110" s="3994"/>
      <c r="C110" s="3114" t="s">
        <v>2727</v>
      </c>
      <c r="D110" s="3088" t="s">
        <v>2728</v>
      </c>
      <c r="E110" s="3114">
        <v>0.1</v>
      </c>
      <c r="F110" s="3114">
        <v>15</v>
      </c>
    </row>
    <row r="111" spans="1:6" ht="24">
      <c r="A111" s="3114">
        <v>39</v>
      </c>
      <c r="B111" s="3994"/>
      <c r="C111" s="3114" t="s">
        <v>2729</v>
      </c>
      <c r="D111" s="3088" t="s">
        <v>2730</v>
      </c>
      <c r="E111" s="3114">
        <v>0.1</v>
      </c>
      <c r="F111" s="3114">
        <v>15</v>
      </c>
    </row>
    <row r="112" spans="1:6" ht="24">
      <c r="A112" s="3114">
        <v>40</v>
      </c>
      <c r="B112" s="4003"/>
      <c r="C112" s="3114" t="s">
        <v>2731</v>
      </c>
      <c r="D112" s="3088" t="s">
        <v>2732</v>
      </c>
      <c r="E112" s="3114">
        <v>0.1</v>
      </c>
      <c r="F112" s="3114">
        <v>15</v>
      </c>
    </row>
    <row r="113" spans="1:6" ht="13.5">
      <c r="A113" s="3114">
        <v>41</v>
      </c>
      <c r="B113" s="4004" t="s">
        <v>2733</v>
      </c>
      <c r="C113" s="3114" t="s">
        <v>2734</v>
      </c>
      <c r="D113" s="3088" t="s">
        <v>2735</v>
      </c>
      <c r="E113" s="3114">
        <v>0.1</v>
      </c>
      <c r="F113" s="3114">
        <v>15</v>
      </c>
    </row>
    <row r="114" spans="1:6" ht="13.5">
      <c r="A114" s="3114">
        <v>42</v>
      </c>
      <c r="B114" s="4004"/>
      <c r="C114" s="3114" t="s">
        <v>2736</v>
      </c>
      <c r="D114" s="3088" t="s">
        <v>2737</v>
      </c>
      <c r="E114" s="3114">
        <v>0.1</v>
      </c>
      <c r="F114" s="3114">
        <v>15</v>
      </c>
    </row>
    <row r="115" spans="1:6" ht="24">
      <c r="A115" s="3114">
        <v>43</v>
      </c>
      <c r="B115" s="4004"/>
      <c r="C115" s="3114" t="s">
        <v>2738</v>
      </c>
      <c r="D115" s="3088" t="s">
        <v>2739</v>
      </c>
      <c r="E115" s="3114">
        <v>0.1</v>
      </c>
      <c r="F115" s="3114">
        <v>15</v>
      </c>
    </row>
    <row r="116" spans="1:6" ht="13.5">
      <c r="A116" s="3114">
        <v>44</v>
      </c>
      <c r="B116" s="3999" t="s">
        <v>2740</v>
      </c>
      <c r="C116" s="3114" t="s">
        <v>2741</v>
      </c>
      <c r="D116" s="3088" t="s">
        <v>2742</v>
      </c>
      <c r="E116" s="3114">
        <v>0.1</v>
      </c>
      <c r="F116" s="3114">
        <v>15</v>
      </c>
    </row>
    <row r="117" spans="1:6" ht="24">
      <c r="A117" s="3114">
        <v>45</v>
      </c>
      <c r="B117" s="4003"/>
      <c r="C117" s="3088" t="s">
        <v>2743</v>
      </c>
      <c r="D117" s="3088" t="s">
        <v>2744</v>
      </c>
      <c r="E117" s="3114">
        <v>0.1</v>
      </c>
      <c r="F117" s="3114">
        <v>15</v>
      </c>
    </row>
    <row r="118" spans="1:6" ht="24">
      <c r="A118" s="3114">
        <v>46</v>
      </c>
      <c r="B118" s="3999" t="s">
        <v>2745</v>
      </c>
      <c r="C118" s="3114" t="s">
        <v>2746</v>
      </c>
      <c r="D118" s="3088" t="s">
        <v>2747</v>
      </c>
      <c r="E118" s="3114">
        <v>0.1</v>
      </c>
      <c r="F118" s="3114">
        <v>15</v>
      </c>
    </row>
    <row r="119" spans="1:6" ht="24">
      <c r="A119" s="3114">
        <v>47</v>
      </c>
      <c r="B119" s="4003"/>
      <c r="C119" s="3114" t="s">
        <v>2748</v>
      </c>
      <c r="D119" s="3088" t="s">
        <v>2749</v>
      </c>
      <c r="E119" s="3114">
        <v>0.1</v>
      </c>
      <c r="F119" s="3114">
        <v>15</v>
      </c>
    </row>
    <row r="120" spans="1:6" ht="13.5">
      <c r="A120" s="3114">
        <v>48</v>
      </c>
      <c r="B120" s="3999" t="s">
        <v>2750</v>
      </c>
      <c r="C120" s="3114" t="s">
        <v>2751</v>
      </c>
      <c r="D120" s="3088" t="s">
        <v>2752</v>
      </c>
      <c r="E120" s="3114">
        <v>0.1</v>
      </c>
      <c r="F120" s="3114">
        <v>15</v>
      </c>
    </row>
    <row r="121" spans="1:6" ht="13.5">
      <c r="A121" s="3114">
        <v>49</v>
      </c>
      <c r="B121" s="4003"/>
      <c r="C121" s="3114" t="s">
        <v>2753</v>
      </c>
      <c r="D121" s="3088" t="s">
        <v>2754</v>
      </c>
      <c r="E121" s="3114">
        <v>0.1</v>
      </c>
      <c r="F121" s="3114">
        <v>15</v>
      </c>
    </row>
    <row r="122" spans="1:6" ht="24">
      <c r="A122" s="3114">
        <v>50</v>
      </c>
      <c r="B122" s="4004" t="s">
        <v>2755</v>
      </c>
      <c r="C122" s="3114" t="s">
        <v>2756</v>
      </c>
      <c r="D122" s="3088" t="s">
        <v>2757</v>
      </c>
      <c r="E122" s="3114">
        <v>0.1</v>
      </c>
      <c r="F122" s="3114">
        <v>15</v>
      </c>
    </row>
    <row r="123" spans="1:6" ht="24">
      <c r="A123" s="3114">
        <v>51</v>
      </c>
      <c r="B123" s="4004"/>
      <c r="C123" s="3114" t="s">
        <v>2758</v>
      </c>
      <c r="D123" s="3088" t="s">
        <v>2759</v>
      </c>
      <c r="E123" s="3114">
        <v>0.1</v>
      </c>
      <c r="F123" s="3114">
        <v>15</v>
      </c>
    </row>
    <row r="124" spans="1:6" ht="24">
      <c r="A124" s="3114">
        <v>52</v>
      </c>
      <c r="B124" s="4004" t="s">
        <v>2760</v>
      </c>
      <c r="C124" s="3114" t="s">
        <v>2761</v>
      </c>
      <c r="D124" s="3088" t="s">
        <v>2762</v>
      </c>
      <c r="E124" s="3114">
        <v>0.1</v>
      </c>
      <c r="F124" s="3114">
        <v>15</v>
      </c>
    </row>
    <row r="125" spans="1:6" ht="24">
      <c r="A125" s="3114">
        <v>53</v>
      </c>
      <c r="B125" s="4004"/>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4004" t="s">
        <v>2768</v>
      </c>
      <c r="C127" s="3114" t="s">
        <v>2769</v>
      </c>
      <c r="D127" s="3088" t="s">
        <v>2770</v>
      </c>
      <c r="E127" s="3114">
        <v>0.1</v>
      </c>
      <c r="F127" s="3114">
        <v>15</v>
      </c>
    </row>
    <row r="128" spans="1:6" ht="13.5">
      <c r="A128" s="3114">
        <v>56</v>
      </c>
      <c r="B128" s="4004"/>
      <c r="C128" s="3114" t="s">
        <v>2771</v>
      </c>
      <c r="D128" s="3088" t="s">
        <v>2772</v>
      </c>
      <c r="E128" s="3114">
        <v>0.1</v>
      </c>
      <c r="F128" s="3114">
        <v>15</v>
      </c>
    </row>
    <row r="129" spans="1:6" ht="24">
      <c r="A129" s="3114">
        <v>57</v>
      </c>
      <c r="B129" s="4004"/>
      <c r="C129" s="3114" t="s">
        <v>2773</v>
      </c>
      <c r="D129" s="3088" t="s">
        <v>2774</v>
      </c>
      <c r="E129" s="3114">
        <v>0.1</v>
      </c>
      <c r="F129" s="3114">
        <v>15</v>
      </c>
    </row>
    <row r="130" spans="1:6" ht="24">
      <c r="A130" s="3114">
        <v>58</v>
      </c>
      <c r="B130" s="4004" t="s">
        <v>2775</v>
      </c>
      <c r="C130" s="3114" t="s">
        <v>2776</v>
      </c>
      <c r="D130" s="3088" t="s">
        <v>2777</v>
      </c>
      <c r="E130" s="3114">
        <v>0.1</v>
      </c>
      <c r="F130" s="3114">
        <v>15</v>
      </c>
    </row>
    <row r="131" spans="1:6" ht="13.5">
      <c r="A131" s="3114">
        <v>59</v>
      </c>
      <c r="B131" s="4004"/>
      <c r="C131" s="3114" t="s">
        <v>2778</v>
      </c>
      <c r="D131" s="3088" t="s">
        <v>2779</v>
      </c>
      <c r="E131" s="3114">
        <v>0.1</v>
      </c>
      <c r="F131" s="3114">
        <v>15</v>
      </c>
    </row>
    <row r="132" spans="1:6" ht="13.5">
      <c r="A132" s="3114">
        <v>60</v>
      </c>
      <c r="B132" s="3999" t="s">
        <v>2780</v>
      </c>
      <c r="C132" s="3114" t="s">
        <v>2781</v>
      </c>
      <c r="D132" s="3088" t="s">
        <v>2782</v>
      </c>
      <c r="E132" s="3114">
        <v>0.1</v>
      </c>
      <c r="F132" s="3114">
        <v>15</v>
      </c>
    </row>
    <row r="133" spans="1:6" ht="13.5">
      <c r="A133" s="3114">
        <v>61</v>
      </c>
      <c r="B133" s="4003"/>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4004" t="s">
        <v>2788</v>
      </c>
      <c r="C135" s="3114" t="s">
        <v>2789</v>
      </c>
      <c r="D135" s="3088" t="s">
        <v>2790</v>
      </c>
      <c r="E135" s="3114">
        <v>0.1</v>
      </c>
      <c r="F135" s="3114">
        <v>15</v>
      </c>
    </row>
    <row r="136" spans="1:6" ht="13.5">
      <c r="A136" s="3114">
        <v>64</v>
      </c>
      <c r="B136" s="4004"/>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2797</v>
      </c>
      <c r="B1" s="3123"/>
      <c r="C1" s="3123"/>
      <c r="D1" s="3123"/>
      <c r="E1" s="3123"/>
      <c r="F1" s="3123"/>
      <c r="G1" s="3123"/>
      <c r="H1" s="3123"/>
      <c r="I1" s="3123"/>
      <c r="J1" s="3123"/>
      <c r="K1" s="3123"/>
      <c r="L1" s="3123"/>
      <c r="M1" s="3123"/>
      <c r="N1" s="749"/>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50">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50">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29278</v>
      </c>
      <c r="C2" s="2" t="s">
        <v>106</v>
      </c>
      <c r="D2" s="199"/>
      <c r="E2" s="199"/>
      <c r="F2" s="199"/>
      <c r="G2" s="199"/>
    </row>
    <row r="3" spans="1:7" s="200" customFormat="1" ht="18" customHeight="1" thickBot="1">
      <c r="A3" s="203" t="s">
        <v>58</v>
      </c>
      <c r="B3" s="204">
        <f ca="1">ROUND(B2*10000/'数据-汇总表'!E3,0)</f>
        <v>481309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608.29999999999995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608.29999999999995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274</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608.29999999999995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801" t="s">
        <v>94</v>
      </c>
    </row>
    <row r="43" spans="1:7" ht="13.5" customHeight="1">
      <c r="A43" s="780" t="s">
        <v>347</v>
      </c>
      <c r="B43" s="215" t="s">
        <v>426</v>
      </c>
      <c r="C43" s="238">
        <f ca="1">ROUND(IF('数据-取费表'!B22&lt;=1,C39*F22*'数据-取费表'!B21/2,C39*(POWER((1+F22),'数据-取费表'!B21/2)-1)),0)</f>
        <v>0</v>
      </c>
      <c r="D43" s="238"/>
      <c r="E43" s="238"/>
      <c r="F43" s="239"/>
      <c r="G43" s="3802"/>
    </row>
    <row r="44" spans="1:7" ht="13.5" customHeight="1">
      <c r="A44" s="780" t="s">
        <v>348</v>
      </c>
      <c r="B44" s="215" t="s">
        <v>428</v>
      </c>
      <c r="C44" s="238">
        <f ca="1">ROUND(IF('数据-取费表'!B22&lt;=1,C40*F22*'数据-取费表'!B21/2,C40*(POWER((1+F22),'数据-取费表'!B21/2)-1)),4)</f>
        <v>6.9999999999999999E-4</v>
      </c>
      <c r="D44" s="238"/>
      <c r="E44" s="238"/>
      <c r="F44" s="239"/>
      <c r="G44" s="3803"/>
    </row>
    <row r="45" spans="1:7" s="214" customFormat="1" ht="13.5" customHeight="1">
      <c r="A45" s="777" t="s">
        <v>341</v>
      </c>
      <c r="B45" s="244" t="s">
        <v>85</v>
      </c>
      <c r="C45" s="245">
        <f>C46</f>
        <v>61</v>
      </c>
      <c r="D45" s="235">
        <f>C47</f>
        <v>4.0000000000000001E-3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407</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315</v>
      </c>
      <c r="D51" s="232"/>
      <c r="E51" s="232"/>
      <c r="F51" s="264"/>
      <c r="G51" s="234" t="s">
        <v>37</v>
      </c>
    </row>
    <row r="52" spans="1:7" s="208" customFormat="1" ht="16.5" thickBot="1">
      <c r="A52" s="265" t="s">
        <v>38</v>
      </c>
      <c r="B52" s="266"/>
      <c r="C52" s="267">
        <f ca="1">C31+C51</f>
        <v>29278</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3"/>
      <c r="C2" s="3623"/>
      <c r="D2" s="3623"/>
      <c r="E2" s="3623"/>
    </row>
    <row r="3" spans="1:5" ht="18">
      <c r="A3" s="3624" t="str">
        <f>IF(项目基本情况!B9="房地产市场价值","估价结果一览表（市场价值不需“结果表-1”）","估价结果一览表")</f>
        <v>估价结果一览表（市场价值不需“结果表-1”）</v>
      </c>
      <c r="B3" s="3624"/>
      <c r="C3" s="3624"/>
      <c r="D3" s="3624"/>
      <c r="E3" s="3624"/>
    </row>
    <row r="4" spans="1:5" ht="19.5" thickBot="1">
      <c r="A4" s="1493"/>
      <c r="B4" s="3622" t="s">
        <v>917</v>
      </c>
      <c r="C4" s="3622"/>
      <c r="D4" s="3622"/>
      <c r="E4" s="1493"/>
    </row>
    <row r="5" spans="1:5" ht="16.5" thickTop="1">
      <c r="A5" s="1491"/>
      <c r="B5" s="3620" t="s">
        <v>909</v>
      </c>
      <c r="C5" s="1494" t="s">
        <v>910</v>
      </c>
      <c r="D5" s="850" t="e">
        <f ca="1">结果表!H101</f>
        <v>#REF!</v>
      </c>
      <c r="E5" s="1491"/>
    </row>
    <row r="6" spans="1:5" ht="15.75">
      <c r="A6" s="1491"/>
      <c r="B6" s="3620"/>
      <c r="C6" s="1494" t="s">
        <v>911</v>
      </c>
      <c r="D6" s="850" t="e">
        <f ca="1">NUMBERSTRING(INT(D5*10000),2)&amp;"元整"</f>
        <v>#REF!</v>
      </c>
      <c r="E6" s="1491"/>
    </row>
    <row r="7" spans="1:5" ht="15.75">
      <c r="A7" s="1491"/>
      <c r="B7" s="3625"/>
      <c r="C7" s="1495" t="s">
        <v>912</v>
      </c>
      <c r="D7" s="851" t="e">
        <f ca="1">结果表!H102</f>
        <v>#REF!</v>
      </c>
      <c r="E7" s="1491"/>
    </row>
    <row r="8" spans="1:5" ht="15.75">
      <c r="A8" s="1491"/>
      <c r="B8" s="3626" t="str">
        <f>结果表!E103</f>
        <v>2.估价师知悉的法定优先受偿款</v>
      </c>
      <c r="C8" s="1496" t="s">
        <v>913</v>
      </c>
      <c r="D8" s="851">
        <f>结果表!H103</f>
        <v>0</v>
      </c>
      <c r="E8" s="1491"/>
    </row>
    <row r="9" spans="1:5" ht="15.75">
      <c r="A9" s="1491"/>
      <c r="B9" s="362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9" t="str">
        <f>结果表!E107</f>
        <v>3.房地产抵押价值</v>
      </c>
      <c r="C13" s="1499" t="s">
        <v>910</v>
      </c>
      <c r="D13" s="853" t="e">
        <f ca="1">结果表!H107</f>
        <v>#REF!</v>
      </c>
      <c r="E13" s="1491"/>
    </row>
    <row r="14" spans="1:5" ht="15.75">
      <c r="A14" s="1491"/>
      <c r="B14" s="3620"/>
      <c r="C14" s="1494" t="s">
        <v>911</v>
      </c>
      <c r="D14" s="850" t="e">
        <f ca="1">NUMBERSTRING(INT(D13*10000),2)&amp;"元整"</f>
        <v>#REF!</v>
      </c>
      <c r="E14" s="1491"/>
    </row>
    <row r="15" spans="1:5" ht="15">
      <c r="A15" s="1491"/>
      <c r="B15" s="3625"/>
      <c r="C15" s="1495" t="s">
        <v>921</v>
      </c>
      <c r="D15" s="859" t="e">
        <f ca="1">结果表!H108</f>
        <v>#REF!</v>
      </c>
      <c r="E15" s="1491"/>
    </row>
    <row r="16" spans="1:5" ht="15">
      <c r="A16" s="1491"/>
      <c r="B16" s="3626" t="str">
        <f>结果表!E109</f>
        <v>——</v>
      </c>
      <c r="C16" s="1499" t="s">
        <v>922</v>
      </c>
      <c r="D16" s="1500" t="str">
        <f>结果表!H109</f>
        <v>——</v>
      </c>
      <c r="E16" s="1491"/>
    </row>
    <row r="17" spans="1:5" ht="15.75">
      <c r="A17" s="1491"/>
      <c r="B17" s="3627"/>
      <c r="C17" s="1494" t="s">
        <v>923</v>
      </c>
      <c r="D17" s="850" t="e">
        <f>NUMBERSTRING(INT(D16*10000),2)&amp;"元整"</f>
        <v>#VALUE!</v>
      </c>
      <c r="E17" s="1491"/>
    </row>
    <row r="18" spans="1:5" ht="15">
      <c r="A18" s="1491"/>
      <c r="B18" s="3628"/>
      <c r="C18" s="1495" t="s">
        <v>912</v>
      </c>
      <c r="D18" s="859" t="str">
        <f>结果表!H110</f>
        <v>——</v>
      </c>
      <c r="E18" s="1491"/>
    </row>
    <row r="19" spans="1:5" ht="15.75">
      <c r="A19" s="1491"/>
      <c r="B19" s="3619" t="str">
        <f>结果表!E111</f>
        <v>——</v>
      </c>
      <c r="C19" s="1499" t="s">
        <v>910</v>
      </c>
      <c r="D19" s="851" t="str">
        <f>结果表!H111</f>
        <v>——</v>
      </c>
      <c r="E19" s="1491"/>
    </row>
    <row r="20" spans="1:5" ht="15.75">
      <c r="A20" s="1491"/>
      <c r="B20" s="3620"/>
      <c r="C20" s="1494" t="s">
        <v>923</v>
      </c>
      <c r="D20" s="850" t="e">
        <f>NUMBERSTRING(INT(D19*10000),2)&amp;"元整"</f>
        <v>#VALUE!</v>
      </c>
      <c r="E20" s="1491"/>
    </row>
    <row r="21" spans="1:5" ht="15.75" thickBot="1">
      <c r="A21" s="1491"/>
      <c r="B21" s="362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4007" t="s">
        <v>2842</v>
      </c>
      <c r="B1" s="4007"/>
      <c r="C1" s="4007"/>
      <c r="D1" s="4007"/>
      <c r="E1" s="4007"/>
      <c r="F1" s="4007"/>
      <c r="G1" s="4008"/>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4005" t="s">
        <v>2869</v>
      </c>
      <c r="B3" s="3226"/>
      <c r="C3" s="3227" t="s">
        <v>2810</v>
      </c>
      <c r="D3" s="3227" t="s">
        <v>2870</v>
      </c>
      <c r="E3" s="3227" t="s">
        <v>2812</v>
      </c>
      <c r="F3" s="3227" t="s">
        <v>2871</v>
      </c>
      <c r="G3" s="3227" t="s">
        <v>2630</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4006"/>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4009" t="s">
        <v>3184</v>
      </c>
      <c r="B1" s="4009"/>
    </row>
    <row r="2" spans="1:7" ht="14.25" thickBot="1">
      <c r="A2" s="3251"/>
      <c r="B2" s="3251"/>
    </row>
    <row r="3" spans="1:7" ht="14.25" thickBot="1">
      <c r="A3" s="3251"/>
      <c r="B3" s="3251"/>
      <c r="C3" s="3252" t="s">
        <v>2810</v>
      </c>
      <c r="D3" s="3252" t="s">
        <v>2870</v>
      </c>
      <c r="E3" s="3252" t="s">
        <v>2812</v>
      </c>
      <c r="F3" s="3252" t="s">
        <v>2871</v>
      </c>
      <c r="G3" s="3252" t="s">
        <v>2630</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4010" t="s">
        <v>3235</v>
      </c>
      <c r="B1" s="4010"/>
      <c r="C1" s="4010"/>
      <c r="D1" s="4010"/>
      <c r="E1" s="4010"/>
      <c r="F1" s="4011"/>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2841</v>
      </c>
      <c r="C1" s="3207"/>
      <c r="D1" s="3207"/>
      <c r="E1" s="3207"/>
      <c r="F1" s="3207"/>
      <c r="G1" s="3207"/>
      <c r="H1" s="3207"/>
      <c r="I1" s="3207"/>
      <c r="J1" s="3161"/>
      <c r="K1" s="3207" t="s">
        <v>454</v>
      </c>
      <c r="L1" s="3207"/>
      <c r="M1" s="3207"/>
      <c r="N1" s="3207"/>
      <c r="O1" s="3207"/>
      <c r="P1" s="3207"/>
      <c r="Q1" s="3161"/>
      <c r="R1" s="4012" t="s">
        <v>456</v>
      </c>
      <c r="S1" s="4013"/>
      <c r="T1" s="4013"/>
      <c r="U1" s="4013"/>
      <c r="V1" s="4013"/>
      <c r="W1" s="4013"/>
      <c r="X1" s="3161"/>
      <c r="Y1" s="4012" t="s">
        <v>457</v>
      </c>
      <c r="Z1" s="4013"/>
      <c r="AA1" s="4013"/>
      <c r="AB1" s="4013"/>
      <c r="AC1" s="4013"/>
      <c r="AD1" s="4013"/>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2819</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2820</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3"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4012" t="s">
        <v>2829</v>
      </c>
      <c r="S21" s="4013"/>
      <c r="T21" s="4013"/>
      <c r="U21" s="4013"/>
      <c r="V21" s="4013"/>
      <c r="W21" s="4013"/>
      <c r="X21" s="3161"/>
      <c r="Y21" s="4012" t="s">
        <v>2830</v>
      </c>
      <c r="Z21" s="4013"/>
      <c r="AA21" s="4013"/>
      <c r="AB21" s="4013"/>
      <c r="AC21" s="4013"/>
      <c r="AD21" s="4013"/>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4"/>
      <c r="AB26" s="3444"/>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4"/>
      <c r="AB27" s="3444"/>
      <c r="AC27" s="3209"/>
      <c r="AD27" s="3180"/>
    </row>
    <row r="28" spans="1:30" s="3181" customFormat="1" ht="12.75">
      <c r="A28" s="3172" t="s">
        <v>2819</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4"/>
      <c r="AB28" s="3444"/>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9" t="s">
        <v>452</v>
      </c>
      <c r="C1" s="4019"/>
      <c r="D1" s="4019"/>
      <c r="E1" s="4019"/>
      <c r="F1" s="4019"/>
      <c r="G1" s="4015" t="s">
        <v>453</v>
      </c>
      <c r="H1" s="4015"/>
      <c r="I1" s="4015"/>
      <c r="J1" s="4015"/>
      <c r="K1" s="4015"/>
      <c r="L1" s="4015"/>
      <c r="N1" s="4015" t="s">
        <v>454</v>
      </c>
      <c r="O1" s="4015"/>
      <c r="P1" s="4015"/>
      <c r="Q1" s="4015"/>
      <c r="S1" s="4015" t="s">
        <v>455</v>
      </c>
      <c r="T1" s="4015"/>
      <c r="U1" s="4015"/>
      <c r="V1" s="4015"/>
      <c r="X1" s="4014" t="s">
        <v>456</v>
      </c>
      <c r="Y1" s="4015"/>
      <c r="Z1" s="4015"/>
      <c r="AA1" s="4015"/>
      <c r="AB1" s="4015"/>
      <c r="AD1" s="4014" t="s">
        <v>457</v>
      </c>
      <c r="AE1" s="4015"/>
      <c r="AF1" s="4015"/>
      <c r="AG1" s="4015"/>
      <c r="AH1" s="40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2"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2309</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0"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121660</v>
      </c>
      <c r="D8" s="222"/>
      <c r="E8" s="220"/>
      <c r="F8" s="221"/>
      <c r="G8" s="1856" t="s">
        <v>3532</v>
      </c>
      <c r="J8" s="3542"/>
      <c r="K8" s="3541"/>
      <c r="L8" s="3541"/>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121660</v>
      </c>
      <c r="D10" s="845">
        <f ca="1">IF(B1="",'数据-汇总表'!E6,IF(INDIRECT("'数据-取费表'!c"&amp;$G$1)="住宅",INDIRECT("'数据-取费表'!s"&amp;$G$1),INDIRECT("'数据-取费表'!k"&amp;$G$1)+INDIRECT("'数据-取费表'!s"&amp;$G$1)))</f>
        <v>608.29999999999995</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608.29999999999995</v>
      </c>
      <c r="E19" s="211">
        <f>'数据-取费表'!B31</f>
        <v>200</v>
      </c>
      <c r="F19" s="231"/>
      <c r="G19" s="1856" t="s">
        <v>3533</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2982191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2737350</v>
      </c>
      <c r="D34" s="217"/>
      <c r="E34" s="220"/>
      <c r="F34" s="257"/>
      <c r="G34" s="219"/>
    </row>
    <row r="35" spans="1:7" ht="13.5" customHeight="1">
      <c r="A35" s="780" t="s">
        <v>351</v>
      </c>
      <c r="B35" s="215" t="s">
        <v>1527</v>
      </c>
      <c r="C35" s="220">
        <f ca="1">ROUND(C34*F35,0)</f>
        <v>82121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121660</v>
      </c>
      <c r="D37" s="217">
        <f ca="1">D19</f>
        <v>608.29999999999995</v>
      </c>
      <c r="E37" s="249">
        <f>'数据-取费表'!B35</f>
        <v>200</v>
      </c>
      <c r="F37" s="259"/>
      <c r="G37" s="261"/>
    </row>
    <row r="38" spans="1:7" ht="13.5" customHeight="1">
      <c r="A38" s="780" t="s">
        <v>354</v>
      </c>
      <c r="B38" s="215" t="s">
        <v>1533</v>
      </c>
      <c r="C38" s="220">
        <f ca="1">ROUND(C34*F38,0)</f>
        <v>41060</v>
      </c>
      <c r="D38" s="220"/>
      <c r="E38" s="220"/>
      <c r="F38" s="259">
        <f>'数据-取费表'!B36</f>
        <v>1.4999999999999999E-2</v>
      </c>
      <c r="G38" s="219" t="s">
        <v>1528</v>
      </c>
    </row>
    <row r="39" spans="1:7" s="214" customFormat="1" ht="13.5" customHeight="1">
      <c r="A39" s="255" t="s">
        <v>1534</v>
      </c>
      <c r="B39" s="210" t="s">
        <v>1535</v>
      </c>
      <c r="C39" s="232">
        <f ca="1">ROUND(C33*F20,0)</f>
        <v>59644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104944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102886</v>
      </c>
      <c r="D42" s="238"/>
      <c r="E42" s="238"/>
      <c r="F42" s="239"/>
      <c r="G42" s="3801" t="s">
        <v>1591</v>
      </c>
    </row>
    <row r="43" spans="1:7" ht="13.5" customHeight="1">
      <c r="A43" s="780" t="s">
        <v>347</v>
      </c>
      <c r="B43" s="215" t="s">
        <v>1545</v>
      </c>
      <c r="C43" s="238">
        <f ca="1">ROUND(IF('数据-取费表'!B22&lt;=1,C39*F22*'数据-取费表'!B20/2,C39*(POWER((1+F22),'数据-取费表'!B20/2)-1)),0)</f>
        <v>2058</v>
      </c>
      <c r="D43" s="238"/>
      <c r="E43" s="238"/>
      <c r="F43" s="239"/>
      <c r="G43" s="3802"/>
    </row>
    <row r="44" spans="1:7" ht="13.5" customHeight="1">
      <c r="A44" s="780" t="s">
        <v>348</v>
      </c>
      <c r="B44" s="215" t="s">
        <v>1546</v>
      </c>
      <c r="C44" s="238">
        <f ca="1">ROUND(IF('数据-取费表'!B22&lt;=1,C40*F22*'数据-取费表'!B20/2,C40*(POWER((1+F22),'数据-取费表'!B20/2)-1)),4)</f>
        <v>6.9999999999999999E-4</v>
      </c>
      <c r="D44" s="238"/>
      <c r="E44" s="238"/>
      <c r="F44" s="239"/>
      <c r="G44" s="3803"/>
    </row>
    <row r="45" spans="1:7" s="214" customFormat="1" ht="13.5" customHeight="1">
      <c r="A45" s="255" t="s">
        <v>1547</v>
      </c>
      <c r="B45" s="244" t="s">
        <v>1513</v>
      </c>
      <c r="C45" s="245">
        <f ca="1">C46</f>
        <v>608367</v>
      </c>
      <c r="D45" s="235">
        <f ca="1">C47</f>
        <v>4.0000000000000001E-3</v>
      </c>
      <c r="E45" s="236" t="s">
        <v>1539</v>
      </c>
      <c r="F45" s="246">
        <f ca="1">F27</f>
        <v>0.2</v>
      </c>
      <c r="G45" s="247" t="s">
        <v>1548</v>
      </c>
    </row>
    <row r="46" spans="1:7" s="214" customFormat="1" ht="13.5" customHeight="1">
      <c r="A46" s="780" t="s">
        <v>346</v>
      </c>
      <c r="B46" s="248" t="s">
        <v>1549</v>
      </c>
      <c r="C46" s="249">
        <f ca="1">ROUND((C33+C39)*F27,0)</f>
        <v>608367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4072826</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3156440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608.29999999999995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t="s">
        <v>2438</v>
      </c>
      <c r="F3" s="2004" t="s">
        <v>3527</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4032"/>
      <c r="B4" s="4033"/>
      <c r="C4" s="4033"/>
      <c r="D4" s="4034"/>
      <c r="E4" s="4034"/>
      <c r="F4" s="4034"/>
      <c r="G4" s="4034"/>
      <c r="H4" s="4034"/>
      <c r="I4" s="4034"/>
      <c r="J4" s="403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5"/>
      <c r="B8" s="170" t="s">
        <v>1957</v>
      </c>
      <c r="C8" s="2026" t="s">
        <v>3528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4029" t="s">
        <v>1960</v>
      </c>
      <c r="X8" s="403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4031"/>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403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v>1</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3251</v>
      </c>
      <c r="E18" s="3325"/>
      <c r="F18" s="3320" t="s">
        <v>3254</v>
      </c>
      <c r="G18" s="3324">
        <f>ROUND(1-(1/(POWER(1+G24,E18))),4)</f>
        <v>0</v>
      </c>
      <c r="H18" s="3320" t="s">
        <v>3256</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4036" t="s">
        <v>3257</v>
      </c>
      <c r="B20" s="167" t="s">
        <v>1994</v>
      </c>
      <c r="C20" s="3321" t="e">
        <f>ROUND(IF(F21="与级别开发程度一致",0,(G21-E21)/C21),0)</f>
        <v>#DIV/0!</v>
      </c>
      <c r="D20" s="3337" t="s">
        <v>1998</v>
      </c>
      <c r="E20" s="3338"/>
      <c r="F20" s="4042" t="s">
        <v>1995</v>
      </c>
      <c r="G20" s="4043"/>
      <c r="H20" s="3322" t="s">
        <v>3515</v>
      </c>
      <c r="I20" s="3322" t="s">
        <v>3516</v>
      </c>
      <c r="J20" s="3323" t="s">
        <v>3517</v>
      </c>
      <c r="K20" s="2047" t="s">
        <v>3518</v>
      </c>
      <c r="L20" s="2047" t="s">
        <v>3519</v>
      </c>
      <c r="M20" s="2047" t="s">
        <v>3569</v>
      </c>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403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45491</v>
      </c>
      <c r="H23" s="3339" t="s">
        <v>3259</v>
      </c>
      <c r="I23" s="3340" t="str">
        <f>IF(H23="季度增幅（自定义）",SUMIF(N25:N28,E2,O25:O28),"")</f>
        <v/>
      </c>
      <c r="J23" s="3441" t="s">
        <v>3258</v>
      </c>
      <c r="K23" s="1125"/>
      <c r="L23" s="2055" t="s">
        <v>2004</v>
      </c>
      <c r="M23" s="1328">
        <f>ROUND(SUMIF(地价!B2:G2,E2,地价!B16:G16),0)</f>
        <v>350</v>
      </c>
      <c r="N23" s="2056" t="s">
        <v>2005</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3591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608.29999999999995</v>
      </c>
      <c r="E33" s="773" t="e">
        <f>ROUND(C33*D33/10000,0)</f>
        <v>#DIV/0!</v>
      </c>
      <c r="F33" s="3342" t="s">
        <v>3263</v>
      </c>
      <c r="G33" s="2099"/>
      <c r="H33" s="2099"/>
      <c r="I33" s="2099"/>
      <c r="J33" s="2100"/>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3268</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4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4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4041"/>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3500</v>
      </c>
      <c r="D51" s="1065">
        <f t="shared" si="7"/>
        <v>1.0500000000000001E-2</v>
      </c>
      <c r="E51" s="745"/>
      <c r="F51" s="1814"/>
      <c r="G51" s="1063">
        <v>1.0500000000000001E-2</v>
      </c>
      <c r="H51" s="1066">
        <f t="shared" si="8"/>
        <v>0</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3272</v>
      </c>
      <c r="B52" s="2134">
        <f>估价对象房地状况!C19</f>
        <v>0</v>
      </c>
      <c r="C52" s="2044" t="s">
        <v>3500</v>
      </c>
      <c r="D52" s="1065">
        <f t="shared" si="7"/>
        <v>5.7000000000000002E-3</v>
      </c>
      <c r="E52" s="745"/>
      <c r="F52" s="1814"/>
      <c r="G52" s="1063">
        <v>5.7000000000000002E-3</v>
      </c>
      <c r="H52" s="1066">
        <f t="shared" si="8"/>
        <v>0</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3530</v>
      </c>
      <c r="D54" s="1065">
        <f t="shared" si="7"/>
        <v>0</v>
      </c>
      <c r="E54" s="745"/>
      <c r="F54" s="1814"/>
      <c r="G54" s="1063">
        <v>3.8E-3</v>
      </c>
      <c r="H54" s="1066">
        <f t="shared" si="8"/>
        <v>0</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3500</v>
      </c>
      <c r="D56" s="1065">
        <f t="shared" si="7"/>
        <v>2.3999999999999998E-3</v>
      </c>
      <c r="E56" s="745"/>
      <c r="F56" s="1814"/>
      <c r="G56" s="1063">
        <v>2.3999999999999998E-3</v>
      </c>
      <c r="H56" s="1066">
        <f t="shared" si="8"/>
        <v>0</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3531</v>
      </c>
      <c r="D57" s="1065">
        <f t="shared" si="7"/>
        <v>7.6E-3</v>
      </c>
      <c r="E57" s="745"/>
      <c r="F57" s="1814"/>
      <c r="G57" s="1063">
        <v>3.8E-3</v>
      </c>
      <c r="H57" s="1066">
        <f t="shared" si="8"/>
        <v>0</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3500</v>
      </c>
      <c r="D58" s="1065">
        <f t="shared" si="7"/>
        <v>2.3999999999999998E-3</v>
      </c>
      <c r="E58" s="746"/>
      <c r="F58" s="1814"/>
      <c r="G58" s="1063">
        <v>2.3999999999999998E-3</v>
      </c>
      <c r="H58" s="1066">
        <f t="shared" si="8"/>
        <v>0</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3272</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3272</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3273</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1.0369999999999999</v>
      </c>
      <c r="C91" s="3367"/>
      <c r="D91" s="3368"/>
      <c r="E91" s="1814"/>
      <c r="F91" s="1814"/>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6"/>
      <c r="C93" s="2044" t="s">
        <v>3530</v>
      </c>
      <c r="D93" s="3362">
        <f>SUMIF($J$92:$N$92,C93,J93:N93)</f>
        <v>0</v>
      </c>
      <c r="E93" s="3378">
        <f>ROUND(SUM(D93:D101),4)</f>
        <v>3.6999999999999998E-2</v>
      </c>
      <c r="F93" s="1814" t="str">
        <f>IF(E2="公共服务",SUMIF(L1:L12,G2,N1:N12),"——")</f>
        <v>——</v>
      </c>
      <c r="G93" s="3369">
        <v>1.2500000000000001E-2</v>
      </c>
      <c r="H93" s="3417" t="str">
        <f>IFERROR(ROUNDDOWN($F$93*I93/2,4),"——")</f>
        <v>——</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3276</v>
      </c>
      <c r="B94" s="3366" t="str">
        <f>估价对象房地状况!C18</f>
        <v>一般</v>
      </c>
      <c r="C94" s="2044" t="s">
        <v>3500</v>
      </c>
      <c r="D94" s="3362">
        <f t="shared" ref="D94:D101" si="30">SUMIF($J$60:$N$60,C94,J94:N94)</f>
        <v>1.2999999999999999E-2</v>
      </c>
      <c r="E94" s="3379"/>
      <c r="F94" s="1814"/>
      <c r="G94" s="3369">
        <v>1.2999999999999999E-2</v>
      </c>
      <c r="H94" s="3417" t="str">
        <f>IFERROR(ROUNDDOWN($F$93*I94/2,4),"——")</f>
        <v>——</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3272</v>
      </c>
      <c r="B95" s="3366">
        <f>估价对象房地状况!C19</f>
        <v>0</v>
      </c>
      <c r="C95" s="2044" t="s">
        <v>3500</v>
      </c>
      <c r="D95" s="3362">
        <f t="shared" si="30"/>
        <v>5.4999999999999997E-3</v>
      </c>
      <c r="E95" s="3379"/>
      <c r="F95" s="1814"/>
      <c r="G95" s="3369">
        <v>5.4999999999999997E-3</v>
      </c>
      <c r="H95" s="3417" t="str">
        <f t="shared" ref="H95:H101" si="31">IFERROR(ROUNDDOWN($F$93*I95/2,4),"——")</f>
        <v>——</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3277</v>
      </c>
      <c r="B96" s="3381" t="s">
        <v>3288</v>
      </c>
      <c r="C96" s="2044" t="s">
        <v>3530</v>
      </c>
      <c r="D96" s="3362">
        <f t="shared" si="30"/>
        <v>0</v>
      </c>
      <c r="E96" s="3379"/>
      <c r="F96" s="1814"/>
      <c r="G96" s="3369">
        <v>2.5000000000000001E-3</v>
      </c>
      <c r="H96" s="3417" t="str">
        <f t="shared" si="31"/>
        <v>——</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3278</v>
      </c>
      <c r="B97" s="3366">
        <f>估价对象房地状况!C24</f>
        <v>0</v>
      </c>
      <c r="C97" s="2044" t="s">
        <v>3530</v>
      </c>
      <c r="D97" s="3362">
        <f t="shared" si="30"/>
        <v>0</v>
      </c>
      <c r="E97" s="3379"/>
      <c r="F97" s="1814"/>
      <c r="G97" s="3369">
        <v>2.5000000000000001E-3</v>
      </c>
      <c r="H97" s="3417" t="str">
        <f t="shared" si="31"/>
        <v>——</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3279</v>
      </c>
      <c r="B98" s="3382" t="s">
        <v>3289</v>
      </c>
      <c r="C98" s="2044" t="s">
        <v>3500</v>
      </c>
      <c r="D98" s="3362">
        <f t="shared" si="30"/>
        <v>3.0000000000000001E-3</v>
      </c>
      <c r="E98" s="3379"/>
      <c r="F98" s="1814"/>
      <c r="G98" s="3369">
        <v>3.0000000000000001E-3</v>
      </c>
      <c r="H98" s="3417" t="str">
        <f t="shared" si="31"/>
        <v>——</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3280</v>
      </c>
      <c r="B99" s="3366" t="str">
        <f>估价对象房地状况!C21</f>
        <v>一般</v>
      </c>
      <c r="C99" s="2044" t="s">
        <v>3500</v>
      </c>
      <c r="D99" s="3362">
        <f t="shared" si="30"/>
        <v>3.0000000000000001E-3</v>
      </c>
      <c r="E99" s="3379"/>
      <c r="F99" s="1814"/>
      <c r="G99" s="3369">
        <v>3.0000000000000001E-3</v>
      </c>
      <c r="H99" s="3417" t="str">
        <f t="shared" si="31"/>
        <v>——</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3281</v>
      </c>
      <c r="B100" s="3366" t="str">
        <f>估价对象房地状况!C22</f>
        <v>七通</v>
      </c>
      <c r="C100" s="2044" t="s">
        <v>3531</v>
      </c>
      <c r="D100" s="3362">
        <f t="shared" si="30"/>
        <v>8.9999999999999993E-3</v>
      </c>
      <c r="E100" s="3379"/>
      <c r="F100" s="1814"/>
      <c r="G100" s="3369">
        <v>4.4999999999999997E-3</v>
      </c>
      <c r="H100" s="3417" t="str">
        <f t="shared" si="31"/>
        <v>——</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3282</v>
      </c>
      <c r="B101" s="3383" t="str">
        <f>估价对象房地状况!C20</f>
        <v>一般</v>
      </c>
      <c r="C101" s="2044" t="s">
        <v>3500</v>
      </c>
      <c r="D101" s="3362">
        <f t="shared" si="30"/>
        <v>3.5000000000000001E-3</v>
      </c>
      <c r="E101" s="3380"/>
      <c r="F101" s="1814"/>
      <c r="G101" s="3369">
        <v>3.5000000000000001E-3</v>
      </c>
      <c r="H101" s="3417" t="str">
        <f t="shared" si="31"/>
        <v>——</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4038" t="s">
        <v>3297</v>
      </c>
      <c r="B103" s="4038"/>
      <c r="C103" s="4038"/>
      <c r="D103" s="4038"/>
      <c r="E103" s="4038"/>
      <c r="F103" s="4038"/>
      <c r="G103" s="4038"/>
      <c r="H103" s="4038"/>
      <c r="I103" s="4038"/>
      <c r="J103" s="4038"/>
      <c r="K103" s="3386"/>
      <c r="L103" s="3386"/>
      <c r="M103" s="3386"/>
      <c r="N103" s="3386"/>
    </row>
    <row r="104" spans="1:14">
      <c r="A104" s="4039" t="s">
        <v>3298</v>
      </c>
      <c r="B104" s="4039" t="s">
        <v>3299</v>
      </c>
      <c r="C104" s="3387" t="s">
        <v>3300</v>
      </c>
      <c r="D104" s="3388"/>
      <c r="E104" s="3388"/>
      <c r="F104" s="3388"/>
      <c r="G104" s="3388"/>
      <c r="H104" s="3388"/>
      <c r="I104" s="3388"/>
      <c r="J104" s="3389"/>
      <c r="K104" s="3390"/>
      <c r="L104" s="3390"/>
      <c r="M104" s="3390"/>
      <c r="N104" s="3390"/>
    </row>
    <row r="105" spans="1:14">
      <c r="A105" s="4039"/>
      <c r="B105" s="4039"/>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4025"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402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402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402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402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4026"/>
      <c r="B111" s="3391" t="s">
        <v>3271</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4027"/>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4028" t="s">
        <v>3314</v>
      </c>
      <c r="B113" s="4028"/>
      <c r="C113" s="4028"/>
      <c r="D113" s="4028"/>
      <c r="E113" s="4028"/>
      <c r="F113" s="4028"/>
      <c r="G113" s="4028"/>
      <c r="H113" s="4028"/>
      <c r="I113" s="4028"/>
      <c r="J113" s="402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2.5</v>
      </c>
      <c r="C116" s="3396" t="s">
        <v>3316</v>
      </c>
      <c r="D116" s="3397">
        <f>SUMPRODUCT((A118:A122=F116)*(B117:M117=H116)*B118:M122)</f>
        <v>0</v>
      </c>
      <c r="E116" s="2000" t="s">
        <v>3317</v>
      </c>
      <c r="F116" s="3398" t="str">
        <f>E2</f>
        <v>商业</v>
      </c>
      <c r="G116" s="2000" t="s">
        <v>3318</v>
      </c>
      <c r="H116" s="3398">
        <f>G2</f>
        <v>0</v>
      </c>
      <c r="I116" s="2000"/>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3332</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3333</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3334</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3595</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23" t="s">
        <v>1667</v>
      </c>
      <c r="D4" s="3824"/>
      <c r="E4" s="3825" t="s">
        <v>1668</v>
      </c>
      <c r="F4" s="3826"/>
      <c r="G4" s="3823" t="s">
        <v>1669</v>
      </c>
      <c r="H4" s="3824"/>
      <c r="I4" s="3823" t="s">
        <v>1670</v>
      </c>
      <c r="J4" s="3824"/>
      <c r="K4" s="559" t="s">
        <v>1774</v>
      </c>
      <c r="L4" s="2711"/>
      <c r="M4" s="2712"/>
      <c r="N4" s="2712"/>
      <c r="O4" s="2712"/>
      <c r="P4" s="3827" t="s">
        <v>1672</v>
      </c>
      <c r="Q4" s="3828"/>
      <c r="R4" s="3810" t="s">
        <v>1668</v>
      </c>
      <c r="S4" s="3811"/>
      <c r="T4" s="3810" t="s">
        <v>1669</v>
      </c>
      <c r="U4" s="3811"/>
      <c r="V4" s="3807" t="s">
        <v>1670</v>
      </c>
      <c r="W4" s="3807"/>
      <c r="X4" s="3553"/>
      <c r="Y4" s="3810" t="s">
        <v>1672</v>
      </c>
      <c r="Z4" s="3811"/>
      <c r="AA4" s="3804" t="s">
        <v>1668</v>
      </c>
      <c r="AB4" s="3807" t="s">
        <v>1669</v>
      </c>
      <c r="AC4" s="3804" t="s">
        <v>1670</v>
      </c>
    </row>
    <row r="5" spans="1:29" ht="15">
      <c r="A5" s="358"/>
      <c r="B5" s="359"/>
      <c r="C5" s="3877" t="str">
        <f>'比较法-商业'!C5:D5</f>
        <v>兴业大街</v>
      </c>
      <c r="D5" s="3817"/>
      <c r="E5" s="3814" t="s">
        <v>3598</v>
      </c>
      <c r="F5" s="3815"/>
      <c r="G5" s="3814" t="str">
        <f>商业案例!F3</f>
        <v>龙湖唐宁one</v>
      </c>
      <c r="H5" s="3815"/>
      <c r="I5" s="3877" t="str">
        <f>商业案例!F4</f>
        <v>新科祥园</v>
      </c>
      <c r="J5" s="3817"/>
      <c r="K5" s="559"/>
      <c r="L5" s="2711"/>
      <c r="M5" s="2712"/>
      <c r="N5" s="2712"/>
      <c r="O5" s="2712"/>
      <c r="P5" s="3829"/>
      <c r="Q5" s="3830"/>
      <c r="R5" s="3812"/>
      <c r="S5" s="3813"/>
      <c r="T5" s="3812"/>
      <c r="U5" s="3813"/>
      <c r="V5" s="3807"/>
      <c r="W5" s="3807"/>
      <c r="X5" s="3553"/>
      <c r="Y5" s="3812"/>
      <c r="Z5" s="3813"/>
      <c r="AA5" s="3805"/>
      <c r="AB5" s="3807"/>
      <c r="AC5" s="3805"/>
    </row>
    <row r="6" spans="1:29" ht="15.75" thickBot="1">
      <c r="A6" s="360"/>
      <c r="B6" s="361"/>
      <c r="C6" s="3818" t="s">
        <v>1677</v>
      </c>
      <c r="D6" s="3819"/>
      <c r="E6" s="3820" t="s">
        <v>1677</v>
      </c>
      <c r="F6" s="3821"/>
      <c r="G6" s="3818" t="s">
        <v>1677</v>
      </c>
      <c r="H6" s="3819"/>
      <c r="I6" s="3818" t="s">
        <v>1677</v>
      </c>
      <c r="J6" s="3819"/>
      <c r="K6" s="559" t="s">
        <v>1678</v>
      </c>
      <c r="L6" s="2711"/>
      <c r="M6" s="2712"/>
      <c r="N6" s="2712"/>
      <c r="O6" s="2712"/>
      <c r="P6" s="3831"/>
      <c r="Q6" s="3832"/>
      <c r="R6" s="3812"/>
      <c r="S6" s="3813"/>
      <c r="T6" s="3833"/>
      <c r="U6" s="3834"/>
      <c r="V6" s="3807"/>
      <c r="W6" s="3807"/>
      <c r="X6" s="3553"/>
      <c r="Y6" s="3833"/>
      <c r="Z6" s="3834"/>
      <c r="AA6" s="3806"/>
      <c r="AB6" s="3807"/>
      <c r="AC6" s="3806"/>
    </row>
    <row r="7" spans="1:29" s="108" customFormat="1" ht="15.75" thickBot="1">
      <c r="A7" s="362" t="s">
        <v>1679</v>
      </c>
      <c r="B7" s="363"/>
      <c r="C7" s="364">
        <f>'数据-取费表'!B2</f>
        <v>45491</v>
      </c>
      <c r="D7" s="365">
        <v>100</v>
      </c>
      <c r="E7" s="366">
        <v>45231</v>
      </c>
      <c r="F7" s="367">
        <f>SUMIF(58:58,YEAR(E7)&amp;"-"&amp;MONTH(E7),59:59)</f>
        <v>0</v>
      </c>
      <c r="G7" s="366">
        <v>45231</v>
      </c>
      <c r="H7" s="365">
        <f>SUMIF(58:58,YEAR(G7)&amp;"-"&amp;MONTH(G7),59:59)</f>
        <v>0</v>
      </c>
      <c r="I7" s="366">
        <f>G7</f>
        <v>45231</v>
      </c>
      <c r="J7" s="365">
        <f>SUMIF(58:58,YEAR(I7)&amp;"-"&amp;MONTH(I7),59:59)</f>
        <v>0</v>
      </c>
      <c r="K7" s="560"/>
      <c r="L7" s="2713"/>
      <c r="M7" s="2714"/>
      <c r="N7" s="2714"/>
      <c r="O7" s="2714"/>
      <c r="P7" s="3808" t="s">
        <v>1680</v>
      </c>
      <c r="Q7" s="3835"/>
      <c r="R7" s="701" t="s">
        <v>14</v>
      </c>
      <c r="S7" s="702">
        <f t="shared" ref="S7:S15" si="0">F7</f>
        <v>0</v>
      </c>
      <c r="T7" s="701" t="s">
        <v>14</v>
      </c>
      <c r="U7" s="702">
        <f t="shared" ref="U7:U15" si="1">H7</f>
        <v>0</v>
      </c>
      <c r="V7" s="701" t="s">
        <v>14</v>
      </c>
      <c r="W7" s="702">
        <f t="shared" ref="W7:W15" si="2">J7</f>
        <v>0</v>
      </c>
      <c r="X7" s="703"/>
      <c r="Y7" s="3808" t="s">
        <v>1680</v>
      </c>
      <c r="Z7" s="3809"/>
      <c r="AA7" s="704" t="e">
        <f>D7/F7</f>
        <v>#DIV/0!</v>
      </c>
      <c r="AB7" s="704" t="e">
        <f>D7/H7</f>
        <v>#DIV/0!</v>
      </c>
      <c r="AC7" s="704" t="e">
        <f>D7/J7</f>
        <v>#DIV/0!</v>
      </c>
    </row>
    <row r="8" spans="1:29" s="108" customFormat="1" ht="15.75" thickBot="1">
      <c r="A8" s="362" t="s">
        <v>1681</v>
      </c>
      <c r="B8" s="363"/>
      <c r="C8" s="368" t="s">
        <v>3556</v>
      </c>
      <c r="D8" s="365">
        <v>100</v>
      </c>
      <c r="E8" s="368" t="s">
        <v>3596</v>
      </c>
      <c r="F8" s="367">
        <f>SUMIF(61:61,E8,62:62)-SUMIF(61:61,C8,62:62)+100</f>
        <v>105</v>
      </c>
      <c r="G8" s="368" t="s">
        <v>3596</v>
      </c>
      <c r="H8" s="365">
        <f>SUMIF(61:61,G8,62:62)-SUMIF(61:61,C8,62:62)+100</f>
        <v>105</v>
      </c>
      <c r="I8" s="368" t="s">
        <v>3596</v>
      </c>
      <c r="J8" s="365">
        <f>SUMIF(61:61,I8,62:62)-SUMIF(61:61,C8,62:62)+100</f>
        <v>105</v>
      </c>
      <c r="K8" s="560"/>
      <c r="L8" s="2713"/>
      <c r="M8" s="2714"/>
      <c r="N8" s="2714"/>
      <c r="O8" s="2714"/>
      <c r="P8" s="3808" t="s">
        <v>1683</v>
      </c>
      <c r="Q8" s="3809"/>
      <c r="R8" s="701" t="s">
        <v>14</v>
      </c>
      <c r="S8" s="702">
        <f t="shared" si="0"/>
        <v>105</v>
      </c>
      <c r="T8" s="701" t="s">
        <v>14</v>
      </c>
      <c r="U8" s="702">
        <f t="shared" si="1"/>
        <v>105</v>
      </c>
      <c r="V8" s="701" t="s">
        <v>14</v>
      </c>
      <c r="W8" s="702">
        <f t="shared" si="2"/>
        <v>105</v>
      </c>
      <c r="X8" s="703"/>
      <c r="Y8" s="3808" t="s">
        <v>1683</v>
      </c>
      <c r="Z8" s="3809"/>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22" t="s">
        <v>1686</v>
      </c>
      <c r="Q9" s="3548" t="str">
        <f t="shared" ref="Q9:Q15" si="6">B9</f>
        <v>用途</v>
      </c>
      <c r="R9" s="701" t="s">
        <v>14</v>
      </c>
      <c r="S9" s="702">
        <f t="shared" si="0"/>
        <v>100</v>
      </c>
      <c r="T9" s="701" t="s">
        <v>14</v>
      </c>
      <c r="U9" s="702">
        <f t="shared" si="1"/>
        <v>100</v>
      </c>
      <c r="V9" s="701" t="s">
        <v>14</v>
      </c>
      <c r="W9" s="702">
        <f t="shared" si="2"/>
        <v>100</v>
      </c>
      <c r="X9" s="703"/>
      <c r="Y9" s="3777" t="s">
        <v>1687</v>
      </c>
      <c r="Z9" s="3547" t="str">
        <f t="shared" ref="Z9:Z15" si="7">Q9</f>
        <v>用途</v>
      </c>
      <c r="AA9" s="704">
        <f t="shared" si="3"/>
        <v>1</v>
      </c>
      <c r="AB9" s="704">
        <f t="shared" si="4"/>
        <v>1</v>
      </c>
      <c r="AC9" s="704">
        <f t="shared" si="5"/>
        <v>1</v>
      </c>
    </row>
    <row r="10" spans="1:29" s="378" customFormat="1" ht="27">
      <c r="A10" s="374"/>
      <c r="B10" s="375" t="s">
        <v>1688</v>
      </c>
      <c r="C10" s="3556" t="s">
        <v>3603</v>
      </c>
      <c r="D10" s="127">
        <v>100</v>
      </c>
      <c r="E10" s="3431" t="s">
        <v>3602</v>
      </c>
      <c r="F10" s="376">
        <f>SUMIF(65:65,E10,66:66)-SUMIF(65:65,C10,66:66)+100</f>
        <v>110</v>
      </c>
      <c r="G10" s="3431" t="s">
        <v>3604</v>
      </c>
      <c r="H10" s="127">
        <f>SUMIF(65:65,G10,66:66)-SUMIF(65:65,C10,66:66)+100</f>
        <v>110</v>
      </c>
      <c r="I10" s="3430" t="s">
        <v>3605</v>
      </c>
      <c r="J10" s="127">
        <f>SUMIF(65:65,I10,66:66)-SUMIF(65:65,C10,66:66)+100</f>
        <v>105</v>
      </c>
      <c r="K10" s="560"/>
      <c r="L10" s="2715"/>
      <c r="M10" s="2716"/>
      <c r="N10" s="2716"/>
      <c r="O10" s="2716"/>
      <c r="P10" s="3822"/>
      <c r="Q10" s="3548" t="str">
        <f t="shared" si="6"/>
        <v>土地使用年限（年）</v>
      </c>
      <c r="R10" s="701" t="s">
        <v>14</v>
      </c>
      <c r="S10" s="702">
        <f t="shared" si="0"/>
        <v>110</v>
      </c>
      <c r="T10" s="701" t="s">
        <v>14</v>
      </c>
      <c r="U10" s="702">
        <f t="shared" si="1"/>
        <v>110</v>
      </c>
      <c r="V10" s="701" t="s">
        <v>14</v>
      </c>
      <c r="W10" s="702">
        <f t="shared" si="2"/>
        <v>105</v>
      </c>
      <c r="X10" s="703"/>
      <c r="Y10" s="3777"/>
      <c r="Z10" s="3547"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22"/>
      <c r="Q11" s="3548" t="str">
        <f t="shared" si="6"/>
        <v>容积率</v>
      </c>
      <c r="R11" s="701" t="s">
        <v>14</v>
      </c>
      <c r="S11" s="702">
        <f t="shared" si="0"/>
        <v>100</v>
      </c>
      <c r="T11" s="701" t="s">
        <v>14</v>
      </c>
      <c r="U11" s="702">
        <f t="shared" si="1"/>
        <v>100</v>
      </c>
      <c r="V11" s="701" t="s">
        <v>14</v>
      </c>
      <c r="W11" s="702">
        <f t="shared" si="2"/>
        <v>100</v>
      </c>
      <c r="X11" s="703"/>
      <c r="Y11" s="3777"/>
      <c r="Z11" s="354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22"/>
      <c r="Q12" s="3548">
        <f t="shared" si="6"/>
        <v>111</v>
      </c>
      <c r="R12" s="701" t="s">
        <v>14</v>
      </c>
      <c r="S12" s="702">
        <f t="shared" si="0"/>
        <v>100</v>
      </c>
      <c r="T12" s="701" t="s">
        <v>14</v>
      </c>
      <c r="U12" s="702">
        <f t="shared" si="1"/>
        <v>100</v>
      </c>
      <c r="V12" s="701" t="s">
        <v>14</v>
      </c>
      <c r="W12" s="702">
        <f t="shared" si="2"/>
        <v>100</v>
      </c>
      <c r="X12" s="703"/>
      <c r="Y12" s="3777"/>
      <c r="Z12" s="35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22"/>
      <c r="Q13" s="3548">
        <f t="shared" si="6"/>
        <v>111</v>
      </c>
      <c r="R13" s="701" t="s">
        <v>14</v>
      </c>
      <c r="S13" s="702">
        <f t="shared" si="0"/>
        <v>100</v>
      </c>
      <c r="T13" s="701" t="s">
        <v>14</v>
      </c>
      <c r="U13" s="702">
        <f t="shared" si="1"/>
        <v>100</v>
      </c>
      <c r="V13" s="701" t="s">
        <v>14</v>
      </c>
      <c r="W13" s="702">
        <f t="shared" si="2"/>
        <v>100</v>
      </c>
      <c r="X13" s="703"/>
      <c r="Y13" s="3777"/>
      <c r="Z13" s="354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22"/>
      <c r="Q14" s="3548">
        <f t="shared" si="6"/>
        <v>111</v>
      </c>
      <c r="R14" s="701" t="s">
        <v>14</v>
      </c>
      <c r="S14" s="702">
        <f t="shared" si="0"/>
        <v>100</v>
      </c>
      <c r="T14" s="701" t="s">
        <v>14</v>
      </c>
      <c r="U14" s="702">
        <f t="shared" si="1"/>
        <v>100</v>
      </c>
      <c r="V14" s="701" t="s">
        <v>14</v>
      </c>
      <c r="W14" s="702">
        <f t="shared" si="2"/>
        <v>100</v>
      </c>
      <c r="X14" s="703"/>
      <c r="Y14" s="3777"/>
      <c r="Z14" s="3547">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555" t="s">
        <v>3599</v>
      </c>
      <c r="F15" s="394">
        <f>SUMIF(76:76,E16,77:77)-SUMIF(76:76,C16,77:77)+100</f>
        <v>95</v>
      </c>
      <c r="G15" s="403" t="s">
        <v>3500</v>
      </c>
      <c r="H15" s="392">
        <f>SUMIF(76:76,G16,77:77)-SUMIF(76:76,C16,77:77)+100</f>
        <v>100</v>
      </c>
      <c r="I15" s="393" t="s">
        <v>3500</v>
      </c>
      <c r="J15" s="392">
        <f>SUMIF(76:76,I16,77:77)-SUMIF(76:76,C16,77:77)+100</f>
        <v>100</v>
      </c>
      <c r="K15" s="563">
        <v>5</v>
      </c>
      <c r="L15" s="2718"/>
      <c r="M15" s="2712"/>
      <c r="N15" s="2712"/>
      <c r="O15" s="2712"/>
      <c r="P15" s="3836" t="s">
        <v>1691</v>
      </c>
      <c r="Q15" s="3549" t="str">
        <f t="shared" si="6"/>
        <v>商业繁华度</v>
      </c>
      <c r="R15" s="705" t="s">
        <v>14</v>
      </c>
      <c r="S15" s="706">
        <f t="shared" si="0"/>
        <v>95</v>
      </c>
      <c r="T15" s="705" t="s">
        <v>14</v>
      </c>
      <c r="U15" s="706">
        <f t="shared" si="1"/>
        <v>100</v>
      </c>
      <c r="V15" s="705" t="s">
        <v>14</v>
      </c>
      <c r="W15" s="706">
        <f t="shared" si="2"/>
        <v>100</v>
      </c>
      <c r="X15" s="3553"/>
      <c r="Y15" s="3838" t="s">
        <v>1691</v>
      </c>
      <c r="Z15" s="3552" t="str">
        <f t="shared" si="7"/>
        <v>商业繁华度</v>
      </c>
      <c r="AA15" s="3550">
        <f t="shared" si="3"/>
        <v>1.0526315789473684</v>
      </c>
      <c r="AB15" s="3550">
        <f t="shared" si="4"/>
        <v>1</v>
      </c>
      <c r="AC15" s="3550">
        <f t="shared" si="5"/>
        <v>1</v>
      </c>
    </row>
    <row r="16" spans="1:29" ht="18.75" customHeight="1">
      <c r="A16" s="379"/>
      <c r="B16" s="397"/>
      <c r="C16" s="398" t="s">
        <v>3500</v>
      </c>
      <c r="D16" s="399"/>
      <c r="E16" s="1903" t="s">
        <v>3530</v>
      </c>
      <c r="F16" s="400"/>
      <c r="G16" s="1903" t="s">
        <v>3500</v>
      </c>
      <c r="H16" s="401"/>
      <c r="I16" s="398" t="s">
        <v>3500</v>
      </c>
      <c r="J16" s="399"/>
      <c r="K16" s="564"/>
      <c r="L16" s="2718"/>
      <c r="M16" s="2712"/>
      <c r="N16" s="2712"/>
      <c r="O16" s="2712"/>
      <c r="P16" s="3837"/>
      <c r="Q16" s="3549"/>
      <c r="R16" s="705"/>
      <c r="S16" s="706"/>
      <c r="T16" s="705"/>
      <c r="U16" s="706"/>
      <c r="V16" s="705"/>
      <c r="W16" s="706"/>
      <c r="X16" s="3553"/>
      <c r="Y16" s="3839"/>
      <c r="Z16" s="3552"/>
      <c r="AA16" s="3550">
        <v>1</v>
      </c>
      <c r="AB16" s="3550">
        <v>1</v>
      </c>
      <c r="AC16" s="3550">
        <v>1</v>
      </c>
    </row>
    <row r="17" spans="1:29" ht="18.75" customHeight="1">
      <c r="A17" s="379"/>
      <c r="B17" s="402" t="s">
        <v>1259</v>
      </c>
      <c r="C17" s="1900" t="str">
        <f>估价对象房地状况!C6</f>
        <v>一般</v>
      </c>
      <c r="D17" s="401">
        <v>100</v>
      </c>
      <c r="E17" s="403" t="s">
        <v>3500</v>
      </c>
      <c r="F17" s="404">
        <f>SUMIF(78:78,E18,79:79)-SUMIF(78:78,C18,79:79)+100</f>
        <v>100</v>
      </c>
      <c r="G17" s="3555" t="s">
        <v>3599</v>
      </c>
      <c r="H17" s="406">
        <f>SUMIF(78:78,G18,79:79)-SUMIF(78:78,C18,79:79)+100</f>
        <v>98</v>
      </c>
      <c r="I17" s="403" t="s">
        <v>3500</v>
      </c>
      <c r="J17" s="406">
        <f>SUMIF(78:78,I18,79:79)-SUMIF(78:78,C18,79:79)+100</f>
        <v>100</v>
      </c>
      <c r="K17" s="563">
        <v>2</v>
      </c>
      <c r="L17" s="2718"/>
      <c r="M17" s="2712"/>
      <c r="N17" s="2712"/>
      <c r="O17" s="2712"/>
      <c r="P17" s="3837"/>
      <c r="Q17" s="3549" t="str">
        <f>B17</f>
        <v>交通便捷度</v>
      </c>
      <c r="R17" s="705" t="s">
        <v>14</v>
      </c>
      <c r="S17" s="706">
        <f>F17</f>
        <v>100</v>
      </c>
      <c r="T17" s="705" t="s">
        <v>14</v>
      </c>
      <c r="U17" s="706">
        <f>H17</f>
        <v>98</v>
      </c>
      <c r="V17" s="705" t="s">
        <v>14</v>
      </c>
      <c r="W17" s="706">
        <f>J17</f>
        <v>100</v>
      </c>
      <c r="X17" s="3553"/>
      <c r="Y17" s="3839"/>
      <c r="Z17" s="3552" t="str">
        <f>Q17</f>
        <v>交通便捷度</v>
      </c>
      <c r="AA17" s="3550">
        <f t="shared" si="3"/>
        <v>1</v>
      </c>
      <c r="AB17" s="3550">
        <f t="shared" si="4"/>
        <v>1.0204081632653061</v>
      </c>
      <c r="AC17" s="3550">
        <f t="shared" si="5"/>
        <v>1</v>
      </c>
    </row>
    <row r="18" spans="1:29" ht="18.75" customHeight="1">
      <c r="A18" s="379"/>
      <c r="B18" s="407"/>
      <c r="C18" s="1901" t="s">
        <v>3500</v>
      </c>
      <c r="D18" s="401"/>
      <c r="E18" s="1903" t="s">
        <v>3500</v>
      </c>
      <c r="F18" s="404"/>
      <c r="G18" s="1903" t="s">
        <v>3530</v>
      </c>
      <c r="H18" s="399"/>
      <c r="I18" s="1903" t="s">
        <v>3500</v>
      </c>
      <c r="J18" s="399"/>
      <c r="K18" s="564"/>
      <c r="L18" s="2718"/>
      <c r="M18" s="2712"/>
      <c r="N18" s="2712"/>
      <c r="O18" s="2712"/>
      <c r="P18" s="3837"/>
      <c r="Q18" s="3549"/>
      <c r="R18" s="705"/>
      <c r="S18" s="706"/>
      <c r="T18" s="705"/>
      <c r="U18" s="706"/>
      <c r="V18" s="705"/>
      <c r="W18" s="706"/>
      <c r="X18" s="3553"/>
      <c r="Y18" s="3839"/>
      <c r="Z18" s="3552"/>
      <c r="AA18" s="3550">
        <v>1</v>
      </c>
      <c r="AB18" s="3550">
        <v>1</v>
      </c>
      <c r="AC18" s="3550">
        <v>1</v>
      </c>
    </row>
    <row r="19" spans="1:29" ht="18.75" customHeight="1">
      <c r="A19" s="379"/>
      <c r="B19" s="402" t="s">
        <v>1778</v>
      </c>
      <c r="C19" s="1900" t="str">
        <f>估价对象房地状况!C7</f>
        <v>一般</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8"/>
      <c r="M19" s="2712"/>
      <c r="N19" s="2712"/>
      <c r="O19" s="2712"/>
      <c r="P19" s="3837"/>
      <c r="Q19" s="3549" t="str">
        <f>B19</f>
        <v>公共配套设施</v>
      </c>
      <c r="R19" s="705" t="s">
        <v>14</v>
      </c>
      <c r="S19" s="706">
        <f>F19</f>
        <v>100</v>
      </c>
      <c r="T19" s="705" t="s">
        <v>14</v>
      </c>
      <c r="U19" s="706">
        <f>H19</f>
        <v>100</v>
      </c>
      <c r="V19" s="705" t="s">
        <v>14</v>
      </c>
      <c r="W19" s="706">
        <f>J19</f>
        <v>100</v>
      </c>
      <c r="X19" s="3553"/>
      <c r="Y19" s="3839"/>
      <c r="Z19" s="3552" t="str">
        <f>Q19</f>
        <v>公共配套设施</v>
      </c>
      <c r="AA19" s="3550">
        <f t="shared" si="3"/>
        <v>1</v>
      </c>
      <c r="AB19" s="3550">
        <f t="shared" si="4"/>
        <v>1</v>
      </c>
      <c r="AC19" s="3550">
        <f t="shared" si="5"/>
        <v>1</v>
      </c>
    </row>
    <row r="20" spans="1:29" ht="18.75" customHeight="1">
      <c r="A20" s="379"/>
      <c r="B20" s="407"/>
      <c r="C20" s="398" t="s">
        <v>3500</v>
      </c>
      <c r="D20" s="399"/>
      <c r="E20" s="1898" t="s">
        <v>3500</v>
      </c>
      <c r="F20" s="400"/>
      <c r="G20" s="1898" t="s">
        <v>3500</v>
      </c>
      <c r="H20" s="399"/>
      <c r="I20" s="1898" t="s">
        <v>3500</v>
      </c>
      <c r="J20" s="399"/>
      <c r="K20" s="564"/>
      <c r="L20" s="2718"/>
      <c r="M20" s="2712"/>
      <c r="N20" s="2712"/>
      <c r="O20" s="2712"/>
      <c r="P20" s="3837"/>
      <c r="Q20" s="3549"/>
      <c r="R20" s="705"/>
      <c r="S20" s="706"/>
      <c r="T20" s="705"/>
      <c r="U20" s="706"/>
      <c r="V20" s="705"/>
      <c r="W20" s="706"/>
      <c r="X20" s="3553"/>
      <c r="Y20" s="3839"/>
      <c r="Z20" s="3552"/>
      <c r="AA20" s="3550">
        <v>1</v>
      </c>
      <c r="AB20" s="3550">
        <v>1</v>
      </c>
      <c r="AC20" s="3550">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37"/>
      <c r="Q21" s="3549" t="str">
        <f>B21</f>
        <v>基础设施水平</v>
      </c>
      <c r="R21" s="705" t="s">
        <v>14</v>
      </c>
      <c r="S21" s="706">
        <f>F21</f>
        <v>100</v>
      </c>
      <c r="T21" s="705" t="s">
        <v>14</v>
      </c>
      <c r="U21" s="706">
        <f>H21</f>
        <v>100</v>
      </c>
      <c r="V21" s="705" t="s">
        <v>14</v>
      </c>
      <c r="W21" s="706">
        <f>J21</f>
        <v>100</v>
      </c>
      <c r="X21" s="3553"/>
      <c r="Y21" s="3839"/>
      <c r="Z21" s="3552" t="str">
        <f>Q21</f>
        <v>基础设施水平</v>
      </c>
      <c r="AA21" s="3550">
        <f t="shared" ref="AA21" si="8">D21/F21</f>
        <v>1</v>
      </c>
      <c r="AB21" s="3550">
        <f t="shared" ref="AB21" si="9">D21/H21</f>
        <v>1</v>
      </c>
      <c r="AC21" s="3550">
        <f t="shared" ref="AC21" si="10">D21/J21</f>
        <v>1</v>
      </c>
    </row>
    <row r="22" spans="1:29" ht="18.75" customHeight="1">
      <c r="A22" s="379"/>
      <c r="B22" s="1131"/>
      <c r="C22" s="1901" t="s">
        <v>3501</v>
      </c>
      <c r="D22" s="399"/>
      <c r="E22" s="398" t="s">
        <v>3501</v>
      </c>
      <c r="F22" s="400"/>
      <c r="G22" s="398" t="s">
        <v>3501</v>
      </c>
      <c r="H22" s="399"/>
      <c r="I22" s="398" t="s">
        <v>3501</v>
      </c>
      <c r="J22" s="399"/>
      <c r="K22" s="1130"/>
      <c r="L22" s="2718"/>
      <c r="M22" s="2712"/>
      <c r="N22" s="2712"/>
      <c r="O22" s="2712"/>
      <c r="P22" s="3837"/>
      <c r="Q22" s="3549"/>
      <c r="R22" s="705"/>
      <c r="S22" s="706"/>
      <c r="T22" s="705"/>
      <c r="U22" s="706"/>
      <c r="V22" s="705"/>
      <c r="W22" s="706"/>
      <c r="X22" s="3553"/>
      <c r="Y22" s="3839"/>
      <c r="Z22" s="3552"/>
      <c r="AA22" s="3550">
        <v>1</v>
      </c>
      <c r="AB22" s="3550">
        <v>1</v>
      </c>
      <c r="AC22" s="3550">
        <v>1</v>
      </c>
    </row>
    <row r="23" spans="1:29" ht="18.75" customHeight="1">
      <c r="A23" s="379"/>
      <c r="B23" s="402" t="s">
        <v>1261</v>
      </c>
      <c r="C23" s="1955" t="str">
        <f>估价对象房地状况!C9</f>
        <v>一般</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8"/>
      <c r="M23" s="2712"/>
      <c r="N23" s="2712"/>
      <c r="O23" s="2712"/>
      <c r="P23" s="3837"/>
      <c r="Q23" s="3549" t="str">
        <f>B23</f>
        <v>自然及人文环境</v>
      </c>
      <c r="R23" s="705" t="s">
        <v>14</v>
      </c>
      <c r="S23" s="706">
        <f>F23</f>
        <v>100</v>
      </c>
      <c r="T23" s="705" t="s">
        <v>14</v>
      </c>
      <c r="U23" s="706">
        <f>H23</f>
        <v>100</v>
      </c>
      <c r="V23" s="705" t="s">
        <v>14</v>
      </c>
      <c r="W23" s="706">
        <f>J23</f>
        <v>100</v>
      </c>
      <c r="X23" s="3553"/>
      <c r="Y23" s="3839"/>
      <c r="Z23" s="3552" t="str">
        <f>Q23</f>
        <v>自然及人文环境</v>
      </c>
      <c r="AA23" s="3550">
        <f t="shared" si="3"/>
        <v>1</v>
      </c>
      <c r="AB23" s="3550">
        <f t="shared" si="4"/>
        <v>1</v>
      </c>
      <c r="AC23" s="3550">
        <f t="shared" si="5"/>
        <v>1</v>
      </c>
    </row>
    <row r="24" spans="1:29" ht="15">
      <c r="A24" s="379"/>
      <c r="B24" s="407"/>
      <c r="C24" s="398" t="s">
        <v>3500</v>
      </c>
      <c r="D24" s="399"/>
      <c r="E24" s="1898" t="s">
        <v>3500</v>
      </c>
      <c r="F24" s="400"/>
      <c r="G24" s="1898" t="s">
        <v>3500</v>
      </c>
      <c r="H24" s="399"/>
      <c r="I24" s="1898" t="s">
        <v>3500</v>
      </c>
      <c r="J24" s="399"/>
      <c r="K24" s="564"/>
      <c r="L24" s="2718"/>
      <c r="M24" s="2712"/>
      <c r="N24" s="2712"/>
      <c r="O24" s="2712"/>
      <c r="P24" s="3837"/>
      <c r="Q24" s="3549"/>
      <c r="R24" s="705"/>
      <c r="S24" s="706"/>
      <c r="T24" s="705"/>
      <c r="U24" s="706"/>
      <c r="V24" s="705"/>
      <c r="W24" s="706"/>
      <c r="X24" s="3553"/>
      <c r="Y24" s="3839"/>
      <c r="Z24" s="3552"/>
      <c r="AA24" s="3550">
        <v>1</v>
      </c>
      <c r="AB24" s="3550">
        <v>1</v>
      </c>
      <c r="AC24" s="3550">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37"/>
      <c r="Q25" s="3549" t="str">
        <f t="shared" ref="Q25:Q46" si="11">B25</f>
        <v>临街状况</v>
      </c>
      <c r="R25" s="705" t="s">
        <v>14</v>
      </c>
      <c r="S25" s="706">
        <f>F25</f>
        <v>100</v>
      </c>
      <c r="T25" s="705" t="s">
        <v>14</v>
      </c>
      <c r="U25" s="706">
        <f>H25</f>
        <v>100</v>
      </c>
      <c r="V25" s="705" t="s">
        <v>14</v>
      </c>
      <c r="W25" s="706">
        <f>J25</f>
        <v>100</v>
      </c>
      <c r="X25" s="3553"/>
      <c r="Y25" s="3839"/>
      <c r="Z25" s="3552" t="str">
        <f>Q25</f>
        <v>临街状况</v>
      </c>
      <c r="AA25" s="3550">
        <f t="shared" si="3"/>
        <v>1</v>
      </c>
      <c r="AB25" s="3550">
        <f t="shared" si="4"/>
        <v>1</v>
      </c>
      <c r="AC25" s="3550">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37"/>
      <c r="Q26" s="3549" t="str">
        <f t="shared" si="11"/>
        <v>平面位置/可视性</v>
      </c>
      <c r="R26" s="705" t="s">
        <v>14</v>
      </c>
      <c r="S26" s="706">
        <f>F26</f>
        <v>100</v>
      </c>
      <c r="T26" s="705" t="s">
        <v>14</v>
      </c>
      <c r="U26" s="706">
        <f>H26</f>
        <v>100</v>
      </c>
      <c r="V26" s="705" t="s">
        <v>14</v>
      </c>
      <c r="W26" s="706">
        <f>J26</f>
        <v>100</v>
      </c>
      <c r="X26" s="3553"/>
      <c r="Y26" s="3839"/>
      <c r="Z26" s="3552" t="str">
        <f>Q26</f>
        <v>平面位置/可视性</v>
      </c>
      <c r="AA26" s="3550">
        <f t="shared" si="3"/>
        <v>1</v>
      </c>
      <c r="AB26" s="3550">
        <f t="shared" si="4"/>
        <v>1</v>
      </c>
      <c r="AC26" s="3550">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3"/>
      <c r="M27" s="2714"/>
      <c r="N27" s="2714"/>
      <c r="O27" s="2714"/>
      <c r="P27" s="3837"/>
      <c r="Q27" s="3548" t="str">
        <f t="shared" si="11"/>
        <v>人流量</v>
      </c>
      <c r="R27" s="701" t="s">
        <v>14</v>
      </c>
      <c r="S27" s="702">
        <f>F27</f>
        <v>100</v>
      </c>
      <c r="T27" s="701" t="s">
        <v>14</v>
      </c>
      <c r="U27" s="702">
        <f>H27</f>
        <v>100</v>
      </c>
      <c r="V27" s="701" t="s">
        <v>14</v>
      </c>
      <c r="W27" s="702">
        <f>J27</f>
        <v>100</v>
      </c>
      <c r="X27" s="703"/>
      <c r="Y27" s="3839"/>
      <c r="Z27" s="3547" t="str">
        <f>Q27</f>
        <v>人流量</v>
      </c>
      <c r="AA27" s="3550">
        <f>D27/F27</f>
        <v>1</v>
      </c>
      <c r="AB27" s="3550">
        <f>D27/H27</f>
        <v>1</v>
      </c>
      <c r="AC27" s="3550">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8"/>
      <c r="M28" s="2712"/>
      <c r="N28" s="2712"/>
      <c r="O28" s="2712"/>
      <c r="P28" s="3837"/>
      <c r="Q28" s="3549" t="str">
        <f t="shared" si="11"/>
        <v>楼层</v>
      </c>
      <c r="R28" s="705" t="s">
        <v>14</v>
      </c>
      <c r="S28" s="706">
        <f t="shared" ref="S28:S46" si="12">F28</f>
        <v>100</v>
      </c>
      <c r="T28" s="705" t="s">
        <v>14</v>
      </c>
      <c r="U28" s="706">
        <f t="shared" ref="U28:U46" si="13">H28</f>
        <v>100</v>
      </c>
      <c r="V28" s="705" t="s">
        <v>14</v>
      </c>
      <c r="W28" s="706">
        <f t="shared" ref="W28:W46" si="14">J28</f>
        <v>100</v>
      </c>
      <c r="X28" s="3553"/>
      <c r="Y28" s="3839"/>
      <c r="Z28" s="3552" t="str">
        <f t="shared" ref="Z28:Z46" si="15">Q28</f>
        <v>楼层</v>
      </c>
      <c r="AA28" s="3550">
        <f t="shared" si="3"/>
        <v>1</v>
      </c>
      <c r="AB28" s="3550">
        <f t="shared" si="4"/>
        <v>1</v>
      </c>
      <c r="AC28" s="3550">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37"/>
      <c r="Q29" s="3549">
        <f t="shared" si="11"/>
        <v>111</v>
      </c>
      <c r="R29" s="705" t="s">
        <v>14</v>
      </c>
      <c r="S29" s="706">
        <f t="shared" si="12"/>
        <v>100</v>
      </c>
      <c r="T29" s="705" t="s">
        <v>14</v>
      </c>
      <c r="U29" s="706">
        <f t="shared" si="13"/>
        <v>100</v>
      </c>
      <c r="V29" s="705" t="s">
        <v>14</v>
      </c>
      <c r="W29" s="706">
        <f t="shared" si="14"/>
        <v>100</v>
      </c>
      <c r="X29" s="3553"/>
      <c r="Y29" s="3839"/>
      <c r="Z29" s="3552">
        <f t="shared" si="15"/>
        <v>111</v>
      </c>
      <c r="AA29" s="3550">
        <f t="shared" si="3"/>
        <v>1</v>
      </c>
      <c r="AB29" s="3550">
        <f t="shared" si="4"/>
        <v>1</v>
      </c>
      <c r="AC29" s="3550">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37"/>
      <c r="Q30" s="3549">
        <f t="shared" si="11"/>
        <v>111</v>
      </c>
      <c r="R30" s="705" t="s">
        <v>14</v>
      </c>
      <c r="S30" s="706">
        <f t="shared" si="12"/>
        <v>100</v>
      </c>
      <c r="T30" s="705" t="s">
        <v>14</v>
      </c>
      <c r="U30" s="706">
        <f t="shared" si="13"/>
        <v>100</v>
      </c>
      <c r="V30" s="705" t="s">
        <v>14</v>
      </c>
      <c r="W30" s="706">
        <f t="shared" si="14"/>
        <v>100</v>
      </c>
      <c r="X30" s="3553"/>
      <c r="Y30" s="3839"/>
      <c r="Z30" s="3552">
        <f t="shared" si="15"/>
        <v>111</v>
      </c>
      <c r="AA30" s="3550">
        <f t="shared" si="3"/>
        <v>1</v>
      </c>
      <c r="AB30" s="3550">
        <f t="shared" si="4"/>
        <v>1</v>
      </c>
      <c r="AC30" s="3550">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37"/>
      <c r="Q31" s="3549">
        <f t="shared" si="11"/>
        <v>111</v>
      </c>
      <c r="R31" s="705" t="s">
        <v>14</v>
      </c>
      <c r="S31" s="706">
        <f t="shared" si="12"/>
        <v>100</v>
      </c>
      <c r="T31" s="705" t="s">
        <v>14</v>
      </c>
      <c r="U31" s="706">
        <f t="shared" si="13"/>
        <v>100</v>
      </c>
      <c r="V31" s="705" t="s">
        <v>14</v>
      </c>
      <c r="W31" s="706">
        <f t="shared" si="14"/>
        <v>100</v>
      </c>
      <c r="X31" s="3553"/>
      <c r="Y31" s="3839"/>
      <c r="Z31" s="3552">
        <f t="shared" si="15"/>
        <v>111</v>
      </c>
      <c r="AA31" s="3550">
        <f t="shared" si="3"/>
        <v>1</v>
      </c>
      <c r="AB31" s="3550">
        <f t="shared" si="4"/>
        <v>1</v>
      </c>
      <c r="AC31" s="3550">
        <f t="shared" si="5"/>
        <v>1</v>
      </c>
    </row>
    <row r="32" spans="1:29" ht="15">
      <c r="A32" s="391" t="s">
        <v>1694</v>
      </c>
      <c r="B32" s="63" t="s">
        <v>1784</v>
      </c>
      <c r="C32" s="1910" t="s">
        <v>3559</v>
      </c>
      <c r="D32" s="418">
        <v>100</v>
      </c>
      <c r="E32" s="1910" t="s">
        <v>3559</v>
      </c>
      <c r="F32" s="412">
        <f>SUMIF(100:100,E32,101:101)-SUMIF(100:100,C32,101:101)+100</f>
        <v>100</v>
      </c>
      <c r="G32" s="1910" t="s">
        <v>3505</v>
      </c>
      <c r="H32" s="386">
        <f>SUMIF(100:100,G32,101:101)-SUMIF(100:100,C32,101:101)+100</f>
        <v>95</v>
      </c>
      <c r="I32" s="1910" t="s">
        <v>3505</v>
      </c>
      <c r="J32" s="418">
        <f>SUMIF(100:100,I32,101:101)-SUMIF(100:100,C32,101:101)+100</f>
        <v>95</v>
      </c>
      <c r="K32" s="561">
        <v>5</v>
      </c>
      <c r="L32" s="2718"/>
      <c r="M32" s="2712"/>
      <c r="N32" s="2712"/>
      <c r="O32" s="2712"/>
      <c r="P32" s="3840" t="s">
        <v>1696</v>
      </c>
      <c r="Q32" s="3549" t="str">
        <f t="shared" si="11"/>
        <v>商业类型</v>
      </c>
      <c r="R32" s="705" t="s">
        <v>14</v>
      </c>
      <c r="S32" s="706">
        <f t="shared" si="12"/>
        <v>100</v>
      </c>
      <c r="T32" s="705" t="s">
        <v>14</v>
      </c>
      <c r="U32" s="706">
        <f t="shared" si="13"/>
        <v>95</v>
      </c>
      <c r="V32" s="705" t="s">
        <v>14</v>
      </c>
      <c r="W32" s="706">
        <f t="shared" si="14"/>
        <v>95</v>
      </c>
      <c r="X32" s="3553"/>
      <c r="Y32" s="3843" t="s">
        <v>1696</v>
      </c>
      <c r="Z32" s="3552" t="str">
        <f t="shared" si="15"/>
        <v>商业类型</v>
      </c>
      <c r="AA32" s="3550">
        <f t="shared" si="3"/>
        <v>1</v>
      </c>
      <c r="AB32" s="3550">
        <f t="shared" si="4"/>
        <v>1.0526315789473684</v>
      </c>
      <c r="AC32" s="3550">
        <f t="shared" si="5"/>
        <v>1.0526315789473684</v>
      </c>
    </row>
    <row r="33" spans="1:29" s="422" customFormat="1" ht="15">
      <c r="A33" s="419"/>
      <c r="B33" s="375" t="s">
        <v>1697</v>
      </c>
      <c r="C33" s="420">
        <f>'数据-汇总表'!F19</f>
        <v>608.29999999999995</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7"/>
      <c r="M33" s="2719"/>
      <c r="N33" s="2719"/>
      <c r="O33" s="2719"/>
      <c r="P33" s="3841"/>
      <c r="Q33" s="707" t="str">
        <f t="shared" si="11"/>
        <v>项目建筑规模</v>
      </c>
      <c r="R33" s="708" t="s">
        <v>14</v>
      </c>
      <c r="S33" s="709">
        <f t="shared" si="12"/>
        <v>102</v>
      </c>
      <c r="T33" s="708" t="s">
        <v>14</v>
      </c>
      <c r="U33" s="709">
        <f t="shared" si="13"/>
        <v>104</v>
      </c>
      <c r="V33" s="708" t="s">
        <v>14</v>
      </c>
      <c r="W33" s="709">
        <f t="shared" si="14"/>
        <v>108</v>
      </c>
      <c r="X33" s="710"/>
      <c r="Y33" s="3843"/>
      <c r="Z33" s="711" t="str">
        <f t="shared" si="15"/>
        <v>项目建筑规模</v>
      </c>
      <c r="AA33" s="3550">
        <f t="shared" si="3"/>
        <v>0.98039215686274506</v>
      </c>
      <c r="AB33" s="3550">
        <f t="shared" si="4"/>
        <v>0.96153846153846156</v>
      </c>
      <c r="AC33" s="3550">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41"/>
      <c r="Q34" s="3549" t="str">
        <f t="shared" si="11"/>
        <v>建筑结构</v>
      </c>
      <c r="R34" s="705" t="s">
        <v>14</v>
      </c>
      <c r="S34" s="706">
        <f t="shared" si="12"/>
        <v>100</v>
      </c>
      <c r="T34" s="705" t="s">
        <v>14</v>
      </c>
      <c r="U34" s="706">
        <f t="shared" si="13"/>
        <v>100</v>
      </c>
      <c r="V34" s="705" t="s">
        <v>14</v>
      </c>
      <c r="W34" s="706">
        <f t="shared" si="14"/>
        <v>100</v>
      </c>
      <c r="X34" s="3553"/>
      <c r="Y34" s="3843"/>
      <c r="Z34" s="3552" t="str">
        <f t="shared" si="15"/>
        <v>建筑结构</v>
      </c>
      <c r="AA34" s="3550">
        <f t="shared" si="3"/>
        <v>1</v>
      </c>
      <c r="AB34" s="3550">
        <f t="shared" si="4"/>
        <v>1</v>
      </c>
      <c r="AC34" s="3550">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41"/>
      <c r="Q35" s="3549" t="str">
        <f t="shared" si="11"/>
        <v>公共部分装修</v>
      </c>
      <c r="R35" s="705" t="s">
        <v>14</v>
      </c>
      <c r="S35" s="706">
        <f t="shared" si="12"/>
        <v>100</v>
      </c>
      <c r="T35" s="705" t="s">
        <v>14</v>
      </c>
      <c r="U35" s="706">
        <f t="shared" si="13"/>
        <v>100</v>
      </c>
      <c r="V35" s="705" t="s">
        <v>14</v>
      </c>
      <c r="W35" s="706">
        <f t="shared" si="14"/>
        <v>100</v>
      </c>
      <c r="X35" s="3553"/>
      <c r="Y35" s="3843"/>
      <c r="Z35" s="3552" t="str">
        <f t="shared" si="15"/>
        <v>公共部分装修</v>
      </c>
      <c r="AA35" s="3550">
        <f t="shared" si="3"/>
        <v>1</v>
      </c>
      <c r="AB35" s="3550">
        <f t="shared" si="4"/>
        <v>1</v>
      </c>
      <c r="AC35" s="3550">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41"/>
      <c r="Q36" s="3549" t="str">
        <f t="shared" si="11"/>
        <v>成新度</v>
      </c>
      <c r="R36" s="705" t="s">
        <v>14</v>
      </c>
      <c r="S36" s="706">
        <f t="shared" si="12"/>
        <v>100</v>
      </c>
      <c r="T36" s="705" t="s">
        <v>14</v>
      </c>
      <c r="U36" s="706">
        <f t="shared" si="13"/>
        <v>100</v>
      </c>
      <c r="V36" s="705" t="s">
        <v>14</v>
      </c>
      <c r="W36" s="706">
        <f t="shared" si="14"/>
        <v>100</v>
      </c>
      <c r="X36" s="3553"/>
      <c r="Y36" s="3843"/>
      <c r="Z36" s="3552" t="str">
        <f t="shared" si="15"/>
        <v>成新度</v>
      </c>
      <c r="AA36" s="3550">
        <f t="shared" si="3"/>
        <v>1</v>
      </c>
      <c r="AB36" s="3550">
        <f t="shared" si="4"/>
        <v>1</v>
      </c>
      <c r="AC36" s="3550">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41"/>
      <c r="Q37" s="3548" t="str">
        <f t="shared" si="11"/>
        <v>市政基础设施</v>
      </c>
      <c r="R37" s="701" t="s">
        <v>14</v>
      </c>
      <c r="S37" s="702">
        <f t="shared" si="12"/>
        <v>100</v>
      </c>
      <c r="T37" s="701" t="s">
        <v>14</v>
      </c>
      <c r="U37" s="702">
        <f t="shared" si="13"/>
        <v>100</v>
      </c>
      <c r="V37" s="701" t="s">
        <v>14</v>
      </c>
      <c r="W37" s="702">
        <f t="shared" si="14"/>
        <v>100</v>
      </c>
      <c r="X37" s="703"/>
      <c r="Y37" s="3843"/>
      <c r="Z37" s="3547"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41" t="s">
        <v>1696</v>
      </c>
      <c r="Q38" s="3549" t="str">
        <f t="shared" si="11"/>
        <v>业态</v>
      </c>
      <c r="R38" s="705" t="s">
        <v>14</v>
      </c>
      <c r="S38" s="706">
        <f t="shared" si="12"/>
        <v>100</v>
      </c>
      <c r="T38" s="705" t="s">
        <v>14</v>
      </c>
      <c r="U38" s="706">
        <f t="shared" si="13"/>
        <v>100</v>
      </c>
      <c r="V38" s="705" t="s">
        <v>14</v>
      </c>
      <c r="W38" s="706">
        <f t="shared" si="14"/>
        <v>100</v>
      </c>
      <c r="X38" s="3553"/>
      <c r="Y38" s="3843" t="s">
        <v>1696</v>
      </c>
      <c r="Z38" s="3552" t="str">
        <f t="shared" si="15"/>
        <v>业态</v>
      </c>
      <c r="AA38" s="3550">
        <f t="shared" si="3"/>
        <v>1</v>
      </c>
      <c r="AB38" s="3550">
        <f t="shared" si="4"/>
        <v>1</v>
      </c>
      <c r="AC38" s="3550">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41"/>
      <c r="Q39" s="3549" t="str">
        <f t="shared" si="11"/>
        <v>层高</v>
      </c>
      <c r="R39" s="705" t="s">
        <v>14</v>
      </c>
      <c r="S39" s="706">
        <f t="shared" si="12"/>
        <v>100</v>
      </c>
      <c r="T39" s="705" t="s">
        <v>14</v>
      </c>
      <c r="U39" s="706">
        <f t="shared" si="13"/>
        <v>100</v>
      </c>
      <c r="V39" s="705" t="s">
        <v>14</v>
      </c>
      <c r="W39" s="706">
        <f t="shared" si="14"/>
        <v>100</v>
      </c>
      <c r="X39" s="3553"/>
      <c r="Y39" s="3843"/>
      <c r="Z39" s="3552" t="str">
        <f t="shared" si="15"/>
        <v>层高</v>
      </c>
      <c r="AA39" s="3550">
        <f t="shared" si="3"/>
        <v>1</v>
      </c>
      <c r="AB39" s="3550">
        <f t="shared" si="4"/>
        <v>1</v>
      </c>
      <c r="AC39" s="3550">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41"/>
      <c r="Q40" s="3549" t="str">
        <f t="shared" si="11"/>
        <v>单套建筑面积</v>
      </c>
      <c r="R40" s="705" t="s">
        <v>14</v>
      </c>
      <c r="S40" s="706">
        <f t="shared" si="12"/>
        <v>100</v>
      </c>
      <c r="T40" s="705" t="s">
        <v>14</v>
      </c>
      <c r="U40" s="706">
        <f t="shared" si="13"/>
        <v>100</v>
      </c>
      <c r="V40" s="705" t="s">
        <v>14</v>
      </c>
      <c r="W40" s="706">
        <f t="shared" si="14"/>
        <v>100</v>
      </c>
      <c r="X40" s="3553"/>
      <c r="Y40" s="3843"/>
      <c r="Z40" s="3552" t="str">
        <f t="shared" si="15"/>
        <v>单套建筑面积</v>
      </c>
      <c r="AA40" s="3550">
        <f t="shared" si="3"/>
        <v>1</v>
      </c>
      <c r="AB40" s="3550">
        <f t="shared" si="4"/>
        <v>1</v>
      </c>
      <c r="AC40" s="3550">
        <f t="shared" si="5"/>
        <v>1</v>
      </c>
    </row>
    <row r="41" spans="1:29" s="422" customFormat="1" ht="15">
      <c r="A41" s="419"/>
      <c r="B41" s="3551"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41"/>
      <c r="Q41" s="707" t="str">
        <f t="shared" si="11"/>
        <v>进深比</v>
      </c>
      <c r="R41" s="708" t="s">
        <v>14</v>
      </c>
      <c r="S41" s="709">
        <f t="shared" si="12"/>
        <v>100</v>
      </c>
      <c r="T41" s="708" t="s">
        <v>14</v>
      </c>
      <c r="U41" s="709">
        <f t="shared" si="13"/>
        <v>100</v>
      </c>
      <c r="V41" s="708" t="s">
        <v>14</v>
      </c>
      <c r="W41" s="709">
        <f t="shared" si="14"/>
        <v>100</v>
      </c>
      <c r="X41" s="710"/>
      <c r="Y41" s="3843"/>
      <c r="Z41" s="711" t="str">
        <f t="shared" si="15"/>
        <v>进深比</v>
      </c>
      <c r="AA41" s="3550">
        <f t="shared" si="3"/>
        <v>1</v>
      </c>
      <c r="AB41" s="3550">
        <f t="shared" si="4"/>
        <v>1</v>
      </c>
      <c r="AC41" s="3550">
        <f t="shared" si="5"/>
        <v>1</v>
      </c>
    </row>
    <row r="42" spans="1:29" ht="15">
      <c r="A42" s="423"/>
      <c r="B42" s="375" t="s">
        <v>1792</v>
      </c>
      <c r="C42" s="411" t="s">
        <v>3597</v>
      </c>
      <c r="D42" s="386">
        <v>100</v>
      </c>
      <c r="E42" s="411" t="s">
        <v>3597</v>
      </c>
      <c r="F42" s="412">
        <f>SUMIF(122:122,E42,123:123)-SUMIF(122:122,C42,123:123)+100</f>
        <v>100</v>
      </c>
      <c r="G42" s="411" t="s">
        <v>3597</v>
      </c>
      <c r="H42" s="386">
        <f>SUMIF(122:122,G42,123:123)-SUMIF(122:122,C42,123:123)+100</f>
        <v>100</v>
      </c>
      <c r="I42" s="411" t="s">
        <v>3597</v>
      </c>
      <c r="J42" s="386">
        <f>SUMIF(122:122,I42,123:123)-SUMIF(122:122,C42,123:123)+100</f>
        <v>100</v>
      </c>
      <c r="K42" s="561">
        <v>3</v>
      </c>
      <c r="L42" s="2718"/>
      <c r="M42" s="2712"/>
      <c r="N42" s="2712"/>
      <c r="O42" s="2712"/>
      <c r="P42" s="3841"/>
      <c r="Q42" s="3549" t="str">
        <f t="shared" si="11"/>
        <v>内部装修</v>
      </c>
      <c r="R42" s="705" t="s">
        <v>14</v>
      </c>
      <c r="S42" s="706">
        <f t="shared" si="12"/>
        <v>100</v>
      </c>
      <c r="T42" s="705" t="s">
        <v>14</v>
      </c>
      <c r="U42" s="706">
        <f t="shared" si="13"/>
        <v>100</v>
      </c>
      <c r="V42" s="705" t="s">
        <v>14</v>
      </c>
      <c r="W42" s="706">
        <f t="shared" si="14"/>
        <v>100</v>
      </c>
      <c r="X42" s="3553"/>
      <c r="Y42" s="3843"/>
      <c r="Z42" s="3552" t="str">
        <f t="shared" si="15"/>
        <v>内部装修</v>
      </c>
      <c r="AA42" s="3550">
        <f t="shared" si="3"/>
        <v>1</v>
      </c>
      <c r="AB42" s="3550">
        <f t="shared" si="4"/>
        <v>1</v>
      </c>
      <c r="AC42" s="3550">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41"/>
      <c r="Q43" s="3549" t="str">
        <f t="shared" si="11"/>
        <v>内部装修维护情况</v>
      </c>
      <c r="R43" s="705" t="s">
        <v>14</v>
      </c>
      <c r="S43" s="706">
        <f t="shared" si="12"/>
        <v>100</v>
      </c>
      <c r="T43" s="705" t="s">
        <v>14</v>
      </c>
      <c r="U43" s="706">
        <f t="shared" si="13"/>
        <v>100</v>
      </c>
      <c r="V43" s="705" t="s">
        <v>14</v>
      </c>
      <c r="W43" s="706">
        <f t="shared" si="14"/>
        <v>100</v>
      </c>
      <c r="X43" s="3553"/>
      <c r="Y43" s="3843"/>
      <c r="Z43" s="3552" t="str">
        <f t="shared" si="15"/>
        <v>内部装修维护情况</v>
      </c>
      <c r="AA43" s="3550">
        <f t="shared" si="3"/>
        <v>1</v>
      </c>
      <c r="AB43" s="3550">
        <f t="shared" si="4"/>
        <v>1</v>
      </c>
      <c r="AC43" s="3550">
        <f t="shared" si="5"/>
        <v>1</v>
      </c>
    </row>
    <row r="44" spans="1:29" s="108" customFormat="1" ht="15">
      <c r="A44" s="424"/>
      <c r="B44" s="3554" t="s">
        <v>3601</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3"/>
      <c r="M44" s="2714"/>
      <c r="N44" s="2714"/>
      <c r="O44" s="2714"/>
      <c r="P44" s="3841"/>
      <c r="Q44" s="3548" t="str">
        <f t="shared" si="11"/>
        <v>建成时间</v>
      </c>
      <c r="R44" s="701" t="s">
        <v>14</v>
      </c>
      <c r="S44" s="702">
        <f t="shared" si="12"/>
        <v>100</v>
      </c>
      <c r="T44" s="701" t="s">
        <v>14</v>
      </c>
      <c r="U44" s="702">
        <f t="shared" si="13"/>
        <v>100</v>
      </c>
      <c r="V44" s="701" t="s">
        <v>14</v>
      </c>
      <c r="W44" s="702">
        <f t="shared" si="14"/>
        <v>100</v>
      </c>
      <c r="X44" s="703"/>
      <c r="Y44" s="3843"/>
      <c r="Z44" s="3547"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41"/>
      <c r="Q45" s="3549">
        <f t="shared" si="11"/>
        <v>111</v>
      </c>
      <c r="R45" s="705" t="s">
        <v>14</v>
      </c>
      <c r="S45" s="706">
        <f t="shared" si="12"/>
        <v>100</v>
      </c>
      <c r="T45" s="705" t="s">
        <v>14</v>
      </c>
      <c r="U45" s="706">
        <f t="shared" si="13"/>
        <v>100</v>
      </c>
      <c r="V45" s="705" t="s">
        <v>14</v>
      </c>
      <c r="W45" s="706">
        <f t="shared" si="14"/>
        <v>100</v>
      </c>
      <c r="X45" s="3553"/>
      <c r="Y45" s="3843"/>
      <c r="Z45" s="3552">
        <f t="shared" si="15"/>
        <v>111</v>
      </c>
      <c r="AA45" s="3550">
        <f t="shared" si="3"/>
        <v>1</v>
      </c>
      <c r="AB45" s="3550">
        <f t="shared" si="4"/>
        <v>1</v>
      </c>
      <c r="AC45" s="355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42"/>
      <c r="Q46" s="3549">
        <f t="shared" si="11"/>
        <v>111</v>
      </c>
      <c r="R46" s="705" t="s">
        <v>14</v>
      </c>
      <c r="S46" s="706">
        <f t="shared" si="12"/>
        <v>100</v>
      </c>
      <c r="T46" s="705" t="s">
        <v>14</v>
      </c>
      <c r="U46" s="706">
        <f t="shared" si="13"/>
        <v>100</v>
      </c>
      <c r="V46" s="705" t="s">
        <v>14</v>
      </c>
      <c r="W46" s="706">
        <f t="shared" si="14"/>
        <v>100</v>
      </c>
      <c r="X46" s="3553"/>
      <c r="Y46" s="3844"/>
      <c r="Z46" s="3552">
        <f t="shared" si="15"/>
        <v>111</v>
      </c>
      <c r="AA46" s="3550">
        <f t="shared" si="3"/>
        <v>1</v>
      </c>
      <c r="AB46" s="3550">
        <f t="shared" si="4"/>
        <v>1</v>
      </c>
      <c r="AC46" s="3550">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0"/>
      <c r="M47" s="2721">
        <f>15*365*0.8/0.05</f>
        <v>87600</v>
      </c>
      <c r="N47" s="2712"/>
      <c r="O47" s="2721"/>
      <c r="P47" s="3845" t="str">
        <f>A47</f>
        <v>成交单价（元/平方米）</v>
      </c>
      <c r="Q47" s="3845"/>
      <c r="R47" s="3807">
        <f>E47</f>
        <v>69678</v>
      </c>
      <c r="S47" s="3807"/>
      <c r="T47" s="3807">
        <f>G47</f>
        <v>71249</v>
      </c>
      <c r="U47" s="3807"/>
      <c r="V47" s="3807">
        <f>I47</f>
        <v>70000</v>
      </c>
      <c r="W47" s="38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845" t="str">
        <f>A48</f>
        <v>比较价值（元/平方米）</v>
      </c>
      <c r="Q48" s="3845"/>
      <c r="R48" s="3846" t="e">
        <f>IF(F1="售价",ROUND(PRODUCT(R47,AA7:AA46),0),ROUND(PRODUCT(R47,AA7:AA46),1))</f>
        <v>#DIV/0!</v>
      </c>
      <c r="S48" s="3846"/>
      <c r="T48" s="3846" t="e">
        <f>IF(F1="售价",ROUND(PRODUCT(T47,AB7:AB46),0),ROUND(PRODUCT(T47,AB7:AB46),1))</f>
        <v>#DIV/0!</v>
      </c>
      <c r="U48" s="3846"/>
      <c r="V48" s="3846" t="e">
        <f>IF(F1="售价",ROUND(PRODUCT(V47,AC7:AC46),0),ROUND(PRODUCT(V47,AC7:AC46),1))</f>
        <v>#DIV/0!</v>
      </c>
      <c r="W48" s="3846"/>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0"/>
      <c r="M49" s="2721"/>
      <c r="N49" s="2712"/>
      <c r="O49" s="2721"/>
      <c r="P49" s="3847" t="str">
        <f>A49</f>
        <v>估价对象XX用房的比较价值（楼面单价，元/平方米）</v>
      </c>
      <c r="Q49" s="3848"/>
      <c r="R49" s="3849" t="e">
        <f>IF(F1="售价",ROUND(IF(D48="简单平均",AVERAGE(R48:V48),R48*F48+T48*H48+V48*J48),0),ROUND(IF(D48="简单平均",AVERAGE(R48:V48),R48*F48+T48*H48+V48*J48),1))</f>
        <v>#DIV/0!</v>
      </c>
      <c r="S49" s="3849"/>
      <c r="T49" s="3849"/>
      <c r="U49" s="3849"/>
      <c r="V49" s="3849"/>
      <c r="W49" s="384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1714</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1718</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3557" t="s">
        <v>3603</v>
      </c>
      <c r="D65" s="3557" t="s">
        <v>3606</v>
      </c>
      <c r="E65" s="3557" t="s">
        <v>3604</v>
      </c>
      <c r="F65" s="3557" t="s">
        <v>3607</v>
      </c>
      <c r="G65" s="3557"/>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C66+5</f>
        <v>105</v>
      </c>
      <c r="E66" s="485">
        <f>D66+5</f>
        <v>110</v>
      </c>
      <c r="F66" s="485">
        <f>E66+5</f>
        <v>115</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t="s">
        <v>3544</v>
      </c>
      <c r="F92" s="3532" t="s">
        <v>3545</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105</v>
      </c>
      <c r="D93" s="485">
        <v>100</v>
      </c>
      <c r="E93" s="485">
        <v>102</v>
      </c>
      <c r="F93" s="485">
        <v>104</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3546</v>
      </c>
      <c r="D100" s="3534" t="s">
        <v>3547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建成时间</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8"/>
    <col min="8" max="8" width="10.5" style="3538" bestFit="1" customWidth="1"/>
    <col min="9" max="16384" width="8.875" style="3538"/>
  </cols>
  <sheetData>
    <row r="1" spans="6:10">
      <c r="G1" s="3538" t="s">
        <v>3560</v>
      </c>
      <c r="H1" s="3538" t="s">
        <v>3561</v>
      </c>
      <c r="I1" s="3538" t="s">
        <v>3562</v>
      </c>
      <c r="J1" s="3538" t="s">
        <v>3563</v>
      </c>
    </row>
    <row r="2" spans="6:10">
      <c r="F2" s="3538" t="s">
        <v>3593</v>
      </c>
      <c r="G2" s="3538">
        <v>265.51</v>
      </c>
      <c r="H2" s="3539">
        <v>45231</v>
      </c>
      <c r="I2" s="3538">
        <v>69678</v>
      </c>
      <c r="J2" s="3538" t="s">
        <v>3564</v>
      </c>
    </row>
    <row r="3" spans="6:10">
      <c r="F3" s="3538" t="s">
        <v>3600</v>
      </c>
      <c r="G3" s="3538">
        <v>119.3</v>
      </c>
      <c r="H3" s="3539">
        <f>H2</f>
        <v>45231</v>
      </c>
      <c r="I3" s="3538">
        <v>71249</v>
      </c>
      <c r="J3" s="3538" t="s">
        <v>3564</v>
      </c>
    </row>
    <row r="4" spans="6:10">
      <c r="F4" s="3538" t="s">
        <v>3594</v>
      </c>
      <c r="G4" s="3538">
        <v>45.87</v>
      </c>
      <c r="H4" s="3540">
        <f>H3</f>
        <v>45231</v>
      </c>
      <c r="I4" s="3538">
        <v>70000</v>
      </c>
      <c r="J4" s="3538" t="s">
        <v>3564</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9" t="str">
        <f>IF(项目基本情况!B9="房地产市场价值","估价结果一览表","结果表-2")</f>
        <v>估价结果一览表</v>
      </c>
      <c r="B1" s="3629"/>
      <c r="C1" s="3629"/>
      <c r="D1" s="3629"/>
      <c r="E1" s="3629"/>
      <c r="F1" s="3629"/>
      <c r="G1" s="3629"/>
      <c r="H1" s="3629"/>
      <c r="I1" s="3629"/>
    </row>
    <row r="2" spans="1:9" ht="30" customHeight="1" thickTop="1">
      <c r="A2" s="3630" t="s">
        <v>928</v>
      </c>
      <c r="B2" s="3630" t="s">
        <v>929</v>
      </c>
      <c r="C2" s="3630" t="s">
        <v>930</v>
      </c>
      <c r="D2" s="3630" t="str">
        <f>结果表!D116</f>
        <v>出让国有建设用地使用权价值</v>
      </c>
      <c r="E2" s="3630"/>
      <c r="F2" s="3630" t="str">
        <f>结果表!F116</f>
        <v>在建建筑物价值</v>
      </c>
      <c r="G2" s="3630"/>
      <c r="H2" s="3630" t="str">
        <f>IF(项目基本情况!B9="房地产市场价值","房地产市场价值","房地产价值")</f>
        <v>房地产市场价值</v>
      </c>
      <c r="I2" s="3630"/>
    </row>
    <row r="3" spans="1:9" ht="15">
      <c r="A3" s="3631"/>
      <c r="B3" s="3631"/>
      <c r="C3" s="3631"/>
      <c r="D3" s="854" t="s">
        <v>925</v>
      </c>
      <c r="E3" s="854" t="s">
        <v>931</v>
      </c>
      <c r="F3" s="854" t="s">
        <v>925</v>
      </c>
      <c r="G3" s="854" t="s">
        <v>926</v>
      </c>
      <c r="H3" s="854" t="s">
        <v>925</v>
      </c>
      <c r="I3" s="854" t="s">
        <v>926</v>
      </c>
    </row>
    <row r="4" spans="1:9" ht="30">
      <c r="A4" s="1505" t="str">
        <f>项目基本情况!S2</f>
        <v>北京市大兴区兴业大街（三段）房地产</v>
      </c>
      <c r="B4" s="854">
        <f>项目基本情况!C17</f>
        <v>608.29999999999995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1" t="s">
        <v>927</v>
      </c>
      <c r="B5" s="3631"/>
      <c r="C5" s="3631"/>
      <c r="D5" s="3631" t="e">
        <f ca="1">结果表!D119</f>
        <v>#REF!</v>
      </c>
      <c r="E5" s="3631"/>
      <c r="F5" s="3631" t="e">
        <f ca="1">结果表!F119</f>
        <v>#REF!</v>
      </c>
      <c r="G5" s="3631"/>
      <c r="H5" s="3631" t="e">
        <f ca="1">结果表!H119</f>
        <v>#REF!</v>
      </c>
      <c r="I5" s="3631"/>
    </row>
    <row r="6" spans="1:9" ht="15.75">
      <c r="A6" s="3632" t="str">
        <f>结果表!A120</f>
        <v/>
      </c>
      <c r="B6" s="3632"/>
      <c r="C6" s="3632"/>
      <c r="D6" s="3632">
        <f>结果表!D120</f>
        <v>0</v>
      </c>
      <c r="E6" s="3632"/>
      <c r="F6" s="3632"/>
      <c r="G6" s="3632"/>
      <c r="H6" s="3632"/>
      <c r="I6" s="3632"/>
    </row>
    <row r="7" spans="1:9" ht="15">
      <c r="A7" s="3631" t="s">
        <v>927</v>
      </c>
      <c r="B7" s="3631"/>
      <c r="C7" s="3631"/>
      <c r="D7" s="3633" t="str">
        <f>结果表!D121</f>
        <v>零元整</v>
      </c>
      <c r="E7" s="3634"/>
      <c r="F7" s="3634"/>
      <c r="G7" s="3634"/>
      <c r="H7" s="3634"/>
      <c r="I7" s="3635"/>
    </row>
    <row r="8" spans="1:9" ht="15.75">
      <c r="A8" s="3632" t="str">
        <f>结果表!A122</f>
        <v/>
      </c>
      <c r="B8" s="3632"/>
      <c r="C8" s="3632"/>
      <c r="D8" s="3632" t="e">
        <f ca="1">结果表!D122</f>
        <v>#REF!</v>
      </c>
      <c r="E8" s="3632"/>
      <c r="F8" s="3632"/>
      <c r="G8" s="3632"/>
      <c r="H8" s="3632"/>
      <c r="I8" s="3632"/>
    </row>
    <row r="9" spans="1:9" ht="15">
      <c r="A9" s="3631" t="s">
        <v>927</v>
      </c>
      <c r="B9" s="3631"/>
      <c r="C9" s="3631"/>
      <c r="D9" s="3631" t="e">
        <f ca="1">结果表!D123</f>
        <v>#REF!</v>
      </c>
      <c r="E9" s="3631"/>
      <c r="F9" s="3631"/>
      <c r="G9" s="3631"/>
      <c r="H9" s="3631"/>
      <c r="I9" s="3631"/>
    </row>
    <row r="10" spans="1:9" ht="15.75">
      <c r="A10" s="3632" t="str">
        <f>结果表!A124</f>
        <v/>
      </c>
      <c r="B10" s="3632"/>
      <c r="C10" s="3632"/>
      <c r="D10" s="3632" t="str">
        <f>结果表!D124</f>
        <v>——</v>
      </c>
      <c r="E10" s="3632"/>
      <c r="F10" s="3632"/>
      <c r="G10" s="3632"/>
      <c r="H10" s="3632"/>
      <c r="I10" s="3632"/>
    </row>
    <row r="11" spans="1:9" ht="15">
      <c r="A11" s="3631" t="s">
        <v>927</v>
      </c>
      <c r="B11" s="3631"/>
      <c r="C11" s="3631"/>
      <c r="D11" s="3631" t="e">
        <f>结果表!D125</f>
        <v>#VALUE!</v>
      </c>
      <c r="E11" s="3631"/>
      <c r="F11" s="3631"/>
      <c r="G11" s="3631"/>
      <c r="H11" s="3631"/>
      <c r="I11" s="3631"/>
    </row>
    <row r="12" spans="1:9" ht="15.75">
      <c r="A12" s="3632" t="str">
        <f>结果表!A126</f>
        <v/>
      </c>
      <c r="B12" s="3632"/>
      <c r="C12" s="3632"/>
      <c r="D12" s="3632" t="str">
        <f>结果表!D126</f>
        <v>——</v>
      </c>
      <c r="E12" s="3632"/>
      <c r="F12" s="3632"/>
      <c r="G12" s="3632"/>
      <c r="H12" s="3632"/>
      <c r="I12" s="3632"/>
    </row>
    <row r="13" spans="1:9" ht="15.75" thickBot="1">
      <c r="A13" s="3636" t="s">
        <v>927</v>
      </c>
      <c r="B13" s="3636"/>
      <c r="C13" s="3636"/>
      <c r="D13" s="3636" t="e">
        <f>结果表!D127</f>
        <v>#VALUE!</v>
      </c>
      <c r="E13" s="3636"/>
      <c r="F13" s="3636"/>
      <c r="G13" s="3636"/>
      <c r="H13" s="3636"/>
      <c r="I13" s="3636"/>
    </row>
    <row r="14" spans="1:9" ht="15" thickTop="1">
      <c r="A14" s="3637" t="s">
        <v>932</v>
      </c>
      <c r="B14" s="3637"/>
      <c r="C14" s="3637"/>
      <c r="D14" s="3637"/>
      <c r="E14" s="3637"/>
      <c r="F14" s="3637"/>
      <c r="G14" s="3637"/>
      <c r="H14" s="3637"/>
      <c r="I14" s="363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D8" sqref="D8"/>
    </sheetView>
  </sheetViews>
  <sheetFormatPr defaultRowHeight="13.5"/>
  <sheetData>
    <row r="1" spans="1:2">
      <c r="A1">
        <v>100</v>
      </c>
      <c r="B1">
        <f>A1*B2/A2</f>
        <v>117.64705882352941</v>
      </c>
    </row>
    <row r="2" spans="1:2">
      <c r="A2">
        <v>85</v>
      </c>
      <c r="B2">
        <v>100</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8" t="s">
        <v>949</v>
      </c>
      <c r="B1" s="3638"/>
      <c r="C1" s="3638"/>
      <c r="D1" s="3638"/>
    </row>
    <row r="2" spans="1:4" ht="18">
      <c r="A2" s="3639" t="s">
        <v>933</v>
      </c>
      <c r="B2" s="3639"/>
      <c r="C2" s="3639"/>
      <c r="D2" s="363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9" t="s">
        <v>939</v>
      </c>
      <c r="B6" s="3639"/>
      <c r="C6" s="3639"/>
      <c r="D6" s="363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40" t="s">
        <v>942</v>
      </c>
      <c r="B11" s="3641"/>
      <c r="C11" s="3641"/>
      <c r="D11" s="3641"/>
    </row>
    <row r="12" spans="1:4" ht="15.75">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2"/>
      <c r="C12" s="3642"/>
      <c r="D12" s="3642"/>
    </row>
    <row r="13" spans="1:4" ht="30" customHeight="1">
      <c r="A13" s="3641" t="str">
        <f>IF(项目基本情况!B8="抵押","3.抵押双方在办理抵押登记手续时，应使用本公司出具的正式《房地产评估报告》，特提醒报告使用者注意。","——")</f>
        <v>——</v>
      </c>
      <c r="B13" s="3642"/>
      <c r="C13" s="3642"/>
      <c r="D13" s="3642"/>
    </row>
    <row r="14" spans="1:4" ht="15.75" customHeight="1">
      <c r="A14" s="3641" t="str">
        <f>IF(项目基本情况!B8="抵押","4.本次评估估价师所知悉的法定优先受偿款情况说明如下：","——")</f>
        <v>——</v>
      </c>
      <c r="B14" s="3642"/>
      <c r="C14" s="3642"/>
      <c r="D14" s="3642"/>
    </row>
    <row r="15" spans="1:4" ht="42" customHeight="1">
      <c r="A15" s="3641" t="str">
        <f>IF(项目基本情况!B8="抵押","（1）"&amp;CONCATENATE(项目基本情况!L20,项目基本情况!L21,项目基本情况!L22),"——")</f>
        <v>——</v>
      </c>
      <c r="B15" s="3641"/>
      <c r="C15" s="3641"/>
      <c r="D15" s="3641"/>
    </row>
    <row r="16" spans="1:4" ht="30" customHeight="1">
      <c r="A16" s="3644" t="s">
        <v>943</v>
      </c>
      <c r="B16" s="3644"/>
      <c r="C16" s="3644"/>
      <c r="D16" s="3644"/>
    </row>
    <row r="17" spans="1:4" ht="144" customHeight="1">
      <c r="A17" s="3644" t="s">
        <v>944</v>
      </c>
      <c r="B17" s="3644"/>
      <c r="C17" s="3644"/>
      <c r="D17" s="3644"/>
    </row>
    <row r="18" spans="1:4" ht="15.75" customHeight="1">
      <c r="A18" s="3641" t="str">
        <f>IF(项目基本情况!B8="抵押",结果表!K120,"——")</f>
        <v>——</v>
      </c>
      <c r="B18" s="3641"/>
      <c r="C18" s="3641"/>
      <c r="D18" s="3641"/>
    </row>
    <row r="19" spans="1:4" ht="46.5" customHeight="1">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spans="1:4" ht="57.75" customHeight="1">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1"/>
      <c r="C20" s="3641"/>
      <c r="D20" s="3641"/>
    </row>
    <row r="21" spans="1:4" ht="57.75" customHeight="1">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5"/>
      <c r="C21" s="3645"/>
      <c r="D21" s="3645"/>
    </row>
    <row r="22" spans="1:4" ht="18.75" customHeight="1">
      <c r="A22" s="3646" t="s">
        <v>945</v>
      </c>
      <c r="B22" s="3646"/>
      <c r="C22" s="3646"/>
      <c r="D22" s="364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43">
        <v>42551</v>
      </c>
      <c r="D31" s="36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52" t="s">
        <v>956</v>
      </c>
      <c r="B15" s="3647" t="s">
        <v>109</v>
      </c>
      <c r="C15" s="3648"/>
    </row>
    <row r="16" spans="1:7" ht="13.5">
      <c r="A16" s="3653"/>
      <c r="B16" s="3647" t="s">
        <v>42</v>
      </c>
      <c r="C16" s="3648"/>
    </row>
    <row r="17" spans="1:3" ht="13.5">
      <c r="A17" s="3653"/>
      <c r="B17" s="3650" t="s">
        <v>957</v>
      </c>
      <c r="C17" s="1532" t="s">
        <v>956</v>
      </c>
    </row>
    <row r="18" spans="1:3" ht="13.5">
      <c r="A18" s="3653"/>
      <c r="B18" s="3650"/>
      <c r="C18" s="1532" t="s">
        <v>958</v>
      </c>
    </row>
    <row r="19" spans="1:3" ht="13.5">
      <c r="A19" s="3653"/>
      <c r="B19" s="3650"/>
      <c r="C19" s="1532" t="s">
        <v>959</v>
      </c>
    </row>
    <row r="20" spans="1:3" ht="13.5">
      <c r="A20" s="3654"/>
      <c r="B20" s="3649" t="s">
        <v>960</v>
      </c>
      <c r="C20" s="3648"/>
    </row>
    <row r="21" spans="1:3" ht="13.5">
      <c r="A21" s="1533" t="s">
        <v>961</v>
      </c>
      <c r="B21" s="1534"/>
      <c r="C21" s="1535"/>
    </row>
    <row r="22" spans="1:3" ht="13.5">
      <c r="A22" s="3651" t="s">
        <v>962</v>
      </c>
      <c r="B22" s="3649" t="s">
        <v>963</v>
      </c>
      <c r="C22" s="3648"/>
    </row>
    <row r="23" spans="1:3" ht="13.5">
      <c r="A23" s="3651"/>
      <c r="B23" s="3649" t="s">
        <v>964</v>
      </c>
      <c r="C23" s="3648"/>
    </row>
    <row r="24" spans="1:3" ht="13.5">
      <c r="A24" s="3651"/>
      <c r="B24" s="3649" t="s">
        <v>965</v>
      </c>
      <c r="C24" s="3648"/>
    </row>
    <row r="25" spans="1:3" ht="13.5">
      <c r="A25" s="3651"/>
      <c r="B25" s="3650" t="s">
        <v>966</v>
      </c>
      <c r="C25" s="1532" t="s">
        <v>967</v>
      </c>
    </row>
    <row r="26" spans="1:3" ht="13.5">
      <c r="A26" s="3651"/>
      <c r="B26" s="3650"/>
      <c r="C26" s="1532" t="s">
        <v>968</v>
      </c>
    </row>
    <row r="27" spans="1:3" ht="13.5">
      <c r="A27" s="3651"/>
      <c r="B27" s="3650"/>
      <c r="C27" s="1532" t="s">
        <v>969</v>
      </c>
    </row>
    <row r="28" spans="1:3" ht="13.5">
      <c r="A28" s="3651"/>
      <c r="B28" s="3650"/>
      <c r="C28" s="1532" t="s">
        <v>970</v>
      </c>
    </row>
    <row r="29" spans="1:3" ht="13.5">
      <c r="A29" s="3651"/>
      <c r="B29" s="3650"/>
      <c r="C29" s="1532" t="s">
        <v>971</v>
      </c>
    </row>
    <row r="30" spans="1:3" ht="13.5">
      <c r="A30" s="3651"/>
      <c r="B30" s="3650"/>
      <c r="C30" s="1532" t="s">
        <v>972</v>
      </c>
    </row>
    <row r="31" spans="1:3" ht="13.5">
      <c r="A31" s="3651"/>
      <c r="B31" s="3650"/>
      <c r="C31" s="1532" t="s">
        <v>973</v>
      </c>
    </row>
    <row r="32" spans="1:3" ht="13.5">
      <c r="A32" s="3651"/>
      <c r="B32" s="3650"/>
      <c r="C32" s="1532" t="s">
        <v>974</v>
      </c>
    </row>
    <row r="33" spans="1:3" ht="13.5">
      <c r="A33" s="3651"/>
      <c r="B33" s="365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5" t="s">
        <v>2160</v>
      </c>
      <c r="B17" s="3655"/>
      <c r="C17" s="3655"/>
      <c r="D17" s="3655"/>
      <c r="E17" s="3655"/>
      <c r="F17" s="3655"/>
      <c r="G17" s="3655"/>
      <c r="H17" s="3655"/>
    </row>
    <row r="18" spans="1:8" ht="24" customHeight="1">
      <c r="A18" s="3656" t="s">
        <v>2161</v>
      </c>
      <c r="B18" s="3656"/>
      <c r="C18" s="3656"/>
      <c r="D18" s="2343"/>
      <c r="E18" s="3657" t="s">
        <v>2162</v>
      </c>
      <c r="F18" s="3656"/>
      <c r="G18" s="365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Sheet1</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2024-09-05T09:34:29Z</dcterms:modified>
</cp:coreProperties>
</file>