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490" yWindow="60" windowWidth="14475" windowHeight="14040" tabRatio="899" firstSheet="1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1" r:id="rId46"/>
    <sheet name="土地信息" sheetId="82"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25" i="31" l="1"/>
  <c r="B24" i="31"/>
  <c r="B14" i="74" s="1"/>
  <c r="N6" i="1"/>
  <c r="F19" i="6"/>
  <c r="N20" i="1" l="1"/>
  <c r="N22" i="1" s="1"/>
  <c r="N44" i="82"/>
  <c r="B35" i="1" l="1"/>
  <c r="Y6" i="1"/>
  <c r="D3" i="4"/>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S20" i="79"/>
  <c r="M20" i="79"/>
  <c r="P20" i="79" s="1"/>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U11" i="79" s="1"/>
  <c r="M11" i="79"/>
  <c r="L11" i="79"/>
  <c r="S11" i="79" s="1"/>
  <c r="K11" i="79"/>
  <c r="I11" i="79"/>
  <c r="AC10" i="79"/>
  <c r="AB10" i="79"/>
  <c r="AA10" i="79"/>
  <c r="AD10" i="79" s="1"/>
  <c r="Z10" i="79"/>
  <c r="Y10" i="79"/>
  <c r="O10" i="79"/>
  <c r="V10" i="79" s="1"/>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M7" i="79"/>
  <c r="L7" i="79"/>
  <c r="K7" i="79"/>
  <c r="I7" i="79"/>
  <c r="AC6" i="79"/>
  <c r="AB6" i="79"/>
  <c r="AA6" i="79"/>
  <c r="AD6" i="79" s="1"/>
  <c r="Z6" i="79"/>
  <c r="Y6" i="79"/>
  <c r="O6" i="79"/>
  <c r="N6" i="79"/>
  <c r="M6" i="79"/>
  <c r="P6" i="79" s="1"/>
  <c r="L6" i="79"/>
  <c r="K6" i="79"/>
  <c r="I6" i="79"/>
  <c r="AC5" i="79"/>
  <c r="AB5" i="79"/>
  <c r="AA5" i="79"/>
  <c r="AD5" i="79" s="1"/>
  <c r="Z5" i="79"/>
  <c r="Y5" i="79"/>
  <c r="O5" i="79"/>
  <c r="N5" i="79"/>
  <c r="M5" i="79"/>
  <c r="P5" i="79" s="1"/>
  <c r="L5" i="79"/>
  <c r="K5" i="79"/>
  <c r="I5" i="79"/>
  <c r="AB3" i="79"/>
  <c r="Z3" i="79"/>
  <c r="V3" i="79"/>
  <c r="T3" i="79"/>
  <c r="W3" i="79" s="1"/>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5" i="79" l="1"/>
  <c r="U5" i="79"/>
  <c r="S6" i="79"/>
  <c r="U6" i="79"/>
  <c r="Y3" i="79"/>
  <c r="AC3" i="79"/>
  <c r="R7" i="79"/>
  <c r="T7" i="79"/>
  <c r="W7" i="79" s="1"/>
  <c r="V7" i="79"/>
  <c r="S8" i="79"/>
  <c r="U8" i="79"/>
  <c r="R9" i="79"/>
  <c r="T9" i="79"/>
  <c r="W9" i="79" s="1"/>
  <c r="V9" i="79"/>
  <c r="S10" i="79"/>
  <c r="U10" i="79"/>
  <c r="R11" i="79"/>
  <c r="T11" i="79"/>
  <c r="W11" i="79" s="1"/>
  <c r="V11" i="79"/>
  <c r="N20" i="79"/>
  <c r="U20" i="79"/>
  <c r="U23" i="79"/>
  <c r="AD24" i="79"/>
  <c r="S25" i="79"/>
  <c r="U25" i="79"/>
  <c r="AD26" i="79"/>
  <c r="T26" i="79"/>
  <c r="W26" i="79" s="1"/>
  <c r="S27" i="79"/>
  <c r="U27" i="79"/>
  <c r="AD28" i="79"/>
  <c r="T28" i="79"/>
  <c r="W28" i="79" s="1"/>
  <c r="S3" i="79"/>
  <c r="U3" i="79"/>
  <c r="AA3" i="79"/>
  <c r="AD3" i="79" s="1"/>
  <c r="R5" i="79"/>
  <c r="T5" i="79"/>
  <c r="W5" i="79" s="1"/>
  <c r="V5" i="79"/>
  <c r="R6" i="79"/>
  <c r="V6" i="79"/>
  <c r="S7" i="79"/>
  <c r="U7" i="79"/>
  <c r="R8" i="79"/>
  <c r="V8" i="79"/>
  <c r="S9" i="79"/>
  <c r="U9" i="79"/>
  <c r="P9" i="79"/>
  <c r="R10" i="79"/>
  <c r="P11" i="79"/>
  <c r="T22" i="79"/>
  <c r="W22" i="79" s="1"/>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C34"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C30" i="71" s="1"/>
  <c r="N29" i="71"/>
  <c r="D29" i="71"/>
  <c r="O28" i="71"/>
  <c r="N28" i="71"/>
  <c r="X26" i="71" s="1"/>
  <c r="B30" i="71"/>
  <c r="B31" i="71"/>
  <c r="B32" i="71" s="1"/>
  <c r="S32" i="71" s="1"/>
  <c r="E30" i="71"/>
  <c r="E31" i="71" s="1"/>
  <c r="E32" i="71" s="1"/>
  <c r="U32" i="71" s="1"/>
  <c r="AA29" i="71"/>
  <c r="B34" i="71"/>
  <c r="B35" i="71"/>
  <c r="B36" i="71" s="1"/>
  <c r="S36" i="71" s="1"/>
  <c r="B38" i="71"/>
  <c r="B39" i="71" s="1"/>
  <c r="B40" i="71" s="1"/>
  <c r="S40" i="71" s="1"/>
  <c r="X37" i="71"/>
  <c r="E38" i="71"/>
  <c r="E39" i="71" s="1"/>
  <c r="E40" i="71" s="1"/>
  <c r="U40" i="71" s="1"/>
  <c r="AA37" i="71"/>
  <c r="N68" i="71"/>
  <c r="E34" i="71"/>
  <c r="E35" i="71" s="1"/>
  <c r="E36" i="71" s="1"/>
  <c r="U36" i="71" s="1"/>
  <c r="AA33" i="71"/>
  <c r="Y29" i="71"/>
  <c r="Z29" i="71" s="1"/>
  <c r="AB29" i="71"/>
  <c r="AA30" i="71"/>
  <c r="AA31" i="71"/>
  <c r="X32" i="71"/>
  <c r="AA32" i="71"/>
  <c r="Y33" i="71"/>
  <c r="Z33" i="71" s="1"/>
  <c r="AB33" i="71"/>
  <c r="X34" i="71"/>
  <c r="AA34" i="71"/>
  <c r="X35" i="71"/>
  <c r="AA35" i="71"/>
  <c r="X36" i="71"/>
  <c r="AA36" i="71"/>
  <c r="C38" i="71"/>
  <c r="C39" i="71" s="1"/>
  <c r="Y37" i="71"/>
  <c r="Z37" i="71" s="1"/>
  <c r="AB37" i="71"/>
  <c r="X38" i="71"/>
  <c r="AA38" i="71"/>
  <c r="C28" i="71"/>
  <c r="Y25" i="71"/>
  <c r="Z25" i="71" s="1"/>
  <c r="Y26" i="71"/>
  <c r="Z26" i="71" s="1"/>
  <c r="Y27" i="71"/>
  <c r="Z27" i="71" s="1"/>
  <c r="Y28" i="71"/>
  <c r="Z28" i="71" s="1"/>
  <c r="B28" i="71"/>
  <c r="B27" i="71" s="1"/>
  <c r="B26" i="71" s="1"/>
  <c r="X25" i="71"/>
  <c r="X27" i="71"/>
  <c r="D38" i="71"/>
  <c r="C47" i="71"/>
  <c r="D47" i="71"/>
  <c r="D46" i="71"/>
  <c r="C51" i="71"/>
  <c r="C52" i="71" s="1"/>
  <c r="D50" i="71"/>
  <c r="P28" i="71"/>
  <c r="E28" i="71" s="1"/>
  <c r="E55" i="71"/>
  <c r="E56" i="71"/>
  <c r="U56" i="71" s="1"/>
  <c r="E59" i="71"/>
  <c r="E60" i="71" s="1"/>
  <c r="U60" i="71" s="1"/>
  <c r="E63" i="71"/>
  <c r="E64" i="71" s="1"/>
  <c r="U64" i="71" s="1"/>
  <c r="U68" i="71"/>
  <c r="E67" i="71"/>
  <c r="Q28" i="71"/>
  <c r="F28" i="71" s="1"/>
  <c r="F27" i="71" s="1"/>
  <c r="F26" i="71" s="1"/>
  <c r="C55" i="71"/>
  <c r="D54" i="71"/>
  <c r="C59" i="71"/>
  <c r="D58" i="71"/>
  <c r="C63" i="71"/>
  <c r="D62" i="71"/>
  <c r="N67" i="71"/>
  <c r="B66" i="71"/>
  <c r="N65" i="71" s="1"/>
  <c r="T68" i="71"/>
  <c r="O68" i="71"/>
  <c r="D68" i="71"/>
  <c r="C67" i="71"/>
  <c r="C66" i="71" s="1"/>
  <c r="Q68" i="71"/>
  <c r="C71" i="71"/>
  <c r="C70" i="71" s="1"/>
  <c r="D70" i="71" s="1"/>
  <c r="E71" i="71"/>
  <c r="E70" i="71"/>
  <c r="D72" i="71"/>
  <c r="C75" i="71"/>
  <c r="D75" i="71" s="1"/>
  <c r="E75" i="71"/>
  <c r="E74" i="71"/>
  <c r="D76" i="71"/>
  <c r="C79" i="71"/>
  <c r="C78" i="71" s="1"/>
  <c r="D78" i="71" s="1"/>
  <c r="E79" i="71"/>
  <c r="E78" i="71"/>
  <c r="D80" i="71"/>
  <c r="C83" i="71"/>
  <c r="C82" i="71" s="1"/>
  <c r="D82" i="71" s="1"/>
  <c r="C87" i="71"/>
  <c r="T28" i="71"/>
  <c r="C27" i="71"/>
  <c r="S28" i="71"/>
  <c r="AB26" i="71"/>
  <c r="AB28" i="71"/>
  <c r="AA3" i="71"/>
  <c r="AA26" i="71"/>
  <c r="AA28" i="71"/>
  <c r="D28" i="71"/>
  <c r="U28" i="71"/>
  <c r="O67" i="71"/>
  <c r="C64" i="71"/>
  <c r="D64" i="71" s="1"/>
  <c r="D63" i="71"/>
  <c r="D83" i="71"/>
  <c r="C74" i="71"/>
  <c r="D74" i="71" s="1"/>
  <c r="N66" i="71"/>
  <c r="D87" i="71"/>
  <c r="C86" i="71"/>
  <c r="D86" i="71" s="1"/>
  <c r="D79" i="71"/>
  <c r="D71" i="71"/>
  <c r="C60" i="71"/>
  <c r="D59" i="71"/>
  <c r="C56" i="71"/>
  <c r="D55" i="71"/>
  <c r="P67" i="71"/>
  <c r="E66" i="71"/>
  <c r="P65" i="71" s="1"/>
  <c r="D51" i="71"/>
  <c r="C26" i="71"/>
  <c r="D26" i="71"/>
  <c r="D27" i="71"/>
  <c r="P66"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AC21" i="33"/>
  <c r="AB21"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J35" i="34"/>
  <c r="W9" i="34"/>
  <c r="U34" i="34"/>
  <c r="H39" i="33"/>
  <c r="AB39" i="33" s="1"/>
  <c r="F26" i="33"/>
  <c r="AA26" i="33" s="1"/>
  <c r="U33" i="33"/>
  <c r="U35" i="33"/>
  <c r="S40" i="33"/>
  <c r="W33" i="33"/>
  <c r="W39" i="33"/>
  <c r="H39" i="37"/>
  <c r="AB39" i="37" s="1"/>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s="1"/>
  <c r="H17" i="40"/>
  <c r="U17" i="40" s="1"/>
  <c r="J15" i="40"/>
  <c r="W15" i="40" s="1"/>
  <c r="J11" i="40"/>
  <c r="W11" i="40" s="1"/>
  <c r="AB8" i="39"/>
  <c r="AB12" i="33"/>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U23" i="40"/>
  <c r="J42" i="21"/>
  <c r="AC42" i="21" s="1"/>
  <c r="H42" i="21"/>
  <c r="U42" i="21" s="1"/>
  <c r="J44" i="34"/>
  <c r="F44" i="34"/>
  <c r="AA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c r="G105" i="37"/>
  <c r="J10" i="36"/>
  <c r="AC10" i="36" s="1"/>
  <c r="AB26" i="33"/>
  <c r="AB30" i="21"/>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BL140" i="3"/>
  <c r="AZ140" i="3" s="1"/>
  <c r="G141" i="3"/>
  <c r="BA143" i="3"/>
  <c r="BL144" i="3"/>
  <c r="G145" i="3"/>
  <c r="BA147" i="3"/>
  <c r="BL148" i="3"/>
  <c r="AZ148" i="3"/>
  <c r="G149" i="3"/>
  <c r="BA151" i="3"/>
  <c r="AZ151" i="3" s="1"/>
  <c r="BL152" i="3"/>
  <c r="G153" i="3"/>
  <c r="BA155" i="3"/>
  <c r="AZ155" i="3" s="1"/>
  <c r="BL156" i="3"/>
  <c r="AZ156" i="3" s="1"/>
  <c r="G157" i="3"/>
  <c r="BA159" i="3"/>
  <c r="BL160" i="3"/>
  <c r="AZ160" i="3" s="1"/>
  <c r="G161" i="3"/>
  <c r="BA163" i="3"/>
  <c r="BL164" i="3"/>
  <c r="AZ164" i="3" s="1"/>
  <c r="G165" i="3"/>
  <c r="BA167" i="3"/>
  <c r="AZ167" i="3" s="1"/>
  <c r="BL168" i="3"/>
  <c r="G169" i="3"/>
  <c r="BA171" i="3"/>
  <c r="AZ171" i="3" s="1"/>
  <c r="BL172" i="3"/>
  <c r="AZ172" i="3" s="1"/>
  <c r="G173" i="3"/>
  <c r="BA175" i="3"/>
  <c r="BL176" i="3"/>
  <c r="G177" i="3"/>
  <c r="BA179" i="3"/>
  <c r="BL180" i="3"/>
  <c r="AZ180" i="3"/>
  <c r="G181" i="3"/>
  <c r="BA183" i="3"/>
  <c r="AZ183" i="3" s="1"/>
  <c r="BL184" i="3"/>
  <c r="G185" i="3"/>
  <c r="BA187" i="3"/>
  <c r="AZ187" i="3" s="1"/>
  <c r="BL188" i="3"/>
  <c r="AZ188" i="3" s="1"/>
  <c r="G189" i="3"/>
  <c r="BA191" i="3"/>
  <c r="BL192" i="3"/>
  <c r="AZ192" i="3" s="1"/>
  <c r="G193" i="3"/>
  <c r="BA195" i="3"/>
  <c r="BL196" i="3"/>
  <c r="AZ196" i="3" s="1"/>
  <c r="G197" i="3"/>
  <c r="BA199" i="3"/>
  <c r="AZ199" i="3" s="1"/>
  <c r="BL200" i="3"/>
  <c r="G201" i="3"/>
  <c r="BA203" i="3"/>
  <c r="AZ203" i="3" s="1"/>
  <c r="BL204" i="3"/>
  <c r="AZ204" i="3" s="1"/>
  <c r="AZ51" i="3"/>
  <c r="AZ55" i="3"/>
  <c r="AZ67" i="3"/>
  <c r="AZ71" i="3"/>
  <c r="AZ83" i="3"/>
  <c r="AZ136" i="3"/>
  <c r="AZ144" i="3"/>
  <c r="AZ176" i="3"/>
  <c r="AZ85" i="3"/>
  <c r="AZ89" i="3"/>
  <c r="AZ93" i="3"/>
  <c r="AZ97"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54" i="3"/>
  <c r="AZ170" i="3"/>
  <c r="AZ186" i="3"/>
  <c r="AZ202" i="3"/>
  <c r="AZ206" i="3"/>
  <c r="AZ500" i="3"/>
  <c r="BA16" i="3"/>
  <c r="AZ16" i="3" s="1"/>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33" i="3"/>
  <c r="AZ237" i="3"/>
  <c r="AZ249" i="3"/>
  <c r="AZ253" i="3"/>
  <c r="AZ261" i="3"/>
  <c r="AZ265" i="3"/>
  <c r="BA379" i="3"/>
  <c r="BL380" i="3"/>
  <c r="G381" i="3"/>
  <c r="BA383" i="3"/>
  <c r="AZ383" i="3" s="1"/>
  <c r="BL384" i="3"/>
  <c r="AZ384" i="3" s="1"/>
  <c r="G385" i="3"/>
  <c r="BA387" i="3"/>
  <c r="AZ387" i="3" s="1"/>
  <c r="BL388" i="3"/>
  <c r="G389" i="3"/>
  <c r="BA391" i="3"/>
  <c r="AZ391" i="3" s="1"/>
  <c r="BL392" i="3"/>
  <c r="G393" i="3"/>
  <c r="AZ263" i="3"/>
  <c r="AZ279" i="3"/>
  <c r="AZ283" i="3"/>
  <c r="AZ291"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6" i="3"/>
  <c r="AZ364" i="3"/>
  <c r="AZ368" i="3"/>
  <c r="BA15" i="3"/>
  <c r="BB5" i="3"/>
  <c r="BR5" i="3"/>
  <c r="AZ380" i="3"/>
  <c r="AZ509" i="3"/>
  <c r="G509" i="3"/>
  <c r="BL493" i="3"/>
  <c r="AZ390"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4" i="3"/>
  <c r="AZ386" i="3"/>
  <c r="C40" i="11"/>
  <c r="AZ223" i="3"/>
  <c r="AZ232" i="3"/>
  <c r="AZ235" i="3"/>
  <c r="AZ251" i="3"/>
  <c r="AZ256" i="3"/>
  <c r="AZ280" i="3"/>
  <c r="AZ288" i="3"/>
  <c r="AZ117" i="3"/>
  <c r="AZ133" i="3"/>
  <c r="AZ29" i="3"/>
  <c r="AZ31" i="3"/>
  <c r="AZ33" i="3"/>
  <c r="AZ37" i="3"/>
  <c r="AZ42" i="3"/>
  <c r="AZ53" i="3"/>
  <c r="AZ58" i="3"/>
  <c r="AZ69" i="3"/>
  <c r="AZ102" i="3"/>
  <c r="AZ110" i="3"/>
  <c r="F23" i="39"/>
  <c r="AA23" i="39" s="1"/>
  <c r="H27" i="36"/>
  <c r="U27" i="36" s="1"/>
  <c r="F27" i="36"/>
  <c r="AA27" i="36" s="1"/>
  <c r="H33" i="34"/>
  <c r="U33" i="34" s="1"/>
  <c r="F32" i="37"/>
  <c r="AA32" i="37" s="1"/>
  <c r="G96" i="37"/>
  <c r="H96" i="37" s="1"/>
  <c r="I96" i="37"/>
  <c r="J96" i="37" s="1"/>
  <c r="K96" i="37" s="1"/>
  <c r="L96" i="37" s="1"/>
  <c r="M96" i="37" s="1"/>
  <c r="F20" i="36"/>
  <c r="AA20" i="36"/>
  <c r="J33" i="34"/>
  <c r="AC33" i="34"/>
  <c r="H23" i="39"/>
  <c r="U23" i="39" s="1"/>
  <c r="D48" i="9"/>
  <c r="M52" i="9" s="1"/>
  <c r="K9" i="1"/>
  <c r="M9" i="1" s="1"/>
  <c r="D93" i="9"/>
  <c r="G29" i="6"/>
  <c r="AC26" i="33"/>
  <c r="W26" i="33"/>
  <c r="W27" i="34"/>
  <c r="AC27" i="34"/>
  <c r="AB34" i="36"/>
  <c r="U34" i="36"/>
  <c r="AB33" i="36"/>
  <c r="U33" i="36"/>
  <c r="AC12" i="39"/>
  <c r="W12" i="39"/>
  <c r="AC39" i="40"/>
  <c r="W39" i="40"/>
  <c r="W12" i="33"/>
  <c r="AC12" i="33"/>
  <c r="AA32" i="36"/>
  <c r="S32" i="36"/>
  <c r="AZ408" i="3"/>
  <c r="AZ437" i="3"/>
  <c r="AZ441" i="3"/>
  <c r="AZ473" i="3"/>
  <c r="AZ490" i="3"/>
  <c r="AA39" i="34"/>
  <c r="F28" i="6"/>
  <c r="BL14" i="3"/>
  <c r="U30" i="33"/>
  <c r="AC13" i="34"/>
  <c r="AA47" i="34"/>
  <c r="W28" i="37"/>
  <c r="S19" i="39"/>
  <c r="F12" i="33"/>
  <c r="H12" i="39"/>
  <c r="AB12" i="39" s="1"/>
  <c r="F39" i="40"/>
  <c r="BA14" i="3"/>
  <c r="AZ14" i="3" s="1"/>
  <c r="AZ234" i="3"/>
  <c r="AZ254" i="3"/>
  <c r="AZ281" i="3"/>
  <c r="AZ286" i="3"/>
  <c r="AZ149" i="3"/>
  <c r="AZ165" i="3"/>
  <c r="AZ181" i="3"/>
  <c r="AZ197" i="3"/>
  <c r="AZ26" i="3"/>
  <c r="AZ35" i="3"/>
  <c r="B12" i="1"/>
  <c r="E12" i="1" s="1"/>
  <c r="B10" i="1"/>
  <c r="E10" i="1" s="1"/>
  <c r="AZ88"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S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W19" i="37" s="1"/>
  <c r="G75" i="37"/>
  <c r="S19"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S37" i="21"/>
  <c r="AA23" i="21"/>
  <c r="AB15" i="21"/>
  <c r="J23" i="21"/>
  <c r="AC23" i="21" s="1"/>
  <c r="H23" i="21"/>
  <c r="S13" i="21"/>
  <c r="D6" i="52"/>
  <c r="AP7" i="1"/>
  <c r="AB45" i="21"/>
  <c r="AB9" i="21"/>
  <c r="AA32" i="21"/>
  <c r="S32" i="21"/>
  <c r="W9" i="21"/>
  <c r="AC9" i="21"/>
  <c r="AB32" i="21"/>
  <c r="U32" i="21"/>
  <c r="U32" i="39"/>
  <c r="W32" i="39"/>
  <c r="AC19" i="37"/>
  <c r="W23" i="37"/>
  <c r="AC23" i="37"/>
  <c r="J11" i="37"/>
  <c r="AC11" i="37" s="1"/>
  <c r="H70" i="34"/>
  <c r="I70" i="34" s="1"/>
  <c r="J70" i="34" s="1"/>
  <c r="K70" i="34" s="1"/>
  <c r="L70" i="34" s="1"/>
  <c r="M70" i="34" s="1"/>
  <c r="J11" i="34"/>
  <c r="W11" i="34" s="1"/>
  <c r="AB36" i="33"/>
  <c r="W27" i="33"/>
  <c r="AC27" i="33"/>
  <c r="AC25" i="33"/>
  <c r="AA23" i="33"/>
  <c r="S23" i="33"/>
  <c r="U19" i="33"/>
  <c r="S17" i="33"/>
  <c r="U17" i="33"/>
  <c r="AB17" i="33"/>
  <c r="U23" i="21"/>
  <c r="AB23" i="21"/>
  <c r="H109" i="9"/>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9" i="71"/>
  <c r="F40" i="15"/>
  <c r="M29" i="15"/>
  <c r="M26" i="67"/>
  <c r="F9" i="15"/>
  <c r="B7" i="76"/>
  <c r="D4" i="73"/>
  <c r="F38" i="15"/>
  <c r="D7" i="73"/>
  <c r="F4" i="73"/>
  <c r="B11" i="76"/>
  <c r="F37" i="67"/>
  <c r="L48" i="15"/>
  <c r="L48" i="67"/>
  <c r="F5" i="73"/>
  <c r="M22" i="15"/>
  <c r="M28" i="67"/>
  <c r="F3" i="73"/>
  <c r="M8" i="67"/>
  <c r="J15" i="15"/>
  <c r="M26" i="15"/>
  <c r="F36" i="15"/>
  <c r="M6" i="15"/>
  <c r="E12" i="76"/>
  <c r="F20" i="31"/>
  <c r="F42" i="67"/>
  <c r="F38" i="67"/>
  <c r="F7" i="67"/>
  <c r="L47" i="67"/>
  <c r="M9" i="67"/>
  <c r="E11" i="76"/>
  <c r="E13" i="76"/>
  <c r="M9" i="15"/>
  <c r="E9" i="76"/>
  <c r="E8" i="76"/>
  <c r="M23" i="67"/>
  <c r="F37" i="15"/>
  <c r="C76" i="67"/>
  <c r="F8" i="67"/>
  <c r="F16" i="67"/>
  <c r="C76" i="15"/>
  <c r="B13" i="76"/>
  <c r="E10" i="76"/>
  <c r="F40" i="67"/>
  <c r="M6" i="67"/>
  <c r="F6" i="67"/>
  <c r="F26" i="15"/>
  <c r="F8" i="15"/>
  <c r="D6" i="73"/>
  <c r="B9" i="76"/>
  <c r="M24" i="67"/>
  <c r="D3" i="73"/>
  <c r="M24" i="15"/>
  <c r="E2" i="68"/>
  <c r="F43" i="67"/>
  <c r="F13" i="67"/>
  <c r="B12" i="76"/>
  <c r="F26" i="67"/>
  <c r="F13" i="15"/>
  <c r="F6" i="15"/>
  <c r="B10" i="76"/>
  <c r="D5" i="73"/>
  <c r="M23" i="15"/>
  <c r="F6" i="73"/>
  <c r="F42" i="15"/>
  <c r="F7" i="73"/>
  <c r="M8" i="15"/>
  <c r="M22" i="67"/>
  <c r="F36" i="67"/>
  <c r="F9" i="67"/>
  <c r="F7" i="15"/>
  <c r="E2" i="69"/>
  <c r="E7" i="76"/>
  <c r="M29" i="67"/>
  <c r="J15" i="67"/>
  <c r="B8" i="76"/>
  <c r="AO13" i="1"/>
  <c r="L47" i="15"/>
  <c r="M28" i="15"/>
  <c r="F43" i="15"/>
  <c r="F16" i="15"/>
  <c r="W23" i="21" l="1"/>
  <c r="D18" i="71"/>
  <c r="D20" i="71"/>
  <c r="U20" i="71" s="1"/>
  <c r="T20" i="71"/>
  <c r="AZ379" i="3"/>
  <c r="AZ345" i="3"/>
  <c r="AZ318" i="3"/>
  <c r="AZ372" i="3"/>
  <c r="AZ337" i="3"/>
  <c r="AZ320" i="3"/>
  <c r="AZ305" i="3"/>
  <c r="AZ376" i="3"/>
  <c r="AZ362" i="3"/>
  <c r="AZ360" i="3"/>
  <c r="AZ343" i="3"/>
  <c r="AZ495" i="3"/>
  <c r="AZ513" i="3"/>
  <c r="AZ517" i="3"/>
  <c r="AZ567" i="3"/>
  <c r="AZ571" i="3"/>
  <c r="AZ575" i="3"/>
  <c r="AZ579" i="3"/>
  <c r="F9" i="36"/>
  <c r="H12" i="36"/>
  <c r="H24" i="36"/>
  <c r="AZ124" i="3"/>
  <c r="AZ503" i="3"/>
  <c r="AZ523" i="3"/>
  <c r="AZ531" i="3"/>
  <c r="AZ539" i="3"/>
  <c r="AZ547" i="3"/>
  <c r="AZ553" i="3"/>
  <c r="AZ583" i="3"/>
  <c r="AZ581" i="3"/>
  <c r="AZ526" i="3"/>
  <c r="AZ548" i="3"/>
  <c r="AZ566" i="3"/>
  <c r="AZ574" i="3"/>
  <c r="AZ582" i="3"/>
  <c r="AZ584" i="3"/>
  <c r="AA14" i="37"/>
  <c r="BL586" i="3"/>
  <c r="AZ586" i="3" s="1"/>
  <c r="BL585" i="3"/>
  <c r="AZ585" i="3" s="1"/>
  <c r="B73" i="43"/>
  <c r="BA551" i="3"/>
  <c r="AZ551" i="3" s="1"/>
  <c r="BL548" i="3"/>
  <c r="BL15" i="3"/>
  <c r="BL5" i="3" s="1"/>
  <c r="AZ438" i="3"/>
  <c r="AZ443" i="3"/>
  <c r="AZ489"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G285" i="3"/>
  <c r="BL285" i="3"/>
  <c r="BL287" i="3"/>
  <c r="AZ287" i="3" s="1"/>
  <c r="G290" i="3"/>
  <c r="BL290" i="3"/>
  <c r="G293" i="3"/>
  <c r="BL293" i="3"/>
  <c r="BA294" i="3"/>
  <c r="AZ294" i="3" s="1"/>
  <c r="BA295" i="3"/>
  <c r="AZ295" i="3" s="1"/>
  <c r="BA296" i="3"/>
  <c r="AZ296" i="3" s="1"/>
  <c r="BA297" i="3"/>
  <c r="AZ297" i="3" s="1"/>
  <c r="BL299" i="3"/>
  <c r="AZ299" i="3" s="1"/>
  <c r="BA300" i="3"/>
  <c r="AZ300" i="3" s="1"/>
  <c r="G570" i="3"/>
  <c r="G556" i="3"/>
  <c r="BL550" i="3"/>
  <c r="BA550" i="3"/>
  <c r="AZ550" i="3" s="1"/>
  <c r="G526" i="3"/>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AZ436" i="3" s="1"/>
  <c r="G441" i="3"/>
  <c r="G442" i="3"/>
  <c r="G446" i="3"/>
  <c r="G448" i="3"/>
  <c r="BL448" i="3"/>
  <c r="BA449" i="3"/>
  <c r="AZ449" i="3" s="1"/>
  <c r="BA450" i="3"/>
  <c r="BL450" i="3"/>
  <c r="G452" i="3"/>
  <c r="BL452" i="3"/>
  <c r="BA453" i="3"/>
  <c r="AZ453" i="3" s="1"/>
  <c r="BA454" i="3"/>
  <c r="AZ454" i="3" s="1"/>
  <c r="BL454" i="3"/>
  <c r="BA455" i="3"/>
  <c r="AZ455" i="3" s="1"/>
  <c r="BL457" i="3"/>
  <c r="AZ457" i="3" s="1"/>
  <c r="G459" i="3"/>
  <c r="G461" i="3"/>
  <c r="BL461" i="3"/>
  <c r="G463" i="3"/>
  <c r="BL463" i="3"/>
  <c r="BA464" i="3"/>
  <c r="AZ464" i="3" s="1"/>
  <c r="BA465" i="3"/>
  <c r="AZ465" i="3" s="1"/>
  <c r="G468" i="3"/>
  <c r="BL468" i="3"/>
  <c r="G470" i="3"/>
  <c r="BL470" i="3"/>
  <c r="G472" i="3"/>
  <c r="BL472" i="3"/>
  <c r="G475" i="3"/>
  <c r="BL475" i="3"/>
  <c r="BA476" i="3"/>
  <c r="AZ476" i="3" s="1"/>
  <c r="BA477" i="3"/>
  <c r="AZ477" i="3" s="1"/>
  <c r="BL477" i="3"/>
  <c r="BA478" i="3"/>
  <c r="AZ478" i="3" s="1"/>
  <c r="G481" i="3"/>
  <c r="G483" i="3"/>
  <c r="BL483" i="3"/>
  <c r="BA484" i="3"/>
  <c r="AZ484" i="3" s="1"/>
  <c r="G487" i="3"/>
  <c r="G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5" i="3"/>
  <c r="AZ385" i="3" s="1"/>
  <c r="BA388" i="3"/>
  <c r="AZ388" i="3" s="1"/>
  <c r="BA392" i="3"/>
  <c r="AZ392" i="3" s="1"/>
  <c r="G395" i="3"/>
  <c r="G396" i="3"/>
  <c r="BL396" i="3"/>
  <c r="AZ396" i="3" s="1"/>
  <c r="BA397" i="3"/>
  <c r="AZ397" i="3" s="1"/>
  <c r="BA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L245" i="3"/>
  <c r="AZ245" i="3" s="1"/>
  <c r="BA246" i="3"/>
  <c r="AZ246" i="3" s="1"/>
  <c r="BL248" i="3"/>
  <c r="AZ248" i="3" s="1"/>
  <c r="BL250" i="3"/>
  <c r="AZ250" i="3" s="1"/>
  <c r="G253" i="3"/>
  <c r="G254" i="3"/>
  <c r="G255" i="3"/>
  <c r="BL255" i="3"/>
  <c r="BL257" i="3"/>
  <c r="AZ257" i="3" s="1"/>
  <c r="BA258" i="3"/>
  <c r="AZ258" i="3" s="1"/>
  <c r="BA259" i="3"/>
  <c r="AZ259" i="3" s="1"/>
  <c r="AZ260" i="3"/>
  <c r="AZ264" i="3"/>
  <c r="AZ285" i="3"/>
  <c r="AZ290" i="3"/>
  <c r="AZ293" i="3"/>
  <c r="BA113" i="3"/>
  <c r="AZ113" i="3" s="1"/>
  <c r="BA114" i="3"/>
  <c r="AZ114" i="3" s="1"/>
  <c r="BL115" i="3"/>
  <c r="AZ115" i="3" s="1"/>
  <c r="G119" i="3"/>
  <c r="G122" i="3"/>
  <c r="BL122" i="3"/>
  <c r="BA124" i="3"/>
  <c r="BL125" i="3"/>
  <c r="BA126" i="3"/>
  <c r="AZ126" i="3" s="1"/>
  <c r="BL127" i="3"/>
  <c r="AZ127" i="3" s="1"/>
  <c r="BA129" i="3"/>
  <c r="AZ129" i="3" s="1"/>
  <c r="BA130" i="3"/>
  <c r="AZ130" i="3" s="1"/>
  <c r="BL131" i="3"/>
  <c r="AZ131" i="3" s="1"/>
  <c r="G135" i="3"/>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AZ169" i="3"/>
  <c r="AZ201" i="3"/>
  <c r="E27" i="71"/>
  <c r="E26" i="71" s="1"/>
  <c r="V28" i="71"/>
  <c r="D52" i="71"/>
  <c r="T52" i="71"/>
  <c r="C35" i="71"/>
  <c r="D34" i="71"/>
  <c r="BA194" i="3"/>
  <c r="AZ194" i="3" s="1"/>
  <c r="BL195" i="3"/>
  <c r="AZ195" i="3" s="1"/>
  <c r="BL198" i="3"/>
  <c r="AZ198" i="3" s="1"/>
  <c r="BA200" i="3"/>
  <c r="AZ200" i="3" s="1"/>
  <c r="BL201" i="3"/>
  <c r="G204" i="3"/>
  <c r="G206" i="3"/>
  <c r="G207" i="3"/>
  <c r="BL207" i="3"/>
  <c r="AZ207" i="3" s="1"/>
  <c r="BA18" i="3"/>
  <c r="AZ18" i="3" s="1"/>
  <c r="BA19" i="3"/>
  <c r="AZ19" i="3" s="1"/>
  <c r="BA20" i="3"/>
  <c r="AZ20" i="3" s="1"/>
  <c r="BA21" i="3"/>
  <c r="AZ21" i="3" s="1"/>
  <c r="G24" i="3"/>
  <c r="G25" i="3"/>
  <c r="BL25" i="3"/>
  <c r="AZ25" i="3" s="1"/>
  <c r="G28" i="3"/>
  <c r="G29" i="3"/>
  <c r="G30" i="3"/>
  <c r="BL30" i="3"/>
  <c r="AZ30" i="3" s="1"/>
  <c r="BL32" i="3"/>
  <c r="AZ32" i="3" s="1"/>
  <c r="G35" i="3"/>
  <c r="G36" i="3"/>
  <c r="BL36" i="3"/>
  <c r="AZ36"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BL94" i="3"/>
  <c r="AZ94" i="3" s="1"/>
  <c r="G96" i="3"/>
  <c r="BL96" i="3"/>
  <c r="AZ96" i="3" s="1"/>
  <c r="BA98" i="3"/>
  <c r="AZ98" i="3" s="1"/>
  <c r="G101" i="3"/>
  <c r="G102" i="3"/>
  <c r="G103" i="3"/>
  <c r="BL103" i="3"/>
  <c r="AZ103" i="3" s="1"/>
  <c r="BA104" i="3"/>
  <c r="AZ104" i="3" s="1"/>
  <c r="BA105" i="3"/>
  <c r="AZ105" i="3" s="1"/>
  <c r="BL107" i="3"/>
  <c r="AZ107" i="3" s="1"/>
  <c r="G109" i="3"/>
  <c r="G110" i="3"/>
  <c r="G111" i="3"/>
  <c r="G112" i="3"/>
  <c r="BL112" i="3"/>
  <c r="F3" i="35"/>
  <c r="O66" i="71"/>
  <c r="O65" i="71"/>
  <c r="D66" i="71"/>
  <c r="C40" i="71"/>
  <c r="D39" i="71"/>
  <c r="D30" i="71"/>
  <c r="C31" i="71"/>
  <c r="S21" i="34"/>
  <c r="D67" i="71"/>
  <c r="AA27" i="71"/>
  <c r="AA25" i="71"/>
  <c r="AB27" i="71"/>
  <c r="AB25" i="71"/>
  <c r="X28" i="71"/>
  <c r="X31" i="71"/>
  <c r="X30" i="71"/>
  <c r="B43" i="71"/>
  <c r="B44" i="71" s="1"/>
  <c r="S44" i="71" s="1"/>
  <c r="C21" i="68"/>
  <c r="C40" i="69"/>
  <c r="G14" i="3"/>
  <c r="G5" i="3" s="1"/>
  <c r="B3" i="3" s="1"/>
  <c r="E384" i="3" s="1"/>
  <c r="K56" i="9"/>
  <c r="B79" i="43"/>
  <c r="G6" i="1"/>
  <c r="I24" i="43"/>
  <c r="C18" i="9"/>
  <c r="D18" i="9" s="1"/>
  <c r="C28" i="67"/>
  <c r="E19" i="71"/>
  <c r="E18" i="71" s="1"/>
  <c r="E17" i="71" s="1"/>
  <c r="E16" i="71" s="1"/>
  <c r="V20" i="71"/>
  <c r="D17" i="71"/>
  <c r="C16" i="71"/>
  <c r="D19" i="53"/>
  <c r="B38" i="72" s="1"/>
  <c r="D16" i="53"/>
  <c r="B34" i="72" s="1"/>
  <c r="AZ557" i="3"/>
  <c r="AC11" i="35"/>
  <c r="J9" i="33"/>
  <c r="AZ398" i="3"/>
  <c r="AZ405" i="3"/>
  <c r="AZ407" i="3"/>
  <c r="AZ410" i="3"/>
  <c r="AZ415" i="3"/>
  <c r="AZ420" i="3"/>
  <c r="AZ426" i="3"/>
  <c r="AZ431" i="3"/>
  <c r="AZ448" i="3"/>
  <c r="AZ452" i="3"/>
  <c r="AZ461" i="3"/>
  <c r="AZ463" i="3"/>
  <c r="AZ468" i="3"/>
  <c r="AZ470" i="3"/>
  <c r="G28" i="6"/>
  <c r="F29" i="6"/>
  <c r="U43" i="33"/>
  <c r="AA41" i="34"/>
  <c r="AZ439" i="3"/>
  <c r="J23" i="35"/>
  <c r="F25" i="37"/>
  <c r="J25" i="37"/>
  <c r="F26" i="37"/>
  <c r="H26" i="37"/>
  <c r="F44" i="39"/>
  <c r="H38" i="40"/>
  <c r="J38" i="40"/>
  <c r="H39" i="40"/>
  <c r="AZ472" i="3"/>
  <c r="AZ475" i="3"/>
  <c r="AZ483" i="3"/>
  <c r="AZ316" i="3"/>
  <c r="AZ332" i="3"/>
  <c r="AZ211" i="3"/>
  <c r="AZ219" i="3"/>
  <c r="AZ236" i="3"/>
  <c r="AZ255" i="3"/>
  <c r="AZ270" i="3"/>
  <c r="AZ274" i="3"/>
  <c r="AZ277" i="3"/>
  <c r="AZ298" i="3"/>
  <c r="AZ301" i="3"/>
  <c r="AZ122" i="3"/>
  <c r="AZ125" i="3"/>
  <c r="AZ22" i="3"/>
  <c r="AZ54" i="3"/>
  <c r="AZ57" i="3"/>
  <c r="AZ70" i="3"/>
  <c r="C43" i="71"/>
  <c r="D42" i="71"/>
  <c r="AZ90" i="3"/>
  <c r="AZ92" i="3"/>
  <c r="AZ112" i="3"/>
  <c r="D35" i="71"/>
  <c r="C36" i="71"/>
  <c r="U18" i="36"/>
  <c r="Y9" i="71"/>
  <c r="Z9" i="71" s="1"/>
  <c r="Y10" i="71"/>
  <c r="Z10" i="71" s="1"/>
  <c r="AA9" i="71"/>
  <c r="AA10" i="71"/>
  <c r="AB24" i="71"/>
  <c r="Y22" i="71"/>
  <c r="Z22" i="71" s="1"/>
  <c r="AB23" i="71"/>
  <c r="Y21" i="71"/>
  <c r="Z21" i="71" s="1"/>
  <c r="AB21" i="71"/>
  <c r="AA21" i="71"/>
  <c r="X21" i="71"/>
  <c r="X17" i="71"/>
  <c r="Y17" i="71"/>
  <c r="Z17" i="71" s="1"/>
  <c r="AA17" i="71"/>
  <c r="AB18" i="71"/>
  <c r="Y14" i="71"/>
  <c r="Z14" i="71" s="1"/>
  <c r="X9" i="71"/>
  <c r="X10" i="71"/>
  <c r="Y39" i="71"/>
  <c r="Z39" i="71" s="1"/>
  <c r="AA39" i="71"/>
  <c r="AB9" i="71"/>
  <c r="AB10" i="71"/>
  <c r="X22" i="71"/>
  <c r="AA24" i="71"/>
  <c r="AA23" i="71"/>
  <c r="AA22" i="71"/>
  <c r="Y18" i="71"/>
  <c r="Z18" i="71" s="1"/>
  <c r="X18" i="71"/>
  <c r="AA18" i="71"/>
  <c r="X14" i="71"/>
  <c r="AA13" i="71"/>
  <c r="F67" i="71"/>
  <c r="X24" i="71"/>
  <c r="Y24" i="71"/>
  <c r="Z24" i="71" s="1"/>
  <c r="AB15" i="71"/>
  <c r="AB17" i="71"/>
  <c r="AB11" i="71"/>
  <c r="AB14" i="71"/>
  <c r="Y12" i="71"/>
  <c r="Z12" i="71" s="1"/>
  <c r="Y13" i="71"/>
  <c r="Z13" i="71" s="1"/>
  <c r="X11" i="71"/>
  <c r="Y23" i="71"/>
  <c r="Z23" i="71" s="1"/>
  <c r="X15" i="71"/>
  <c r="AA15" i="71"/>
  <c r="AB12" i="71"/>
  <c r="AB13" i="71"/>
  <c r="Y11" i="71"/>
  <c r="Z11" i="71" s="1"/>
  <c r="X13" i="71"/>
  <c r="X12" i="71"/>
  <c r="AA11" i="71"/>
  <c r="AA12" i="71"/>
  <c r="AA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17" i="3"/>
  <c r="E572" i="3"/>
  <c r="E30" i="3"/>
  <c r="E109" i="3"/>
  <c r="E480"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U16" i="71" l="1"/>
  <c r="M23" i="43"/>
  <c r="D40" i="71"/>
  <c r="T40" i="71"/>
  <c r="AZ208" i="3"/>
  <c r="AZ450" i="3"/>
  <c r="AZ434" i="3"/>
  <c r="AZ418" i="3"/>
  <c r="AZ15" i="3"/>
  <c r="AZ5" i="3" s="1"/>
  <c r="U12" i="36"/>
  <c r="AB12" i="36"/>
  <c r="C32" i="71"/>
  <c r="D31" i="71"/>
  <c r="AB24" i="36"/>
  <c r="U24" i="36"/>
  <c r="AA9" i="36"/>
  <c r="S9" i="36"/>
  <c r="BA5" i="3"/>
  <c r="E441" i="3"/>
  <c r="E29" i="3"/>
  <c r="E44" i="3"/>
  <c r="AM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 i="3"/>
  <c r="E188" i="3"/>
  <c r="E223" i="3"/>
  <c r="E105" i="3"/>
  <c r="E393" i="3"/>
  <c r="E543" i="3"/>
  <c r="E486" i="3"/>
  <c r="E507" i="3"/>
  <c r="E440" i="3"/>
  <c r="E376" i="3"/>
  <c r="J6" i="3"/>
  <c r="E419" i="3"/>
  <c r="E483" i="3"/>
  <c r="E463" i="3"/>
  <c r="E25" i="3"/>
  <c r="E178" i="3"/>
  <c r="E202" i="3"/>
  <c r="E226" i="3"/>
  <c r="E276" i="3"/>
  <c r="E333" i="3"/>
  <c r="L6" i="3"/>
  <c r="E43" i="3"/>
  <c r="E540" i="3"/>
  <c r="E15" i="3"/>
  <c r="E18" i="3"/>
  <c r="E96" i="3"/>
  <c r="E78" i="3"/>
  <c r="E129" i="3"/>
  <c r="E190" i="3"/>
  <c r="E137" i="3"/>
  <c r="E194" i="3"/>
  <c r="E234" i="3"/>
  <c r="E219" i="3"/>
  <c r="E299" i="3"/>
  <c r="E339" i="3"/>
  <c r="E325" i="3"/>
  <c r="E342" i="3"/>
  <c r="E522" i="3"/>
  <c r="E35" i="3"/>
  <c r="E86" i="3"/>
  <c r="E34" i="3"/>
  <c r="E49" i="3"/>
  <c r="E206" i="3"/>
  <c r="E232" i="3"/>
  <c r="E251" i="3"/>
  <c r="E340" i="3"/>
  <c r="E364" i="3"/>
  <c r="E50" i="3"/>
  <c r="E20" i="3"/>
  <c r="E62" i="3"/>
  <c r="E113" i="3"/>
  <c r="E158" i="3"/>
  <c r="E287" i="3"/>
  <c r="E308" i="3"/>
  <c r="E326" i="3"/>
  <c r="E22" i="3"/>
  <c r="E83" i="3"/>
  <c r="E329" i="3"/>
  <c r="E116" i="3"/>
  <c r="E493" i="3"/>
  <c r="E564" i="3"/>
  <c r="E427" i="3"/>
  <c r="E422" i="3"/>
  <c r="E490" i="3"/>
  <c r="AH6" i="3"/>
  <c r="E498" i="3"/>
  <c r="E401" i="3"/>
  <c r="E40" i="3"/>
  <c r="E108" i="3"/>
  <c r="E119" i="3"/>
  <c r="E242" i="3"/>
  <c r="E346" i="3"/>
  <c r="E372" i="3"/>
  <c r="E60" i="3"/>
  <c r="E473" i="3"/>
  <c r="E455" i="3"/>
  <c r="E79" i="3"/>
  <c r="E38" i="3"/>
  <c r="E100" i="3"/>
  <c r="E170" i="3"/>
  <c r="E174" i="3"/>
  <c r="E220" i="3"/>
  <c r="E275" i="3"/>
  <c r="E235" i="3"/>
  <c r="E324" i="3"/>
  <c r="E383" i="3"/>
  <c r="E392" i="3"/>
  <c r="AQ6" i="3"/>
  <c r="E52" i="3"/>
  <c r="E36" i="3"/>
  <c r="E112" i="3"/>
  <c r="E123" i="3"/>
  <c r="E147" i="3"/>
  <c r="E289" i="3"/>
  <c r="E370" i="3"/>
  <c r="AF6" i="3"/>
  <c r="E102" i="3"/>
  <c r="E80" i="3"/>
  <c r="E176" i="3"/>
  <c r="E218" i="3"/>
  <c r="E265" i="3"/>
  <c r="E365" i="3"/>
  <c r="E524" i="3"/>
  <c r="E10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G26" i="43"/>
  <c r="N370" i="46"/>
  <c r="F26" i="43"/>
  <c r="N94" i="46"/>
  <c r="E26" i="43"/>
  <c r="D26" i="43" s="1"/>
  <c r="C25" i="43" s="1"/>
  <c r="J26" i="43"/>
  <c r="K16" i="1"/>
  <c r="E59" i="40"/>
  <c r="T36" i="71"/>
  <c r="D36" i="71"/>
  <c r="D43" i="71"/>
  <c r="C44" i="71"/>
  <c r="AC38" i="40"/>
  <c r="W38" i="40"/>
  <c r="AA44" i="39"/>
  <c r="S44" i="39"/>
  <c r="AA26" i="37"/>
  <c r="S26" i="37"/>
  <c r="AA25" i="37"/>
  <c r="S25" i="37"/>
  <c r="C15" i="71"/>
  <c r="T16" i="71"/>
  <c r="B15" i="71"/>
  <c r="B14" i="71" s="1"/>
  <c r="B13" i="71" s="1"/>
  <c r="B12" i="71" s="1"/>
  <c r="S16" i="71"/>
  <c r="F66" i="71"/>
  <c r="Q67" i="71"/>
  <c r="U39" i="40"/>
  <c r="AB39" i="40"/>
  <c r="AB38" i="40"/>
  <c r="U38" i="40"/>
  <c r="AB26" i="37"/>
  <c r="U26" i="37"/>
  <c r="AC25" i="37"/>
  <c r="W25" i="37"/>
  <c r="AC23" i="35"/>
  <c r="W23" i="35"/>
  <c r="AC9" i="33"/>
  <c r="W9" i="3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AY6" i="3" l="1"/>
  <c r="AY87" i="3" s="1"/>
  <c r="E3" i="6"/>
  <c r="D33" i="43" s="1"/>
  <c r="D1" i="43" s="1"/>
  <c r="D32" i="71"/>
  <c r="T32" i="71"/>
  <c r="E65" i="39"/>
  <c r="T44" i="71"/>
  <c r="D44" i="71"/>
  <c r="E11" i="71"/>
  <c r="E10" i="71" s="1"/>
  <c r="E9" i="71" s="1"/>
  <c r="E8" i="71" s="1"/>
  <c r="E7" i="71" s="1"/>
  <c r="E6" i="71" s="1"/>
  <c r="E5" i="71" s="1"/>
  <c r="V12" i="71"/>
  <c r="Q66" i="71"/>
  <c r="Q65" i="71"/>
  <c r="B11" i="71"/>
  <c r="B10" i="71" s="1"/>
  <c r="B9" i="71" s="1"/>
  <c r="B8" i="71" s="1"/>
  <c r="B7" i="71" s="1"/>
  <c r="B6" i="71" s="1"/>
  <c r="B5" i="71" s="1"/>
  <c r="S12" i="71"/>
  <c r="D15" i="71"/>
  <c r="C14"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AY317" i="3" l="1"/>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63" i="3"/>
  <c r="AY252" i="3"/>
  <c r="AY204" i="3"/>
  <c r="AY123" i="3"/>
  <c r="AY74" i="3"/>
  <c r="AY139" i="3"/>
  <c r="AY196" i="3"/>
  <c r="AY67" i="3"/>
  <c r="AY303" i="3"/>
  <c r="AY366" i="3"/>
  <c r="AY382" i="3"/>
  <c r="AY236" i="3"/>
  <c r="AY253" i="3"/>
  <c r="AY168" i="3"/>
  <c r="AY111" i="3"/>
  <c r="AY281" i="3"/>
  <c r="AY152" i="3"/>
  <c r="AY42" i="3"/>
  <c r="AY95" i="3"/>
  <c r="AY124" i="3"/>
  <c r="AY144" i="3"/>
  <c r="AY207" i="3"/>
  <c r="AY34" i="3"/>
  <c r="AY51" i="3"/>
  <c r="F69" i="67"/>
  <c r="D11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25" i="11" l="1"/>
  <c r="C22" i="11" s="1"/>
  <c r="C31" i="11"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B1" i="74" s="1"/>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8" i="69" l="1"/>
  <c r="C5" i="69" s="1"/>
  <c r="C23" i="69" s="1"/>
  <c r="B29" i="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F7" i="21" l="1"/>
  <c r="C8" i="68"/>
  <c r="C5" i="68" s="1"/>
  <c r="C23" i="68" s="1"/>
  <c r="C18" i="12"/>
  <c r="C21" i="12" s="1"/>
  <c r="J7" i="21"/>
  <c r="W7" i="21" s="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C20" i="68" l="1"/>
  <c r="C28" i="68" s="1"/>
  <c r="C27" i="68" s="1"/>
  <c r="C22" i="12"/>
  <c r="C27" i="12" s="1"/>
  <c r="C25" i="12" s="1"/>
  <c r="AC7" i="21"/>
  <c r="V48" i="21" s="1"/>
  <c r="I48" i="21" s="1"/>
  <c r="D10" i="71"/>
  <c r="C9" i="7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AC7" i="35" l="1"/>
  <c r="V38" i="35" s="1"/>
  <c r="I38" i="35" s="1"/>
  <c r="C30" i="12"/>
  <c r="C28" i="12" s="1"/>
  <c r="C32" i="12" s="1"/>
  <c r="B2" i="12" s="1"/>
  <c r="B3" i="12" s="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2" i="68"/>
  <c r="B2" i="68" s="1"/>
  <c r="B3"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35" i="9"/>
  <c r="D34" i="9"/>
  <c r="C103" i="9" l="1"/>
  <c r="D7" i="71"/>
  <c r="C6"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C5" i="71"/>
  <c r="D5" i="71" s="1"/>
  <c r="D6"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L51" i="15"/>
  <c r="D2" i="36"/>
  <c r="D2" i="35"/>
  <c r="D19" i="9"/>
  <c r="D2" i="37"/>
  <c r="M24" i="43" l="1"/>
  <c r="D102" i="9"/>
  <c r="D21" i="9"/>
  <c r="D22" i="9"/>
  <c r="G19" i="9"/>
  <c r="G21"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2" i="1"/>
  <c r="AO9" i="1"/>
  <c r="AO10" i="1"/>
  <c r="AO6" i="1"/>
  <c r="AO11" i="1"/>
  <c r="D20" i="9"/>
  <c r="AO8" i="1"/>
  <c r="D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H101" i="9" s="1"/>
  <c r="G118" i="9"/>
  <c r="C105" i="9" l="1"/>
  <c r="E118" i="9"/>
  <c r="E4" i="52" s="1"/>
  <c r="B48" i="72" s="1"/>
  <c r="I4" i="52"/>
  <c r="H102" i="9"/>
  <c r="H4" i="52"/>
  <c r="C104" i="9"/>
  <c r="H119" i="9"/>
  <c r="H5" i="52" s="1"/>
  <c r="F118" i="9"/>
  <c r="F4" i="52" s="1"/>
  <c r="B51" i="72" s="1"/>
  <c r="H107" i="9"/>
  <c r="D45" i="9"/>
  <c r="D5" i="53"/>
  <c r="M48" i="9"/>
  <c r="G4" i="52"/>
  <c r="B52" i="72" s="1"/>
  <c r="D118" i="9" l="1"/>
  <c r="D4" i="52" s="1"/>
  <c r="B47" i="72" s="1"/>
  <c r="D7" i="53"/>
  <c r="B21" i="72" s="1"/>
  <c r="R24" i="31"/>
  <c r="F119" i="9"/>
  <c r="F5" i="52" s="1"/>
  <c r="B53" i="72" s="1"/>
  <c r="C93" i="9"/>
  <c r="C86" i="9" s="1"/>
  <c r="C64" i="9"/>
  <c r="C63" i="9" s="1"/>
  <c r="C67" i="9" s="1"/>
  <c r="C78" i="9"/>
  <c r="C73" i="9" s="1"/>
  <c r="D53" i="9"/>
  <c r="D52" i="9"/>
  <c r="D55" i="9"/>
  <c r="M53" i="9" s="1"/>
  <c r="C85" i="9"/>
  <c r="C72" i="9"/>
  <c r="D6" i="53"/>
  <c r="B22" i="72" s="1"/>
  <c r="B20" i="72"/>
  <c r="H108" i="9"/>
  <c r="D13" i="53"/>
  <c r="D122" i="9"/>
  <c r="M49" i="9"/>
  <c r="D119" i="9"/>
  <c r="D5" i="52" s="1"/>
  <c r="B49" i="72" s="1"/>
  <c r="S24" i="31" l="1"/>
  <c r="D14" i="74" s="1"/>
  <c r="G14" i="74" s="1"/>
  <c r="B6" i="74" s="1"/>
  <c r="D6" i="74" s="1"/>
  <c r="R25" i="31"/>
  <c r="S25" i="31" s="1"/>
  <c r="C95" i="9"/>
  <c r="C79" i="9"/>
  <c r="C80" i="9" s="1"/>
  <c r="E80" i="9" s="1"/>
  <c r="E81" i="9" s="1"/>
  <c r="D8" i="52"/>
  <c r="D123" i="9"/>
  <c r="D9" i="52" s="1"/>
  <c r="D15" i="53"/>
  <c r="B31" i="72" s="1"/>
  <c r="L63" i="9"/>
  <c r="M63" i="9" s="1"/>
  <c r="L64" i="9"/>
  <c r="M64" i="9" s="1"/>
  <c r="L65" i="9"/>
  <c r="M65" i="9" s="1"/>
  <c r="L66" i="9"/>
  <c r="M66" i="9" s="1"/>
  <c r="L67" i="9"/>
  <c r="M67" i="9" s="1"/>
  <c r="L68" i="9"/>
  <c r="M68" i="9" s="1"/>
  <c r="D14" i="53"/>
  <c r="B32" i="72" s="1"/>
  <c r="B30" i="72"/>
  <c r="C68" i="9"/>
  <c r="D54" i="9" s="1"/>
  <c r="D59" i="9"/>
  <c r="M55" i="9" s="1"/>
  <c r="C96" i="9"/>
  <c r="E96" i="9" s="1"/>
  <c r="E97" i="9" s="1"/>
  <c r="C6" i="74" l="1"/>
  <c r="S22" i="31"/>
  <c r="C81" i="9"/>
  <c r="M69" i="9"/>
  <c r="N69" i="9" s="1"/>
  <c r="C97" i="9"/>
  <c r="D58" i="9" s="1"/>
  <c r="D56" i="9" s="1"/>
  <c r="M54" i="9" s="1"/>
  <c r="N57" i="9" s="1"/>
  <c r="B20" i="31" l="1"/>
  <c r="B21" i="31" s="1"/>
  <c r="R22" i="31"/>
  <c r="P57" i="9"/>
  <c r="N58" i="9"/>
  <c r="N59" i="9"/>
  <c r="E14" i="74" l="1"/>
  <c r="F14" i="74"/>
  <c r="B5" i="74"/>
  <c r="N60" i="9"/>
  <c r="N61" i="9"/>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<sst xmlns="http://schemas.openxmlformats.org/spreadsheetml/2006/main" count="7828" uniqueCount="3430">
  <si>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</si>
  <si>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</si>
  <si>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</si>
  <si>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</si>
  <si>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</si>
  <si>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</si>
  <si>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</si>
  <si>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</si>
  <si>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</si>
  <si>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</si>
  <si>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</si>
  <si>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</si>
  <si>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</si>
  <si>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</si>
  <si>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</si>
  <si>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</si>
  <si>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</si>
  <si>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</si>
  <si>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</si>
  <si>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</si>
  <si>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</si>
  <si>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</si>
  <si>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</si>
  <si>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</si>
  <si>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</si>
  <si>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</si>
  <si>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</si>
  <si>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</si>
  <si>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</si>
  <si>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</si>
  <si>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</si>
  <si>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</si>
  <si>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</si>
  <si>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</si>
  <si>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</si>
  <si>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</si>
  <si>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</si>
  <si>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</si>
  <si>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</si>
  <si>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</si>
  <si>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</si>
  <si>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</si>
  <si>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</si>
  <si>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</si>
  <si>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</si>
  <si>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</si>
  <si>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</si>
  <si>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</si>
  <si>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</si>
  <si>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</si>
  <si>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</si>
  <si>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</si>
  <si>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</si>
  <si>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</si>
  <si>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</si>
  <si>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</si>
  <si>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</si>
  <si>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</si>
  <si>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</si>
  <si>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</si>
  <si>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</si>
  <si>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</si>
  <si>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</si>
  <si>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</si>
  <si>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</si>
  <si>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</si>
  <si>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</si>
  <si>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</si>
  <si>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</si>
  <si>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</si>
  <si>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</si>
  <si>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</si>
  <si>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</si>
  <si>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</si>
  <si>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</si>
  <si>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</si>
  <si>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</si>
  <si>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</si>
  <si>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</si>
  <si>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</si>
  <si>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</si>
  <si>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</si>
  <si>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</si>
  <si>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</si>
  <si>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</si>
  <si>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</si>
  <si>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</si>
  <si>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</si>
  <si>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</si>
  <si>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</si>
  <si>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</si>
  <si>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</si>
  <si>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</si>
  <si>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</si>
  <si>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</si>
  <si>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</si>
  <si>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</si>
  <si>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</si>
  <si>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</si>
  <si>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</si>
  <si>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</si>
  <si>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</si>
  <si>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</si>
  <si>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</si>
  <si>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</si>
  <si>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</si>
  <si>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</si>
  <si>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</si>
  <si>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</si>
  <si>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</si>
  <si>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</si>
  <si>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</si>
  <si>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</si>
  <si>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</si>
  <si>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</si>
  <si>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</si>
  <si>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</si>
  <si>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</si>
  <si>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</si>
  <si>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</si>
  <si>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</si>
  <si>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</si>
  <si>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</si>
  <si>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</si>
  <si>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</si>
  <si>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</si>
  <si>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</si>
  <si>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</si>
  <si>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</si>
  <si>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</si>
  <si>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</si>
  <si>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</si>
  <si>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</si>
  <si>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</si>
  <si>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</si>
  <si>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</si>
  <si>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</si>
  <si>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</si>
  <si>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</si>
  <si>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</si>
  <si>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</si>
  <si>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</si>
  <si>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</si>
  <si>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</si>
  <si>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</si>
  <si>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</si>
  <si>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</si>
  <si>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</si>
  <si>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</si>
  <si>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</si>
  <si>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</si>
  <si>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</si>
  <si>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</si>
  <si>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</si>
  <si>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</si>
  <si>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</si>
  <si>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</si>
  <si>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</si>
  <si>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</si>
  <si>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</si>
  <si>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</si>
  <si>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</si>
  <si>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</si>
  <si>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</si>
  <si>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</si>
  <si>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</si>
  <si>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</si>
  <si>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</si>
  <si>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</si>
  <si>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</si>
  <si>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</si>
  <si>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</si>
  <si>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</si>
  <si>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</si>
  <si>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</si>
  <si>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</si>
  <si>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</si>
  <si>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</si>
  <si>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</si>
  <si>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</si>
  <si>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</si>
  <si>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</si>
  <si>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</si>
  <si>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</si>
  <si>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</si>
  <si>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</si>
  <si>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</si>
  <si>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</si>
  <si>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</si>
  <si>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</si>
  <si>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</si>
  <si>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</si>
  <si>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</si>
  <si>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</si>
  <si>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</si>
  <si>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</si>
  <si>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</si>
  <si>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</si>
  <si>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</si>
  <si>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</si>
  <si>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</si>
  <si>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</si>
  <si>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</si>
  <si>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</si>
  <si>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</si>
  <si>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</si>
  <si>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</si>
  <si>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</si>
  <si>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</si>
  <si>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</si>
  <si>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</si>
  <si>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</si>
  <si>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</si>
  <si>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</si>
  <si>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</si>
  <si>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</si>
  <si>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</si>
  <si>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</si>
  <si>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</si>
  <si>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</si>
  <si>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</si>
  <si>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</si>
  <si>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</si>
  <si>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</si>
  <si>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</si>
  <si>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</si>
  <si>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</si>
  <si>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</si>
  <si>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</si>
  <si>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</si>
  <si>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</si>
  <si>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</si>
  <si>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</si>
  <si>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</si>
  <si>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</si>
  <si>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</si>
  <si>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</si>
  <si>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</si>
  <si>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</si>
  <si>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</si>
  <si>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</si>
  <si>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</si>
  <si>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</si>
  <si>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</si>
  <si>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</si>
  <si>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</si>
  <si>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</si>
  <si>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</si>
  <si>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</si>
  <si>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</si>
  <si>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</si>
  <si>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</si>
  <si>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</si>
  <si>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</si>
  <si>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</si>
  <si>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</si>
  <si>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</si>
  <si>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</si>
  <si>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</si>
  <si>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</si>
  <si>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</si>
  <si>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</si>
  <si>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</si>
  <si>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</si>
  <si>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</si>
  <si>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</si>
  <si>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</si>
  <si>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</si>
  <si>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</si>
  <si>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</si>
  <si>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</si>
  <si>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</si>
  <si>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</si>
  <si>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</si>
  <si>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</si>
  <si>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</si>
  <si>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</si>
  <si>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</si>
  <si>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</si>
  <si>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</si>
  <si>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</si>
  <si>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</si>
  <si>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</si>
  <si>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</si>
  <si>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</si>
  <si>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</si>
  <si>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</si>
  <si>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</si>
  <si>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</si>
  <si>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</si>
  <si>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</si>
  <si>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</si>
  <si>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</si>
  <si>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</si>
  <si>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</si>
  <si>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</si>
  <si>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</si>
  <si>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</si>
  <si>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</si>
  <si>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</si>
  <si>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</si>
  <si>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</si>
  <si>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</si>
  <si>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</si>
  <si>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</si>
  <si>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</si>
  <si>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</si>
  <si>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</si>
  <si>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</si>
  <si>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</si>
  <si>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</si>
  <si>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</si>
  <si>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</si>
  <si>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</si>
  <si>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</si>
  <si>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</si>
  <si>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</si>
  <si>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</si>
  <si>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</si>
  <si>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</si>
  <si>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</si>
  <si>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</si>
  <si>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</si>
  <si>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</si>
  <si>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</si>
  <si>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</si>
  <si>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</si>
  <si>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</si>
  <si>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</si>
  <si>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</si>
  <si>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</si>
  <si>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</si>
  <si>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</si>
  <si>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</si>
  <si>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</si>
  <si>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</si>
  <si>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</si>
  <si>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</si>
  <si>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</si>
  <si>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</si>
  <si>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</si>
  <si>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</si>
  <si>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</si>
  <si>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</si>
  <si>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</si>
  <si>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</si>
  <si>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</si>
  <si>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</si>
  <si>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</si>
  <si>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</si>
  <si>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</si>
  <si>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</si>
  <si>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</si>
  <si>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</si>
  <si>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</si>
  <si>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</si>
  <si>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</si>
  <si>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</si>
  <si>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</si>
  <si>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</si>
  <si>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</si>
  <si>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</si>
  <si>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</si>
  <si>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</si>
  <si>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</si>
  <si>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</si>
  <si>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</si>
  <si>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</si>
  <si>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</si>
  <si>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</si>
  <si>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</si>
  <si>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</si>
  <si>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</si>
  <si>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</si>
  <si>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</si>
  <si>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</si>
  <si>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</si>
  <si>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</si>
  <si>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</si>
  <si>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</si>
  <si>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</si>
  <si>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</si>
  <si>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</si>
  <si>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</si>
  <si>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</si>
  <si>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</si>
  <si>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</si>
  <si>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</si>
  <si>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</si>
  <si>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</si>
  <si>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</si>
  <si>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</si>
  <si>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</si>
  <si>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</si>
  <si>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</si>
  <si>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</si>
  <si>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</si>
  <si>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</si>
  <si>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</si>
  <si>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</si>
  <si>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</si>
  <si>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</si>
  <si>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</si>
  <si>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</si>
  <si>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</si>
  <si>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</si>
  <si>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</si>
  <si>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</si>
  <si>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</si>
  <si>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</si>
  <si>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</si>
  <si>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</si>
  <si>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</si>
  <si>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</si>
  <si>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</si>
  <si>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</si>
  <si>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</si>
  <si>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</si>
  <si>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</si>
  <si>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</si>
  <si>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</si>
  <si>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</si>
  <si>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</si>
  <si>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</si>
  <si>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</si>
  <si>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</si>
  <si>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</si>
  <si>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</si>
  <si>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</si>
  <si>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</si>
  <si>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</si>
  <si>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</si>
  <si>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</si>
  <si>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</si>
  <si>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</si>
  <si>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</si>
  <si>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</si>
  <si>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</si>
  <si>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</si>
  <si>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</si>
  <si>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</si>
  <si>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</si>
  <si>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</si>
  <si>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</si>
  <si>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</si>
  <si>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</si>
  <si>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</si>
  <si>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</si>
  <si>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</si>
  <si>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</si>
  <si>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</si>
  <si>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</si>
  <si>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</si>
  <si>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</si>
  <si>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</si>
  <si>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</si>
  <si>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</si>
  <si>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</si>
  <si>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</si>
  <si>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</si>
  <si>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</si>
  <si>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</si>
  <si>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</si>
  <si>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</si>
  <si>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</si>
  <si>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</si>
  <si>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</si>
  <si>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</si>
  <si>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</si>
  <si>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</si>
  <si>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</si>
  <si>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</si>
  <si>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</si>
  <si>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</si>
  <si>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</si>
  <si>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</si>
  <si>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</si>
  <si>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</si>
  <si>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</si>
  <si>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</si>
  <si>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</si>
  <si>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</si>
  <si>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</si>
  <si>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</si>
  <si>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</si>
  <si>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</si>
  <si>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</si>
  <si>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</si>
  <si>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</si>
  <si>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</si>
  <si>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</si>
  <si>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</si>
  <si>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</si>
  <si>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</si>
  <si>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</si>
  <si>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</si>
  <si>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</si>
  <si>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</si>
  <si>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</si>
  <si>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</si>
  <si>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</si>
  <si>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</si>
  <si>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</si>
  <si>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</si>
  <si>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</si>
  <si>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</si>
  <si>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</si>
  <si>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</si>
  <si>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</si>
  <si>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</si>
  <si>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</si>
  <si>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</si>
  <si>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</si>
  <si>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</si>
  <si>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</si>
  <si>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</si>
  <si>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</si>
  <si>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</si>
  <si>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</si>
  <si>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</si>
  <si>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</si>
  <si>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</si>
  <si>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</si>
  <si>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</si>
  <si>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</si>
  <si>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</si>
  <si>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</si>
  <si>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</si>
  <si>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</si>
  <si>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</si>
  <si>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</si>
  <si>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</si>
  <si>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</si>
  <si>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</si>
  <si>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</si>
  <si>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</si>
  <si>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</si>
  <si>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</si>
  <si>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</si>
  <si>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</si>
  <si>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</si>
  <si>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</si>
  <si>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</si>
  <si>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</si>
  <si>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</si>
  <si>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</si>
  <si>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</si>
  <si>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</si>
  <si>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</si>
  <si>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</si>
  <si>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</si>
  <si>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</si>
  <si>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</si>
  <si>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</si>
  <si>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</si>
  <si>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</si>
  <si>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</si>
  <si>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</si>
  <si>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</si>
  <si>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</si>
  <si>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</si>
  <si>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</si>
  <si>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</si>
  <si>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</si>
  <si>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</si>
  <si>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</si>
  <si>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</si>
  <si>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</si>
  <si>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</si>
  <si>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</si>
  <si>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</si>
  <si>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</si>
  <si>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</si>
  <si>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</si>
  <si>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</si>
  <si>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</si>
  <si>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</si>
  <si>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</si>
  <si>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</si>
  <si>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</si>
  <si>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</si>
  <si>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</si>
  <si>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</si>
  <si>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</si>
  <si>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</si>
  <si>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</si>
  <si>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</si>
  <si>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</si>
  <si>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</si>
  <si>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</si>
  <si>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</si>
  <si>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</si>
  <si>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</si>
  <si>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</si>
  <si>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</si>
  <si>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</si>
  <si>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</si>
  <si>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</si>
  <si>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</si>
  <si>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</si>
  <si>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</si>
  <si>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</si>
  <si>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</si>
  <si>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</si>
  <si>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</si>
  <si>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</si>
  <si>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</si>
  <si>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</si>
  <si>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</si>
  <si>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</si>
  <si>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</si>
  <si>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</si>
  <si>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</si>
  <si>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</si>
  <si>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</si>
  <si>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</si>
  <si>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</si>
  <si>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</si>
  <si>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</si>
  <si>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</si>
  <si>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</si>
  <si>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</si>
  <si>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</si>
  <si>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</si>
  <si>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</si>
  <si>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</si>
  <si>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</si>
  <si>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</si>
  <si>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</si>
  <si>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</si>
  <si>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</si>
  <si>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</si>
  <si>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</si>
  <si>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</si>
  <si>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</si>
  <si>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</si>
  <si>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</si>
  <si>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</si>
  <si>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</si>
  <si>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</si>
  <si>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</si>
  <si>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</si>
  <si>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</si>
  <si>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</si>
  <si>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</si>
  <si>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</si>
  <si>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</si>
  <si>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</si>
  <si>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</si>
  <si>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</si>
  <si>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</si>
  <si>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</si>
  <si>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</si>
  <si>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</si>
  <si>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</si>
  <si>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</si>
  <si>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</si>
  <si>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</si>
  <si>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</si>
  <si>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</si>
  <si>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</si>
  <si>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</si>
  <si>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</si>
  <si>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</si>
  <si>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</si>
  <si>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</si>
  <si>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</si>
  <si>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</si>
  <si>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</si>
  <si>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</si>
  <si>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</si>
  <si>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</si>
  <si>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</si>
  <si>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</si>
  <si>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</si>
  <si>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</si>
  <si>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</si>
  <si>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</si>
  <si>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</si>
  <si>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</si>
  <si>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</si>
  <si>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</si>
  <si>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</si>
  <si>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</si>
  <si>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</si>
  <si>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</si>
  <si>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</si>
  <si>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</si>
  <si>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</si>
  <si>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</si>
  <si>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</si>
  <si>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</si>
  <si>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</si>
  <si>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</si>
  <si>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</si>
  <si>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</si>
  <si>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</si>
  <si>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</si>
  <si>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</si>
  <si>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</si>
  <si>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</si>
  <si>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</si>
  <si>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</si>
  <si>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</si>
  <si>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</si>
  <si>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</si>
  <si>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</si>
  <si>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</si>
  <si>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</si>
  <si>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</si>
  <si>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</si>
  <si>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</si>
  <si>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</si>
  <si>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</si>
  <si>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</si>
  <si>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</si>
  <si>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</si>
  <si>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</si>
  <si>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</si>
  <si>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</si>
  <si>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</si>
  <si>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</si>
  <si>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</si>
  <si>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</si>
  <si>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</si>
  <si>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</si>
  <si>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</si>
  <si>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</si>
  <si>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</si>
  <si>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</si>
  <si>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</si>
  <si>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</si>
  <si>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</si>
  <si>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</si>
  <si>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</si>
  <si>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</si>
  <si>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</si>
  <si>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</si>
  <si>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</si>
  <si>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</si>
  <si>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</si>
  <si>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</si>
  <si>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</si>
  <si>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</si>
  <si>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</si>
  <si>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</si>
  <si>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</si>
  <si>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</si>
  <si>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</si>
  <si>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</si>
  <si>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</si>
  <si>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</si>
  <si>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</si>
  <si>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</si>
  <si>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</si>
  <si>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</si>
  <si>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</si>
  <si>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</si>
  <si>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</si>
  <si>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</si>
  <si>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</si>
  <si>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</si>
  <si>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</si>
  <si>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</si>
  <si>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</si>
  <si>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</si>
  <si>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</si>
  <si>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</si>
  <si>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</si>
  <si>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</si>
  <si>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</si>
  <si>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</si>
  <si>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</si>
  <si>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</si>
  <si>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</si>
  <si>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</si>
  <si>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</si>
  <si>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</si>
  <si>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</si>
  <si>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</si>
  <si>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</si>
  <si>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</si>
  <si>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</si>
  <si>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</si>
  <si>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</si>
  <si>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</si>
  <si>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</si>
  <si>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</si>
  <si>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</si>
  <si>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</si>
  <si>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</si>
  <si>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</si>
  <si>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</si>
  <si>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</si>
  <si>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</si>
  <si>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</si>
  <si>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</si>
  <si>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</si>
  <si>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</si>
  <si>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</si>
  <si>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</si>
  <si>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</si>
  <si>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</si>
  <si>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</si>
  <si>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</si>
  <si>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</si>
  <si>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</si>
  <si>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</si>
  <si>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</si>
  <si>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</si>
  <si>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</si>
  <si>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</si>
  <si>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</si>
  <si>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</si>
  <si>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</si>
  <si>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</si>
  <si>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</si>
  <si>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</si>
  <si>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</si>
  <si>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</si>
  <si>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</si>
  <si>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</si>
  <si>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</si>
  <si>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</si>
  <si>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</si>
  <si>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</si>
  <si>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</si>
  <si>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</si>
  <si>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</si>
  <si>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</si>
  <si>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</si>
  <si>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</si>
  <si>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</si>
  <si>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</si>
  <si>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</si>
  <si>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</si>
  <si>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</si>
  <si>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</si>
  <si>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</si>
  <si>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</si>
  <si>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</si>
  <si>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</si>
  <si>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</si>
  <si>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</si>
  <si>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</si>
  <si>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</si>
  <si>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</si>
  <si>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</si>
  <si>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</si>
  <si>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</si>
  <si>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</si>
  <si>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</si>
  <si>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</si>
  <si>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</si>
  <si>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</si>
  <si>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</si>
  <si>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</si>
  <si>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</si>
  <si>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</si>
  <si>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</si>
  <si>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</si>
  <si>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</si>
  <si>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</si>
  <si>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</si>
  <si>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</si>
  <si>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</si>
  <si>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</si>
  <si>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</si>
  <si>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</si>
  <si>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</si>
  <si>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</si>
  <si>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</si>
  <si>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</si>
  <si>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</si>
  <si>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</si>
  <si>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</si>
  <si>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</si>
  <si>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</si>
  <si>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</si>
  <si>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</si>
  <si>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</si>
  <si>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</si>
  <si>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</si>
  <si>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</si>
  <si>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</si>
  <si>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</si>
  <si>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</si>
  <si>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</si>
  <si>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</si>
  <si>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</si>
  <si>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</si>
  <si>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</si>
  <si>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</si>
  <si>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</si>
  <si>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</si>
  <si>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</si>
  <si>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</si>
  <si>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</si>
  <si>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</si>
  <si>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</si>
  <si>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</si>
  <si>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</si>
  <si>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</si>
  <si>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</si>
  <si>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</si>
  <si>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</si>
  <si>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</si>
  <si>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</si>
  <si>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</si>
  <si>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</si>
  <si>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</si>
  <si>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</si>
  <si>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</si>
  <si>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</si>
  <si>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</si>
  <si>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</si>
  <si>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</si>
  <si>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</si>
  <si>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</si>
  <si>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</si>
  <si>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</si>
  <si>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</si>
  <si>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</si>
  <si>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</si>
  <si>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</si>
  <si>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</si>
  <si>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</si>
  <si>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</si>
  <si>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</si>
  <si>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</si>
  <si>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</si>
  <si>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</si>
  <si>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</si>
  <si>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</si>
  <si>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</si>
  <si>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</si>
  <si>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</si>
  <si>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</si>
  <si>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</si>
  <si>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</si>
  <si>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</si>
  <si>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</si>
  <si>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</si>
  <si>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</si>
  <si>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</si>
  <si>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</si>
  <si>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</si>
  <si>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</si>
  <si>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</si>
  <si>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</si>
  <si>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</si>
  <si>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</si>
  <si>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</si>
  <si>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</si>
  <si>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</si>
  <si>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</si>
  <si>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</si>
  <si>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</si>
  <si>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</si>
  <si>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</si>
  <si>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</si>
  <si>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</si>
  <si>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</si>
  <si>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</si>
  <si>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</si>
  <si>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</si>
  <si>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</si>
  <si>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</si>
  <si>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</si>
  <si>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</si>
  <si>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</si>
  <si>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</si>
  <si>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</si>
  <si>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</si>
  <si>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</si>
  <si>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</si>
  <si>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</si>
  <si>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</si>
  <si>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</si>
  <si>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</si>
  <si>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</si>
  <si>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</si>
  <si>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</si>
  <si>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</si>
  <si>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</si>
  <si>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</si>
  <si>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</si>
  <si>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</si>
  <si>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</si>
  <si>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</si>
  <si>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</si>
  <si>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</si>
  <si>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</si>
  <si>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</si>
  <si>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</si>
  <si>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</si>
  <si>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</si>
  <si>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</si>
  <si>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</si>
  <si>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</si>
  <si>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</si>
  <si>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</si>
  <si>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</si>
  <si>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</si>
  <si>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</si>
  <si>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</si>
  <si>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</si>
  <si>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</si>
  <si>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</si>
  <si>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</si>
  <si>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</si>
  <si>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</si>
  <si>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</si>
  <si>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</si>
  <si>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</si>
  <si>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</si>
  <si>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</si>
  <si>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</si>
  <si>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</si>
  <si>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</si>
  <si>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</si>
  <si>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</si>
  <si>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</si>
  <si>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</si>
  <si>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</si>
  <si>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</si>
  <si>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</si>
  <si>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</si>
  <si>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</si>
  <si>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</si>
  <si>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</si>
  <si>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</si>
  <si>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</si>
  <si>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</si>
  <si>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</si>
  <si>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</si>
  <si>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</si>
  <si>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</si>
  <si>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</si>
  <si>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</si>
  <si>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</si>
  <si>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</si>
  <si>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</si>
  <si>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</si>
  <si>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</si>
  <si>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</si>
  <si>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</si>
  <si>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</si>
  <si>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</si>
  <si>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</si>
  <si>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</si>
  <si>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</si>
  <si>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</si>
  <si>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</si>
  <si>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</si>
  <si>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</si>
  <si>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</si>
  <si>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</si>
  <si>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</si>
  <si>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</si>
  <si>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</si>
  <si>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</si>
  <si>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</si>
  <si>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</si>
  <si>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</si>
  <si>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</si>
  <si>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</si>
  <si>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</si>
  <si>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</si>
  <si>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</si>
  <si>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</si>
  <si>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</si>
  <si>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</si>
  <si>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</si>
  <si>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</si>
  <si>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</si>
  <si>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</si>
  <si>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</si>
  <si>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</si>
  <si>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</si>
  <si>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</si>
  <si>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</si>
  <si>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</si>
  <si>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</si>
  <si>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</si>
  <si>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</si>
  <si>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</si>
  <si>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</si>
  <si>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</si>
  <si>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</si>
  <si>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</si>
  <si>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</si>
  <si>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</si>
  <si>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</si>
  <si>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</si>
  <si>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</si>
  <si>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</si>
  <si>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</si>
  <si>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</si>
  <si>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</si>
  <si>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</si>
  <si>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</si>
  <si>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</si>
  <si>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</si>
  <si>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</si>
  <si>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</si>
  <si>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</si>
  <si>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</si>
  <si>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</si>
  <si>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</si>
  <si>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</si>
  <si>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</si>
  <si>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</si>
  <si>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</si>
  <si>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</si>
  <si>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</si>
  <si>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</si>
  <si>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</si>
  <si>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</si>
  <si>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</si>
  <si>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</si>
  <si>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</si>
  <si>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</si>
  <si>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</si>
  <si>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</si>
  <si>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</si>
  <si>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</si>
  <si>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</si>
  <si>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</si>
  <si>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</si>
  <si>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</si>
  <si>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</si>
  <si>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</si>
  <si>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</si>
  <si>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</si>
  <si>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</si>
  <si>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</si>
  <si>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</si>
  <si>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</si>
  <si>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</si>
  <si>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</si>
  <si>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</si>
  <si>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</si>
  <si>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</si>
  <si>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</si>
  <si>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</si>
  <si>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</si>
  <si>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</si>
  <si>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</si>
  <si>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</si>
  <si>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</si>
  <si>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</si>
  <si>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</si>
  <si>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</si>
  <si>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</si>
  <si>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</si>
  <si>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</si>
  <si>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</si>
  <si>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</si>
  <si>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</si>
  <si>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</si>
  <si>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</si>
  <si>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</si>
  <si>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</si>
  <si>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</si>
  <si>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</si>
  <si>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</si>
  <si>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</si>
  <si>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</si>
  <si>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</si>
  <si>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</si>
  <si>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</si>
  <si>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</si>
  <si>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</si>
  <si>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</si>
  <si>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</si>
  <si>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</si>
  <si>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</si>
  <si>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</si>
  <si>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</si>
  <si>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</si>
  <si>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</si>
  <si>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</si>
  <si>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</si>
  <si>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</si>
  <si>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</si>
  <si>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</si>
  <si>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</si>
  <si>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</si>
  <si>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</si>
  <si>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</si>
  <si>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</si>
  <si>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</si>
  <si>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</si>
  <si>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</si>
  <si>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</si>
  <si>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</si>
  <si>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</si>
  <si>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</si>
  <si>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</si>
  <si>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</si>
  <si>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</si>
  <si>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</si>
  <si>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</si>
  <si>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</si>
  <si>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</si>
  <si>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</si>
  <si>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</si>
  <si>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</si>
  <si>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</si>
  <si>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</si>
  <si>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</si>
  <si>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</si>
  <si>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</si>
  <si>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</si>
  <si>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</si>
  <si>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</si>
  <si>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</si>
  <si>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</si>
  <si>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</si>
  <si>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</si>
  <si>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</si>
  <si>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</si>
  <si>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</si>
  <si>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</si>
  <si>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</si>
  <si>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</si>
  <si>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</si>
  <si>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</si>
  <si>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</si>
  <si>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</si>
  <si>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</si>
  <si>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</si>
  <si>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</si>
  <si>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</si>
  <si>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</si>
  <si>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</si>
  <si>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</si>
  <si>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</si>
  <si>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</si>
  <si>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</si>
  <si>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</si>
  <si>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</si>
  <si>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</si>
  <si>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</si>
  <si>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</si>
  <si>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</si>
  <si>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</si>
  <si>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</si>
  <si>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</si>
  <si>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</si>
  <si>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</si>
  <si>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</si>
  <si>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</si>
  <si>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</si>
  <si>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</si>
  <si>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</si>
  <si>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</si>
  <si>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</si>
  <si>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</si>
  <si>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</si>
  <si>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</si>
  <si>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</si>
  <si>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</si>
  <si>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</si>
  <si>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</si>
  <si>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</si>
  <si>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</si>
  <si>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</si>
  <si>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</si>
  <si>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</si>
  <si>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</si>
  <si>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</si>
  <si>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</si>
  <si>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</si>
  <si>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</si>
  <si>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</si>
  <si>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</si>
  <si>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</si>
  <si>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</si>
  <si>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</si>
  <si>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</si>
  <si>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</si>
  <si>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</si>
  <si>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</si>
  <si>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</si>
  <si>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</si>
  <si>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</si>
  <si>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</si>
  <si>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</si>
  <si>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</si>
  <si>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</si>
  <si>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</si>
  <si>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</si>
  <si>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</si>
  <si>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</si>
  <si>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</si>
  <si>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</si>
  <si>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</si>
  <si>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</si>
  <si>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</si>
  <si>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</si>
  <si>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</si>
  <si>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</si>
  <si>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</si>
  <si>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</si>
  <si>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</si>
  <si>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</si>
  <si>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</si>
  <si>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</si>
  <si>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</si>
  <si>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</si>
  <si>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</si>
  <si>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</si>
  <si>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</si>
  <si>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</si>
  <si>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</si>
  <si>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</si>
  <si>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</si>
  <si>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</si>
  <si>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</si>
  <si>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</si>
  <si>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</si>
  <si>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</si>
  <si>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</si>
  <si>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</si>
  <si>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</si>
  <si>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</si>
  <si>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</si>
  <si>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</si>
  <si>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</si>
  <si>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</si>
  <si>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</si>
  <si>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</si>
  <si>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</si>
  <si>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</si>
  <si>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</si>
  <si>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</si>
  <si>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</si>
  <si>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</si>
  <si>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</si>
  <si>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</si>
  <si>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</si>
  <si>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</si>
  <si>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</si>
  <si>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</si>
  <si>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</si>
  <si>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</si>
  <si>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</si>
  <si>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</si>
  <si>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</si>
  <si>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</si>
  <si>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</si>
  <si>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</si>
  <si>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</si>
  <si>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</si>
  <si>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</si>
  <si>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</si>
  <si>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</si>
  <si>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</si>
  <si>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</si>
  <si>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</si>
  <si>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</si>
  <si>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</si>
  <si>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</si>
  <si>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</si>
  <si>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</si>
  <si>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</si>
  <si>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</si>
  <si>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</si>
  <si>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</si>
  <si>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</si>
  <si>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</si>
  <si>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</si>
  <si>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</si>
  <si>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</si>
  <si>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</si>
  <si>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</si>
  <si>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</si>
  <si>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</si>
  <si>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</si>
  <si>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</si>
  <si>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</si>
  <si>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</si>
  <si>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</si>
  <si>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</si>
  <si>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</si>
  <si>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</si>
  <si>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</si>
  <si>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</si>
  <si>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</si>
  <si>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</si>
  <si>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</si>
  <si>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</si>
  <si>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</si>
  <si>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</si>
  <si>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</si>
  <si>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</si>
  <si>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</si>
  <si>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</si>
  <si>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</si>
  <si>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</si>
  <si>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</si>
  <si>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</si>
  <si>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</si>
  <si>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</si>
  <si>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</si>
  <si>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</si>
  <si>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</si>
  <si>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</si>
  <si>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</si>
  <si>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</si>
  <si>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</si>
  <si>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</si>
  <si>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</si>
  <si>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</si>
  <si>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</si>
  <si>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</si>
  <si>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</si>
  <si>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</si>
  <si>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</si>
  <si>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</si>
  <si>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</si>
  <si>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</si>
  <si>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</si>
  <si>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</si>
  <si>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</si>
  <si>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</si>
  <si>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</si>
  <si>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</si>
  <si>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</si>
  <si>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</si>
  <si>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</si>
  <si>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</si>
  <si>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</si>
  <si>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</si>
  <si>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</si>
  <si>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</si>
  <si>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</si>
  <si>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</si>
  <si>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</si>
  <si>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</si>
  <si>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</si>
  <si>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</si>
  <si>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</si>
  <si>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</si>
  <si>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</si>
  <si>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</si>
  <si>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</si>
  <si>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</si>
  <si>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</si>
  <si>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</si>
  <si>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</si>
  <si>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</si>
  <si>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</si>
  <si>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</si>
  <si>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</si>
  <si>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</si>
  <si>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</si>
  <si>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</si>
  <si>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</si>
  <si>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</si>
  <si>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</si>
  <si>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</si>
  <si>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</si>
  <si>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</si>
  <si>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</si>
  <si>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</si>
  <si>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</si>
  <si>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</si>
  <si>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</si>
  <si>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</si>
  <si>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</si>
  <si>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</si>
  <si>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</si>
  <si>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</si>
  <si>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</si>
  <si>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</si>
  <si>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</si>
  <si>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</si>
  <si>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</si>
  <si>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</si>
  <si>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</si>
  <si>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</si>
  <si>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</si>
  <si>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</si>
  <si>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</si>
  <si>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</si>
  <si>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</si>
  <si>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</si>
  <si>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</si>
  <si>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</si>
  <si>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</si>
  <si>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</si>
  <si>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</si>
  <si>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</si>
  <si>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</si>
  <si>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</si>
  <si>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</si>
  <si>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</si>
  <si>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</si>
  <si>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</si>
  <si>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</si>
  <si>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</si>
  <si>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</si>
  <si>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</si>
  <si>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</si>
  <si>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</si>
  <si>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</si>
  <si>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</si>
  <si>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</si>
  <si>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</si>
  <si>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</si>
  <si>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</si>
  <si>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</si>
  <si>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</si>
  <si>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</si>
  <si>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</si>
  <si>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</si>
  <si>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</si>
  <si>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</si>
  <si>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</si>
  <si>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</si>
  <si>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</si>
  <si>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</si>
  <si>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</si>
  <si>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</si>
  <si>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</si>
  <si>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</si>
  <si>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</si>
  <si>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</si>
  <si>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</si>
  <si>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</si>
  <si>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</si>
  <si>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</si>
  <si>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</si>
  <si>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</si>
  <si>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</si>
  <si>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</si>
  <si>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</si>
  <si>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</si>
  <si>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</si>
  <si>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</si>
  <si>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</si>
  <si>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</si>
  <si>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</si>
  <si>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</si>
  <si>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</si>
  <si>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</si>
  <si>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</si>
  <si>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</si>
  <si>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</si>
  <si>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</si>
  <si>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</si>
  <si>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</si>
  <si>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</si>
  <si>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</si>
  <si>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</si>
  <si>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</si>
  <si>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</si>
  <si>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</si>
  <si>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</si>
  <si>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</si>
  <si>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</si>
  <si>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</si>
  <si>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</si>
  <si>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</si>
  <si>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</si>
  <si>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</si>
  <si>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</si>
  <si>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</si>
  <si>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</si>
  <si>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</si>
  <si>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</si>
  <si>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</si>
  <si>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</si>
  <si>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</si>
  <si>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</si>
  <si>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</si>
  <si>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</si>
  <si>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</si>
  <si>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</si>
  <si>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</si>
  <si>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</si>
  <si>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</si>
  <si>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</si>
  <si>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</si>
  <si>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</si>
  <si>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</si>
  <si>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</si>
  <si>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</si>
  <si>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</si>
  <si>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</si>
  <si>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</si>
  <si>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</si>
  <si>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</si>
  <si>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</si>
  <si>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</si>
  <si>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</si>
  <si>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</si>
  <si>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</si>
  <si>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</si>
  <si>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</si>
  <si>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</si>
  <si>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</si>
  <si>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</si>
  <si>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</si>
  <si>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</si>
  <si>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</si>
  <si>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</si>
  <si>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</si>
  <si>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</si>
  <si>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</si>
  <si>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</si>
  <si>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</si>
  <si>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</si>
  <si>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</si>
  <si>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</si>
  <si>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</si>
  <si>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</si>
  <si>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</si>
  <si>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</si>
  <si>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</si>
  <si>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</si>
  <si>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</si>
  <si>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</si>
  <si>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</si>
  <si>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</si>
  <si>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</si>
  <si>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</si>
  <si>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</si>
  <si>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</si>
  <si>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</si>
  <si>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</si>
  <si>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</si>
  <si>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</si>
  <si>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</si>
  <si>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</si>
  <si>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</si>
  <si>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</si>
  <si>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</si>
  <si>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</si>
  <si>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</si>
  <si>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</si>
  <si>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</si>
  <si>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</si>
  <si>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</si>
  <si>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</si>
  <si>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</si>
  <si>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</si>
  <si>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</si>
  <si>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</si>
  <si>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</si>
  <si>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</si>
  <si>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</si>
  <si>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</si>
  <si>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</si>
  <si>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</si>
  <si>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</si>
  <si>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</si>
  <si>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</si>
  <si>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</si>
  <si>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</si>
  <si>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</si>
  <si>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</si>
  <si>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</si>
  <si>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</si>
  <si>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</si>
  <si>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</si>
  <si>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</si>
  <si>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</si>
  <si>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</si>
  <si>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</si>
  <si>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</si>
  <si>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</si>
  <si>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</si>
  <si>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</si>
  <si>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</si>
  <si>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</si>
  <si>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</si>
  <si>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</si>
  <si>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</si>
  <si>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</si>
  <si>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</si>
  <si>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</si>
  <si>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</si>
  <si>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</si>
  <si>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</si>
  <si>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</si>
  <si>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</si>
  <si>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</si>
  <si>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</si>
  <si>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</si>
  <si>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</si>
  <si>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</si>
  <si>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</si>
  <si>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</si>
  <si>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</si>
  <si>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</si>
  <si>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</si>
  <si>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</si>
  <si>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</si>
  <si>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</si>
  <si>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</si>
  <si>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</si>
  <si>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</si>
  <si>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</si>
  <si>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</si>
  <si>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</si>
  <si>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</si>
  <si>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</si>
  <si>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</si>
  <si>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</si>
  <si>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</si>
  <si>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</si>
  <si>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</si>
  <si>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</si>
  <si>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</si>
  <si>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</si>
  <si>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</si>
  <si>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</si>
  <si>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</si>
  <si>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</si>
  <si>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</si>
  <si>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</si>
  <si>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</si>
  <si>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</si>
  <si>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</si>
  <si>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</si>
  <si>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</si>
  <si>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</si>
  <si>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</si>
  <si>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</si>
  <si>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</si>
  <si>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</si>
  <si>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</si>
  <si>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</si>
  <si>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</si>
  <si>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</si>
  <si>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</si>
  <si>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</si>
  <si>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</si>
  <si>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</si>
  <si>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</si>
  <si>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</si>
  <si>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</si>
  <si>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</si>
  <si>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</si>
  <si>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</si>
  <si>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</si>
  <si>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</si>
  <si>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</si>
  <si>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</si>
  <si>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</si>
  <si>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</si>
  <si>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</si>
  <si>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</si>
  <si>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</si>
  <si>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</si>
  <si>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</si>
  <si>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</si>
  <si>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</si>
  <si>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</si>
  <si>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</si>
  <si>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</si>
  <si>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</si>
  <si>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</si>
  <si>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</si>
  <si>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</si>
  <si>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</si>
  <si>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</si>
  <si>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</si>
  <si>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</si>
  <si>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</si>
  <si>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</si>
  <si>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</si>
  <si>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</si>
  <si>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</si>
  <si>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</si>
  <si>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</si>
  <si>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</si>
  <si>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</si>
  <si>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</si>
  <si>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</si>
  <si>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</si>
  <si>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</si>
  <si>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</si>
  <si>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</si>
  <si>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</si>
  <si>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</si>
  <si>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</si>
  <si>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</si>
  <si>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</si>
  <si>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</si>
  <si>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</si>
  <si>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</si>
  <si>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</si>
  <si>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</si>
  <si>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</si>
  <si>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</si>
  <si>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</si>
  <si>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</si>
  <si>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</si>
  <si>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</si>
  <si>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</si>
  <si>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</si>
  <si>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</si>
  <si>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</si>
  <si>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</si>
  <si>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</si>
  <si>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</si>
  <si>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</si>
  <si>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</si>
  <si>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</si>
  <si>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</si>
  <si>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</si>
  <si>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</si>
  <si>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</si>
  <si>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</si>
  <si>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</si>
  <si>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</si>
  <si>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</si>
  <si>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</si>
  <si>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</si>
  <si>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</si>
  <si>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</si>
  <si>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</si>
  <si>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</si>
  <si>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</si>
  <si>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</si>
  <si>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</si>
  <si>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</si>
  <si>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</si>
  <si>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</si>
  <si>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</si>
  <si>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</si>
  <si>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</si>
  <si>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</si>
  <si>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</si>
  <si>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</si>
  <si>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</si>
  <si>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</si>
  <si>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</si>
  <si>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</si>
  <si>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</si>
  <si>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</si>
  <si>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</si>
  <si>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</si>
  <si>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</si>
  <si>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</si>
  <si>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</si>
  <si>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</si>
  <si>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</si>
  <si>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</si>
  <si>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</si>
  <si>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</si>
  <si>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</si>
  <si>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</si>
  <si>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</si>
  <si>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</si>
  <si>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</si>
  <si>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</si>
  <si>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</si>
  <si>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</si>
  <si>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</si>
  <si>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</si>
  <si>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</si>
  <si>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</si>
  <si>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</si>
  <si>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</si>
  <si>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</si>
  <si>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</si>
  <si>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</si>
  <si>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</si>
  <si>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</si>
  <si>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</si>
  <si>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</si>
  <si>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</si>
  <si>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</si>
  <si>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</si>
  <si>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</si>
  <si>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</si>
  <si>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</si>
  <si>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</si>
  <si>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</si>
  <si>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</si>
  <si>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</si>
  <si>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</si>
  <si>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</si>
  <si>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</si>
  <si>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</si>
  <si>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</si>
  <si>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</si>
  <si>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</si>
  <si>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</si>
  <si>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</si>
  <si>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</si>
  <si>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</si>
  <si>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</si>
  <si>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</si>
  <si>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</si>
  <si>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</si>
  <si>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</si>
  <si>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</si>
  <si>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</si>
  <si>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</si>
  <si>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</si>
  <si>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</si>
  <si>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</si>
  <si>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</si>
  <si>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</si>
  <si>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</si>
  <si>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</si>
  <si>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</si>
  <si>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</si>
  <si>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</si>
  <si>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</si>
  <si>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</si>
  <si>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</si>
  <si>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</si>
  <si>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</si>
  <si>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</si>
  <si>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</si>
  <si>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</si>
  <si>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</si>
  <si>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</si>
  <si>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</si>
  <si>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</si>
  <si>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</si>
  <si>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</si>
  <si>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</si>
  <si>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</si>
  <si>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</si>
  <si>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</si>
  <si>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</si>
  <si>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</si>
  <si>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</si>
  <si>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</si>
  <si>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</si>
  <si>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</si>
  <si>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</si>
  <si>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</si>
  <si>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</si>
  <si>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</si>
  <si>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</si>
  <si>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</si>
  <si>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</si>
  <si>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</si>
  <si>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</si>
  <si>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</si>
  <si>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</si>
  <si>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</si>
  <si>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</si>
  <si>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</si>
  <si>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</si>
  <si>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</si>
  <si>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</si>
  <si>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</si>
  <si>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</si>
  <si>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</si>
  <si>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</si>
  <si>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</si>
  <si>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</si>
  <si>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</si>
  <si>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</si>
  <si>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</si>
  <si>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</si>
  <si>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</si>
  <si>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</si>
  <si>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</si>
  <si>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</si>
  <si>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</si>
  <si>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</si>
  <si>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</si>
  <si>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</si>
  <si>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</si>
  <si>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</si>
  <si>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</si>
  <si>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</si>
  <si>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</si>
  <si>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</si>
  <si>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</si>
  <si>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</si>
  <si>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</si>
  <si>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</si>
  <si>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</si>
  <si>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</si>
  <si>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</si>
  <si>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</si>
  <si>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</si>
  <si>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</si>
  <si>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</si>
  <si>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</si>
  <si>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</si>
  <si>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</si>
  <si>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</si>
  <si>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</si>
  <si>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</si>
  <si>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</si>
  <si>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</si>
  <si>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</si>
  <si>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</si>
  <si>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</si>
  <si>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</si>
  <si>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</si>
  <si>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</si>
  <si>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</si>
  <si>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</si>
  <si>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</si>
  <si>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</si>
  <si>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</si>
  <si>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</si>
  <si>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</si>
  <si>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</si>
  <si>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</si>
  <si>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</si>
  <si>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</si>
  <si>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</si>
  <si>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</si>
  <si>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</si>
  <si>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</si>
  <si>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</si>
  <si>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</si>
  <si>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</si>
  <si>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</si>
  <si>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</si>
  <si>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</si>
  <si>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</si>
  <si>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</si>
  <si>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</si>
  <si>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</si>
  <si>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</si>
  <si>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</si>
  <si>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</si>
  <si>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</si>
  <si>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</si>
  <si>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</si>
  <si>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</si>
  <si>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</si>
  <si>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</si>
  <si>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</si>
  <si>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</si>
  <si>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</si>
  <si>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</si>
  <si>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</si>
  <si>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</si>
  <si>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</si>
  <si>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</si>
  <si>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</si>
  <si>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</si>
  <si>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</si>
  <si>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</si>
  <si>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</si>
  <si>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</si>
  <si>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</si>
  <si>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</si>
  <si>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</si>
  <si>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</si>
  <si>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</si>
  <si>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</si>
  <si>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</si>
  <si>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</si>
  <si>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</si>
  <si>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</si>
  <si>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</si>
  <si>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</si>
  <si>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</si>
  <si>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</si>
  <si>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</si>
  <si>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</si>
  <si>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</si>
  <si>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</si>
  <si>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</si>
  <si>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</si>
  <si>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</si>
  <si>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</si>
  <si>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</si>
  <si>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</si>
  <si>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</si>
  <si>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</si>
  <si>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</si>
  <si>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</si>
  <si>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</si>
  <si>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</si>
  <si>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</si>
  <si>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</si>
  <si>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</si>
  <si>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</si>
  <si>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</si>
  <si>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</si>
  <si>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</si>
  <si>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</si>
  <si>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</si>
  <si>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</si>
  <si>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</si>
  <si>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</si>
  <si>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</si>
  <si>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</si>
  <si>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</si>
  <si>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</si>
  <si>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</si>
  <si>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</si>
  <si>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</si>
  <si>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</si>
  <si>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</si>
  <si>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</si>
  <si>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</si>
  <si>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</si>
  <si>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</si>
  <si>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</si>
  <si>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</si>
  <si>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</si>
  <si>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</si>
  <si>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</si>
  <si>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</si>
  <si>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</si>
  <si>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</si>
  <si>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</si>
  <si>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</si>
  <si>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</si>
  <si>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</si>
  <si>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</si>
  <si>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</si>
  <si>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</si>
  <si>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</si>
  <si>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</si>
  <si>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</si>
  <si>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</si>
  <si>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</si>
  <si>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</si>
  <si>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</si>
  <si>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</si>
  <si>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</si>
  <si>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</si>
  <si>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</si>
  <si>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</si>
  <si>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</si>
  <si>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</si>
  <si>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</si>
  <si>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</si>
  <si>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</si>
  <si>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</si>
  <si>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</si>
  <si>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</si>
  <si>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</si>
  <si>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</si>
  <si>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</si>
  <si>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</si>
  <si>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</si>
  <si>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</si>
  <si>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</si>
  <si>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</si>
  <si>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</si>
  <si>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</si>
  <si>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</si>
  <si>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</si>
  <si>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</si>
  <si>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</si>
  <si>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</si>
  <si>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</si>
  <si>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</si>
  <si>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</si>
  <si>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</si>
  <si>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</si>
  <si>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</si>
  <si>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</si>
  <si>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</si>
  <si>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</si>
  <si>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</si>
  <si>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</si>
  <si>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</si>
  <si>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</si>
  <si>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</si>
  <si>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</si>
  <si>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</si>
  <si>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</si>
  <si>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</si>
  <si>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</si>
  <si>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</si>
  <si>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</si>
  <si>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</si>
  <si>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</si>
  <si>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</si>
  <si>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</si>
  <si>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</si>
  <si>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</si>
  <si>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</si>
  <si>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</si>
  <si>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</si>
  <si>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</si>
  <si>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</si>
  <si>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</si>
  <si>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</si>
  <si>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</si>
  <si>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</si>
  <si>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</si>
  <si>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</si>
  <si>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</si>
  <si>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</si>
  <si>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</si>
  <si>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</si>
  <si>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</si>
  <si>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</si>
  <si>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</si>
  <si>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</si>
  <si>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</si>
  <si>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</si>
  <si>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</si>
  <si>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</si>
  <si>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</si>
  <si>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</si>
  <si>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</si>
  <si>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</si>
  <si>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</si>
  <si>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</si>
  <si>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</si>
  <si>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</si>
  <si>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</si>
  <si>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</si>
  <si>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</si>
  <si>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</si>
  <si>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</si>
  <si>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</si>
  <si>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</si>
  <si>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</si>
  <si>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</si>
  <si>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</si>
  <si>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</si>
  <si>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</si>
  <si>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</si>
  <si>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</si>
  <si>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</si>
  <si>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</si>
  <si>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</si>
  <si>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</si>
  <si>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</si>
  <si>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</si>
  <si>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</si>
  <si>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</si>
  <si>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</si>
  <si>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</si>
  <si>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</si>
  <si>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</si>
  <si>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</si>
  <si>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</si>
  <si>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</si>
  <si>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</si>
  <si>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</si>
  <si>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</si>
  <si>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</si>
  <si>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</si>
  <si>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</si>
  <si>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</si>
  <si>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</si>
  <si>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</si>
  <si>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</si>
  <si>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</si>
  <si>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</si>
  <si>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</si>
  <si>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</si>
  <si>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</si>
  <si>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</si>
  <si>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</si>
  <si>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</si>
  <si>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</si>
  <si>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</si>
  <si>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</si>
  <si>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</si>
  <si>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</si>
  <si>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</si>
  <si>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</si>
  <si>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</si>
  <si>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</si>
  <si>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</si>
  <si>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</si>
  <si>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</si>
  <si>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</si>
  <si>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</si>
  <si>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</si>
  <si>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</si>
  <si>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</si>
  <si>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</si>
  <si>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</si>
  <si>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</si>
  <si>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</si>
  <si>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</si>
  <si>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</si>
  <si>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</si>
  <si>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</si>
  <si>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</si>
  <si>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</si>
  <si>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</si>
  <si>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</si>
  <si>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</si>
  <si>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</si>
  <si>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</si>
  <si>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</si>
  <si>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</si>
  <si>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</si>
  <si>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</si>
  <si>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</si>
  <si>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</si>
  <si>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</si>
  <si>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</si>
  <si>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</si>
  <si>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</si>
  <si>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</si>
  <si>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</si>
  <si>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</si>
  <si>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</si>
  <si>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</si>
  <si>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</si>
  <si>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</si>
  <si>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</si>
  <si>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</si>
  <si>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</si>
  <si>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</si>
  <si>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</si>
  <si>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</si>
  <si>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</si>
  <si>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</si>
  <si>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</si>
  <si>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</si>
  <si>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</si>
  <si>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</si>
  <si>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</si>
  <si>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</si>
  <si>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</si>
  <si>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</si>
  <si>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</si>
  <si>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</si>
  <si>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</si>
  <si>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</si>
  <si>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</si>
  <si>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</si>
  <si>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</si>
  <si>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</si>
  <si>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</si>
  <si>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</si>
  <si>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</si>
  <si>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</si>
  <si>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</si>
  <si>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</si>
  <si>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</si>
  <si>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</si>
  <si>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</si>
  <si>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</si>
  <si>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</si>
  <si>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</si>
  <si>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</si>
  <si>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</si>
  <si>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</si>
  <si>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</si>
  <si>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</si>
  <si>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</si>
  <si>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</si>
  <si>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</si>
  <si>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</si>
  <si>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</si>
  <si>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</si>
  <si>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</si>
  <si>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</si>
  <si>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</si>
  <si>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</si>
  <si>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</si>
  <si>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</si>
  <si>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</si>
  <si>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</si>
  <si>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</si>
  <si>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</si>
  <si>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</si>
  <si>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</si>
  <si>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</si>
  <si>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</si>
  <si>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</si>
  <si>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</si>
  <si>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</si>
  <si>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</si>
  <si>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</si>
  <si>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</si>
  <si>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</si>
  <si>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</si>
  <si>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</si>
  <si>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</si>
  <si>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</si>
  <si>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</si>
  <si>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</si>
  <si>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</si>
  <si>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</si>
  <si>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</si>
  <si>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</si>
  <si>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</si>
  <si>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</si>
  <si>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</si>
  <si>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</si>
  <si>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</si>
  <si>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</si>
  <si>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</si>
  <si>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</si>
  <si>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</si>
  <si>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</si>
  <si>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</si>
  <si>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</si>
  <si>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</si>
  <si>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</si>
  <si>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</si>
  <si>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</si>
  <si>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</si>
  <si>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</si>
  <si>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</si>
  <si>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</si>
  <si>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</si>
  <si>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</si>
  <si>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</si>
  <si>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</si>
  <si>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</si>
  <si>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</si>
  <si>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</si>
  <si>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</si>
  <si>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</si>
  <si>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</si>
  <si>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</si>
  <si>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</si>
  <si>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</si>
  <si>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</si>
  <si>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</si>
  <si>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</si>
  <si>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</si>
  <si>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</si>
  <si>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</si>
  <si>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</si>
  <si>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</si>
  <si>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</si>
  <si>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</si>
  <si>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</si>
  <si>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</si>
  <si>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</si>
  <si>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</si>
  <si>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</si>
  <si>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</si>
  <si>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</si>
  <si>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</si>
  <si>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</si>
  <si>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</si>
  <si>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</si>
  <si>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</si>
  <si>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</si>
  <si>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</si>
  <si>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</si>
  <si>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</si>
  <si>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</si>
  <si>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</si>
  <si>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</si>
  <si>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</si>
  <si>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</si>
  <si>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</si>
  <si>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</si>
  <si>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</si>
  <si>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</si>
  <si>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</si>
  <si>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</si>
  <si>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</si>
  <si>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</si>
  <si>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</si>
  <si>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</si>
  <si>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</si>
  <si>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</si>
  <si>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</si>
  <si>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</si>
  <si>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</si>
  <si>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</si>
  <si>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</si>
  <si>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</si>
  <si>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</si>
  <si>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</si>
  <si>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</si>
  <si>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</si>
  <si>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</si>
  <si>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</si>
  <si>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</si>
  <si>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</si>
  <si>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</si>
  <si>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</si>
  <si>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</si>
  <si>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</si>
  <si>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</si>
  <si>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</si>
  <si>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</si>
  <si>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</si>
  <si>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</si>
  <si>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</si>
  <si>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</si>
  <si>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</si>
  <si>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</si>
  <si>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</si>
  <si>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</si>
  <si>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</si>
  <si>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</si>
  <si>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</si>
  <si>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</si>
  <si>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</si>
  <si>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</si>
  <si>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</si>
  <si>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</si>
  <si>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</si>
  <si>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</si>
  <si>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</si>
  <si>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</si>
  <si>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</si>
  <si>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</si>
  <si>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</si>
  <si>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</si>
  <si>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</si>
  <si>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</si>
  <si>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</si>
  <si>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</si>
  <si>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</si>
  <si>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</si>
  <si>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</si>
  <si>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</si>
  <si>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</si>
  <si>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</si>
  <si>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</si>
  <si>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</si>
  <si>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</si>
  <si>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</si>
  <si>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</si>
  <si>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</si>
  <si>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</si>
  <si>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</si>
  <si>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</si>
  <si>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</si>
  <si>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</si>
  <si>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</si>
  <si>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</si>
  <si>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</si>
  <si>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</si>
  <si>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</si>
  <si>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</si>
  <si>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</si>
  <si>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</si>
  <si>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</si>
  <si>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</si>
  <si>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</si>
  <si>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</si>
  <si>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</si>
  <si>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</si>
  <si>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</si>
  <si>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</si>
  <si>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</si>
  <si>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</si>
  <si>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</si>
  <si>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</si>
  <si>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</si>
  <si>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</si>
  <si>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</si>
  <si>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</si>
  <si>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</si>
  <si>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</si>
  <si>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</si>
  <si>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</si>
  <si>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</si>
  <si>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</si>
  <si>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</si>
  <si>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</si>
  <si>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</si>
  <si>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</si>
  <si>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</si>
  <si>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</si>
  <si>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</si>
  <si>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</si>
  <si>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</si>
  <si>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</si>
  <si>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</si>
  <si>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</si>
  <si>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</si>
  <si>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</si>
  <si>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</si>
  <si>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</si>
  <si>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</si>
  <si>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</si>
  <si>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</si>
  <si>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</si>
  <si>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</si>
  <si>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</si>
  <si>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</si>
  <si>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</si>
  <si>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</si>
  <si>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</si>
  <si>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</si>
  <si>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</si>
  <si>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</si>
  <si>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</si>
  <si>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</si>
  <si>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</si>
  <si>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</si>
  <si>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</si>
  <si>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</si>
  <si>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</si>
  <si>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</si>
  <si>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</si>
  <si>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</si>
  <si>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</si>
  <si>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</si>
  <si>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</si>
  <si>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</si>
  <si>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</si>
  <si>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</si>
  <si>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</si>
  <si>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</si>
  <si>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</si>
  <si>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</si>
  <si>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</si>
  <si>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</si>
  <si>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</si>
  <si>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</si>
  <si>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</si>
  <si>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</si>
  <si>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</si>
  <si>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</si>
  <si>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</si>
  <si>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</si>
  <si>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</si>
  <si>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</si>
  <si>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</si>
  <si>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</si>
  <si>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</si>
  <si>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</si>
  <si>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</si>
  <si>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</si>
  <si>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</si>
  <si>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</si>
  <si>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</si>
  <si>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</si>
  <si>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</si>
  <si>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</si>
  <si>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</si>
  <si>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</si>
  <si>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</si>
  <si>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</si>
  <si>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</si>
  <si>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</si>
  <si>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</si>
  <si>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</si>
  <si>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</si>
  <si>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</si>
  <si>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</si>
  <si>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</si>
  <si>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</si>
  <si>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</si>
  <si>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</si>
  <si>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</si>
  <si>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</si>
  <si>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</si>
  <si>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</si>
  <si>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</si>
  <si>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</si>
  <si>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</si>
  <si>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</si>
  <si>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</si>
  <si>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</si>
  <si>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</si>
  <si>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</si>
  <si>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</si>
  <si>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</si>
  <si>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</si>
  <si>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</si>
  <si>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</si>
  <si>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</si>
  <si>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</si>
  <si>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</si>
  <si>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</si>
  <si>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</si>
  <si>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</si>
  <si>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</si>
  <si>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</si>
  <si>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</si>
  <si>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</si>
  <si>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</si>
  <si>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</si>
  <si>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</si>
  <si>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</si>
  <si>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</si>
  <si>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</si>
  <si>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</si>
  <si>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</si>
  <si>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</si>
  <si>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</si>
  <si>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</si>
  <si>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</si>
  <si>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</si>
  <si>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</si>
  <si>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</si>
  <si>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</si>
  <si>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</si>
  <si>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</si>
  <si>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</si>
  <si>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</si>
  <si>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</si>
  <si>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</si>
  <si>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</si>
  <si>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</si>
  <si>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</si>
  <si>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</si>
  <si>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</si>
  <si>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</si>
  <si>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</si>
  <si>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</si>
  <si>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</si>
  <si>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</si>
  <si>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</si>
  <si>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</si>
  <si>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</si>
  <si>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</si>
  <si>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</si>
  <si>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</si>
  <si>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</si>
  <si>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</si>
  <si>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</si>
  <si>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</si>
  <si>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</si>
  <si>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</si>
  <si>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</si>
  <si>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</si>
  <si>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</si>
  <si>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</si>
  <si>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</si>
  <si>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</si>
  <si>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</si>
  <si>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</si>
  <si>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</si>
  <si>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</si>
  <si>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</si>
  <si>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</si>
  <si>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</si>
  <si>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</si>
  <si>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</si>
  <si>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</si>
  <si>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</si>
  <si>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</si>
  <si>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</si>
  <si>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</si>
  <si>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</si>
  <si>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</si>
  <si>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</si>
  <si>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</si>
  <si>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</si>
  <si>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</si>
  <si>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</si>
  <si>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</si>
  <si>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</si>
  <si>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</si>
  <si>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</si>
  <si>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</si>
  <si>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</si>
  <si>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</si>
  <si>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</si>
  <si>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</si>
  <si>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</si>
  <si>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</si>
  <si>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</si>
  <si>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</si>
  <si>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</si>
  <si>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</si>
  <si>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</si>
  <si>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</si>
  <si>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</si>
  <si>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</si>
  <si>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</si>
  <si>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</si>
  <si>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</si>
  <si>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</si>
  <si>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</si>
  <si>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</si>
  <si>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</si>
  <si>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</si>
  <si>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</si>
  <si>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</si>
  <si>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</si>
  <si>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</si>
  <si>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</si>
  <si>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</si>
  <si>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</si>
  <si>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</si>
  <si>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</si>
  <si>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</si>
  <si>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</si>
  <si>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</si>
  <si>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</si>
  <si>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</si>
  <si>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</si>
  <si>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</si>
  <si>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</si>
  <si>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</si>
  <si>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</si>
  <si>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</si>
  <si>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</si>
  <si>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</si>
  <si>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</si>
  <si>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</si>
  <si>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</si>
  <si>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</si>
  <si>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</si>
  <si>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</si>
  <si>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</si>
  <si>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</si>
  <si>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</si>
  <si>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</si>
  <si>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</si>
  <si>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</si>
  <si>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</si>
  <si>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</si>
  <si>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</si>
  <si>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</si>
  <si>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</si>
  <si>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</si>
  <si>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</si>
  <si>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</si>
  <si>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</si>
  <si>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</si>
  <si>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</si>
  <si>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</si>
  <si>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</si>
  <si>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</si>
  <si>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</si>
  <si>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</si>
  <si>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</si>
  <si>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</si>
  <si>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</si>
  <si>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</si>
  <si>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</si>
  <si>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</si>
  <si>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</si>
  <si>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</si>
  <si>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</si>
  <si>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</si>
  <si>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</si>
  <si>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</si>
  <si>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</si>
  <si>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</si>
  <si>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</si>
  <si>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</si>
  <si>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</si>
  <si>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</si>
  <si>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</si>
  <si>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</si>
  <si>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</si>
  <si>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</si>
  <si>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</si>
  <si>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</si>
  <si>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</si>
  <si>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</si>
  <si>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</si>
  <si>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</si>
  <si>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</si>
  <si>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</si>
  <si>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</si>
  <si>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</si>
  <si>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</si>
  <si>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</si>
  <si>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</si>
  <si>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</si>
  <si>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</si>
  <si>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</si>
  <si>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</si>
  <si>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</si>
  <si>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</si>
  <si>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</si>
  <si>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</si>
  <si>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</si>
  <si>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</si>
  <si>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</si>
  <si>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</si>
  <si>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</si>
  <si>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</si>
  <si>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</si>
  <si>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</si>
  <si>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</si>
  <si>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</si>
  <si>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</si>
  <si>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</si>
  <si>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</si>
  <si>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</si>
  <si>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</si>
  <si>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</si>
  <si>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</si>
  <si>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</si>
  <si>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</si>
  <si>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</si>
  <si>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</si>
  <si>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</si>
  <si>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</si>
  <si>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</si>
  <si>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</si>
  <si>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</si>
  <si>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</si>
  <si>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</si>
  <si>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</si>
  <si>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</si>
  <si>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</si>
  <si>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</si>
  <si>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</si>
  <si>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</si>
  <si>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</si>
  <si>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</si>
  <si>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</si>
  <si>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</si>
  <si>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</si>
  <si>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</si>
  <si>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</si>
  <si>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</si>
  <si>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</si>
  <si>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</si>
  <si>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</si>
  <si>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</si>
  <si>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</si>
  <si>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</si>
  <si>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</si>
  <si>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</si>
  <si>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</si>
  <si>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</si>
  <si>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</si>
  <si>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</si>
  <si>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</si>
  <si>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</si>
  <si>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</si>
  <si>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</si>
  <si>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</si>
  <si>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</si>
  <si>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</si>
  <si>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</si>
  <si>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</si>
  <si>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</si>
  <si>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</si>
  <si>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</si>
  <si>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</si>
  <si>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</si>
  <si>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</si>
  <si>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</si>
  <si>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</si>
  <si>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</si>
  <si>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</si>
  <si>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</si>
  <si>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</si>
  <si>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</si>
  <si>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</si>
  <si>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</si>
  <si>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</si>
  <si>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</si>
  <si>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</si>
  <si>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</si>
  <si>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</si>
  <si>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</si>
  <si>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</si>
  <si>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</si>
  <si>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</si>
  <si>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</si>
  <si>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</si>
  <si>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</si>
  <si>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</si>
  <si>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</si>
  <si>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</si>
  <si>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</si>
  <si>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</si>
  <si>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</si>
  <si>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</si>
  <si>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</si>
  <si>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</si>
  <si>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</si>
  <si>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</si>
  <si>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</si>
  <si>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</si>
  <si>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</si>
  <si>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</si>
  <si>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</si>
  <si>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</si>
  <si>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</si>
  <si>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</si>
  <si>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</si>
  <si>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</si>
  <si>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</si>
  <si>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</si>
  <si>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</si>
  <si>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</si>
  <si>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</si>
  <si>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</si>
  <si>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</si>
  <si>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</si>
  <si>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</si>
  <si>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</si>
  <si>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</si>
  <si>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</si>
  <si>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</si>
  <si>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</si>
  <si>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</si>
  <si>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</si>
  <si>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</si>
  <si>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</si>
  <si>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</si>
  <si>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</si>
  <si>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</si>
  <si>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</si>
  <si>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</si>
  <si>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</si>
  <si>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</si>
  <si>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</si>
  <si>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</si>
  <si>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</si>
  <si>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</si>
  <si>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</si>
  <si>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</si>
  <si>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</si>
  <si>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</si>
  <si>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</si>
  <si>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</si>
  <si>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</si>
  <si>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</si>
  <si>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</si>
  <si>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</si>
  <si>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</si>
  <si>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</si>
  <si>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</si>
  <si>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</si>
  <si>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</si>
  <si>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</si>
  <si>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</si>
  <si>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</si>
  <si>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</si>
  <si>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</si>
  <si>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</si>
  <si>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</si>
  <si>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</si>
  <si>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</si>
  <si>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</si>
  <si>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</si>
  <si>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</si>
  <si>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</si>
  <si>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</si>
  <si>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</si>
  <si>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</si>
  <si>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</si>
  <si>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</si>
  <si>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</si>
  <si>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</si>
  <si>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</si>
  <si>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</si>
  <si>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</si>
  <si>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</si>
  <si>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</si>
  <si>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</si>
  <si>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</si>
  <si>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</si>
  <si>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</si>
  <si>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</si>
  <si>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</si>
  <si>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</si>
  <si>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</si>
  <si>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</si>
  <si>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</si>
  <si>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</si>
  <si>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</si>
  <si>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</si>
  <si>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</si>
  <si>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</si>
  <si>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</si>
  <si>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</si>
  <si>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</si>
  <si>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</si>
  <si>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</si>
  <si>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</si>
  <si>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</si>
  <si>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</si>
  <si>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</si>
  <si>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</si>
  <si>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</si>
  <si>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</si>
  <si>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</si>
  <si>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</si>
  <si>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</si>
  <si>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</si>
  <si>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</si>
  <si>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</si>
  <si>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</si>
  <si>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</si>
  <si>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</si>
  <si>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</si>
  <si>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</si>
  <si>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</si>
  <si>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</si>
  <si>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</si>
  <si>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</si>
  <si>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</si>
  <si>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</si>
  <si>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</si>
  <si>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</si>
  <si>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</si>
  <si>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</si>
  <si>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</si>
  <si>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</si>
  <si>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</si>
  <si>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</si>
  <si>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</si>
  <si>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</si>
  <si>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</si>
  <si>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</si>
  <si>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</si>
  <si>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</si>
  <si>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</si>
  <si>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</si>
  <si>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</si>
  <si>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</si>
  <si>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</si>
  <si>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</si>
  <si>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</si>
  <si>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</si>
  <si>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</si>
  <si>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</si>
  <si>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</si>
  <si>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</si>
  <si>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</si>
  <si>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</si>
  <si>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</si>
  <si>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</si>
  <si>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</si>
  <si>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</si>
  <si>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</si>
  <si>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</si>
  <si>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</si>
  <si>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</si>
  <si>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</si>
  <si>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</si>
  <si>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</si>
  <si>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</si>
  <si>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</si>
  <si>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</si>
  <si>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</si>
  <si>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</si>
  <si>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</si>
  <si>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</si>
  <si>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</si>
  <si>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</si>
  <si>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</si>
  <si>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</si>
  <si>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</si>
  <si>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</si>
  <si>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</si>
  <si>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</si>
  <si>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</si>
  <si>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</si>
  <si>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</si>
  <si>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</si>
  <si>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</si>
  <si>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</si>
  <si>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</si>
  <si>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</si>
  <si>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</si>
  <si>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</si>
  <si>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</si>
  <si>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</si>
  <si>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</si>
  <si>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</si>
  <si>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</si>
  <si>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</si>
  <si>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</si>
  <si>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</si>
  <si>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</si>
  <si>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</si>
  <si>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</si>
  <si>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</si>
  <si>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</si>
  <si>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</si>
  <si>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</si>
  <si>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</si>
  <si>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</si>
  <si>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</si>
  <si>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</si>
  <si>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</si>
  <si>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</si>
  <si>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</si>
  <si>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</si>
  <si>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</si>
  <si>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</si>
  <si>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</si>
  <si>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</si>
  <si>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</si>
  <si>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</si>
  <si>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</si>
  <si>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</si>
  <si>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</si>
  <si>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</si>
  <si>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</si>
  <si>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</si>
  <si>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</si>
  <si>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</si>
  <si>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</si>
  <si>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</si>
  <si>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</si>
  <si>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</si>
  <si>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</si>
  <si>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</si>
  <si>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</si>
  <si>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</si>
  <si>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</si>
  <si>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</si>
  <si>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</si>
  <si>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</si>
  <si>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</si>
  <si>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</si>
  <si>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</si>
  <si>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</si>
  <si>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</si>
  <si>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</si>
  <si>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</si>
  <si>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</si>
  <si>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</si>
  <si>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</si>
  <si>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</si>
  <si>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</si>
  <si>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</si>
  <si>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</si>
  <si>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</si>
  <si>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</si>
  <si>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</si>
  <si>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</si>
  <si>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</si>
  <si>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</si>
  <si>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</si>
  <si>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</si>
  <si>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</si>
  <si>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</si>
  <si>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</si>
  <si>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</si>
  <si>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</si>
  <si>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</si>
  <si>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</si>
  <si>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</si>
  <si>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</si>
  <si>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</si>
  <si>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</si>
  <si>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</si>
  <si>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</si>
  <si>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</si>
  <si>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</si>
  <si>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</si>
  <si>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</si>
  <si>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</si>
  <si>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</si>
  <si>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</si>
  <si>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</si>
  <si>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</si>
  <si>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</si>
  <si>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</si>
  <si>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</si>
  <si>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</si>
  <si>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</si>
  <si>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</si>
  <si>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</si>
  <si>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</si>
  <si>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</si>
  <si>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</si>
  <si>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</si>
  <si>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</si>
  <si>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</si>
  <si>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</si>
  <si>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</si>
  <si>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</si>
  <si>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</si>
  <si>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</si>
  <si>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</si>
  <si>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</si>
  <si>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</si>
  <si>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</si>
  <si>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</si>
  <si>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</si>
  <si>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</si>
  <si>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</si>
  <si>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</si>
  <si>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</si>
  <si>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</si>
  <si>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</si>
  <si>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</si>
  <si>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</si>
  <si>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</si>
  <si>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</si>
  <si>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</si>
  <si>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</si>
  <si>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</si>
  <si>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</si>
  <si>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</si>
  <si>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</si>
  <si>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</si>
  <si>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</si>
  <si>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</si>
  <si>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</si>
  <si>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</si>
  <si>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</si>
  <si>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</si>
  <si>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</si>
  <si>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</si>
  <si>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</si>
  <si>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</si>
  <si>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</si>
  <si>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</si>
  <si>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</si>
  <si>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</si>
  <si>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</si>
  <si>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</si>
  <si>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</si>
  <si>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</si>
  <si>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</si>
  <si>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</si>
  <si>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</si>
  <si>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</si>
  <si>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</si>
  <si>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</si>
  <si>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</si>
  <si>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</si>
  <si>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</si>
  <si>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</si>
  <si>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</si>
  <si>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</si>
  <si>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</si>
  <si>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</si>
  <si>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</si>
  <si>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</si>
  <si>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</si>
  <si>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</si>
  <si>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</si>
  <si>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</si>
  <si>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</si>
  <si>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</si>
  <si>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</si>
  <si>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</si>
  <si>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</si>
  <si>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</si>
  <si>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</si>
  <si>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</si>
  <si>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</si>
  <si>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</si>
  <si>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</si>
  <si>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</si>
  <si>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</si>
  <si>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</si>
  <si>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</si>
  <si>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</si>
  <si>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</si>
  <si>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</si>
  <si>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</si>
  <si>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</si>
  <si>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</si>
  <si>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</si>
  <si>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</si>
  <si>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</si>
  <si>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</si>
  <si>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</si>
  <si>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</si>
  <si>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</si>
  <si>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</si>
  <si>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</si>
  <si>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</si>
  <si>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</si>
  <si>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</si>
  <si>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</si>
  <si>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</si>
  <si>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</si>
  <si>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</si>
  <si>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</si>
  <si>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</si>
  <si>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</si>
  <si>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崔锴</t>
  </si>
  <si>
    <t>郑燚</t>
  </si>
  <si>
    <t>抵押</t>
  </si>
  <si>
    <t>房地产抵押价值</t>
  </si>
  <si>
    <t>房地产市场价值</t>
  </si>
  <si>
    <t>北京市</t>
  </si>
  <si>
    <t>自然人</t>
  </si>
  <si>
    <t>是</t>
  </si>
  <si>
    <t>地上</t>
  </si>
  <si>
    <t>办公楼</t>
  </si>
  <si>
    <t>办公</t>
    <phoneticPr fontId="7" type="noConversion"/>
  </si>
  <si>
    <t>成新度</t>
  </si>
  <si>
    <t>收益法 (元)</t>
  </si>
  <si>
    <t>利息：取LPR加浮动点数</t>
  </si>
  <si>
    <t>押一</t>
  </si>
  <si>
    <t>钢混</t>
  </si>
  <si>
    <t>非生产用房</t>
  </si>
  <si>
    <t>商务金融用地</t>
  </si>
  <si>
    <t>自定义容积率</t>
  </si>
  <si>
    <t>不临65条商业街</t>
  </si>
  <si>
    <t>有</t>
  </si>
  <si>
    <t>无</t>
  </si>
  <si>
    <t>通路</t>
  </si>
  <si>
    <t>通电</t>
  </si>
  <si>
    <t>通讯</t>
  </si>
  <si>
    <t>通上水</t>
  </si>
  <si>
    <t>通下水</t>
  </si>
  <si>
    <t>平整</t>
  </si>
  <si>
    <t>与级别开发程度不一致</t>
  </si>
  <si>
    <t>未包含在土地购买价格中</t>
  </si>
  <si>
    <t>已包含在土地取得成本中</t>
  </si>
  <si>
    <t>成本法 (元)</t>
  </si>
  <si>
    <t>容积率</t>
    <phoneticPr fontId="134" type="noConversion"/>
  </si>
  <si>
    <t>建筑面积</t>
    <phoneticPr fontId="134" type="noConversion"/>
  </si>
  <si>
    <t>土地面积</t>
    <phoneticPr fontId="134" type="noConversion"/>
  </si>
  <si>
    <t xml:space="preserve"> </t>
    <phoneticPr fontId="40" type="noConversion"/>
  </si>
  <si>
    <t xml:space="preserve"> </t>
    <phoneticPr fontId="24" type="noConversion"/>
  </si>
  <si>
    <t>较好</t>
    <phoneticPr fontId="24" type="noConversion"/>
  </si>
  <si>
    <t>较好</t>
    <phoneticPr fontId="40" type="noConversion"/>
  </si>
  <si>
    <t>七通</t>
    <phoneticPr fontId="24" type="noConversion"/>
  </si>
  <si>
    <t>500-1000米</t>
  </si>
  <si>
    <t>建成年代</t>
    <phoneticPr fontId="3" type="noConversion"/>
  </si>
  <si>
    <t>直线折旧</t>
    <phoneticPr fontId="3" type="noConversion"/>
  </si>
  <si>
    <t>观察成新</t>
    <phoneticPr fontId="3" type="noConversion"/>
  </si>
  <si>
    <t>综合</t>
    <phoneticPr fontId="3" type="noConversion"/>
  </si>
  <si>
    <t>现房</t>
  </si>
  <si>
    <t>项目局部</t>
  </si>
  <si>
    <t>楼面单价</t>
  </si>
  <si>
    <t>成本比率</t>
  </si>
  <si>
    <t>中国银行丰台支行</t>
    <phoneticPr fontId="6" type="noConversion"/>
  </si>
  <si>
    <t>朝阳区日坛北路17号院1号楼13层1301、1302号</t>
    <phoneticPr fontId="6" type="noConversion"/>
  </si>
  <si>
    <t>否</t>
  </si>
  <si>
    <t>较好</t>
  </si>
  <si>
    <t>好</t>
  </si>
  <si>
    <t>一般</t>
  </si>
  <si>
    <t>基准户型1301</t>
    <phoneticPr fontId="24" type="noConversion"/>
  </si>
  <si>
    <t>朝向</t>
    <phoneticPr fontId="3" type="noConversion"/>
  </si>
  <si>
    <t>西北</t>
  </si>
  <si>
    <t>西北</t>
    <phoneticPr fontId="24" type="noConversion"/>
  </si>
  <si>
    <t>西</t>
  </si>
  <si>
    <t>西</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</si>
</sst>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14" fontId="47" fillId="5" borderId="13" xfId="0" applyNumberFormat="1" applyFont="1" applyFill="1" applyBorder="1" applyAlignment="1" applyProtection="1">
      <alignment horizontal="left" vertical="center"/>
      <protection locked="0"/>
    </xf>
    <xf numFmtId="0" fontId="77" fillId="7" borderId="5" xfId="0" applyFont="1" applyFill="1" applyBorder="1" applyAlignment="1" applyProtection="1">
      <alignment vertical="center"/>
      <protection locked="0"/>
    </xf>
    <xf numFmtId="0" fontId="176" fillId="0" borderId="1" xfId="0" applyFont="1" applyFill="1" applyBorder="1" applyAlignment="1" applyProtection="1">
      <alignment horizontal="center" vertical="center"/>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504334</xdr:colOff>
      <xdr:row>10</xdr:row>
      <xdr:rowOff>85500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33334" cy="1800000"/>
        </a:xfrm>
        <a:prstGeom prst="rect">
          <a:avLst/>
        </a:prstGeom>
      </xdr:spPr>
    </xdr:pic>
    <xdr:clientData/>
  </xdr:twoCellAnchor>
  <xdr:twoCellAnchor editAs="oneCell">
    <xdr:from>
      <xdr:col>0</xdr:col>
      <xdr:colOff>0</xdr:colOff>
      <xdr:row>11</xdr:row>
      <xdr:rowOff>0</xdr:rowOff>
    </xdr:from>
    <xdr:to>
      <xdr:col>12</xdr:col>
      <xdr:colOff>75162</xdr:colOff>
      <xdr:row>39</xdr:row>
      <xdr:rowOff>151781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8304762" cy="4952381"/>
        </a:xfrm>
        <a:prstGeom prst="rect">
          <a:avLst/>
        </a:prstGeom>
      </xdr:spPr>
    </xdr:pic>
    <xdr:clientData/>
  </xdr:twoCellAnchor>
  <xdr:twoCellAnchor editAs="oneCell">
    <xdr:from>
      <xdr:col>0</xdr:col>
      <xdr:colOff>0</xdr:colOff>
      <xdr:row>40</xdr:row>
      <xdr:rowOff>0</xdr:rowOff>
    </xdr:from>
    <xdr:to>
      <xdr:col>12</xdr:col>
      <xdr:colOff>179924</xdr:colOff>
      <xdr:row>73</xdr:row>
      <xdr:rowOff>104055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858000"/>
          <a:ext cx="8409524" cy="5761905"/>
        </a:xfrm>
        <a:prstGeom prst="rect">
          <a:avLst/>
        </a:prstGeom>
      </xdr:spPr>
    </xdr:pic>
    <xdr:clientData/>
  </xdr:twoCellAnchor>
  <xdr:twoCellAnchor editAs="oneCell">
    <xdr:from>
      <xdr:col>0</xdr:col>
      <xdr:colOff>0</xdr:colOff>
      <xdr:row>74</xdr:row>
      <xdr:rowOff>0</xdr:rowOff>
    </xdr:from>
    <xdr:to>
      <xdr:col>4</xdr:col>
      <xdr:colOff>504419</xdr:colOff>
      <xdr:row>101</xdr:row>
      <xdr:rowOff>113707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687300"/>
          <a:ext cx="3247619" cy="4742857"/>
        </a:xfrm>
        <a:prstGeom prst="rect">
          <a:avLst/>
        </a:prstGeom>
      </xdr:spPr>
    </xdr:pic>
    <xdr:clientData/>
  </xdr:twoCellAnchor>
  <xdr:twoCellAnchor editAs="oneCell">
    <xdr:from>
      <xdr:col>5</xdr:col>
      <xdr:colOff>0</xdr:colOff>
      <xdr:row>74</xdr:row>
      <xdr:rowOff>0</xdr:rowOff>
    </xdr:from>
    <xdr:to>
      <xdr:col>10</xdr:col>
      <xdr:colOff>142429</xdr:colOff>
      <xdr:row>101</xdr:row>
      <xdr:rowOff>85136</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12687300"/>
          <a:ext cx="3571429" cy="4714286"/>
        </a:xfrm>
        <a:prstGeom prst="rect">
          <a:avLst/>
        </a:prstGeom>
      </xdr:spPr>
    </xdr:pic>
    <xdr:clientData/>
  </xdr:twoCellAnchor>
  <xdr:twoCellAnchor editAs="oneCell">
    <xdr:from>
      <xdr:col>10</xdr:col>
      <xdr:colOff>0</xdr:colOff>
      <xdr:row>74</xdr:row>
      <xdr:rowOff>0</xdr:rowOff>
    </xdr:from>
    <xdr:to>
      <xdr:col>15</xdr:col>
      <xdr:colOff>9095</xdr:colOff>
      <xdr:row>103</xdr:row>
      <xdr:rowOff>123188</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0" y="12687300"/>
          <a:ext cx="3438095" cy="50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438151</xdr:colOff>
      <xdr:row>36</xdr:row>
      <xdr:rowOff>46199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7981950" cy="6218399"/>
        </a:xfrm>
        <a:prstGeom prst="rect">
          <a:avLst/>
        </a:prstGeom>
      </xdr:spPr>
    </xdr:pic>
    <xdr:clientData/>
  </xdr:twoCellAnchor>
  <xdr:twoCellAnchor editAs="oneCell">
    <xdr:from>
      <xdr:col>0</xdr:col>
      <xdr:colOff>0</xdr:colOff>
      <xdr:row>35</xdr:row>
      <xdr:rowOff>14175</xdr:rowOff>
    </xdr:from>
    <xdr:to>
      <xdr:col>10</xdr:col>
      <xdr:colOff>303905</xdr:colOff>
      <xdr:row>66</xdr:row>
      <xdr:rowOff>23035</xdr:rowOff>
    </xdr:to>
    <xdr:pic>
      <xdr:nvPicPr>
        <xdr:cNvPr id="3" name="图片 2"/>
        <xdr:cNvPicPr>
          <a:picLocks noChangeAspect="1"/>
        </xdr:cNvPicPr>
      </xdr:nvPicPr>
      <xdr:blipFill>
        <a:blip xmlns:r="http://schemas.openxmlformats.org/officeDocument/2006/relationships" r:embed="rId2"/>
        <a:stretch>
          <a:fillRect/>
        </a:stretch>
      </xdr:blipFill>
      <xdr:spPr>
        <a:xfrm rot="5400000">
          <a:off x="919048" y="5095877"/>
          <a:ext cx="5323810" cy="7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北京市朝阳区日坛北路17号院1号楼13层1301、1302号房地产市场价值预评估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受贵公司委托，我公司对北京市朝阳区日坛北路17号院1号楼13层1301、1302号房地产市场价值进行了预评估。</v>
      </c>
    </row>
    <row r="7" spans="1:2" s="1203" customFormat="1">
      <c r="A7" s="1201" t="s">
        <v>566</v>
      </c>
      <c r="B7" s="1202" t="str">
        <f>'预评函-1'!A7</f>
        <v>估价对象为北京市朝阳区日坛北路17号院1号楼13层1301、1302号房地产，为所有。根据《国有土地使用证》[]，估价对象（分摊）出让国有建设用地使用权面积为0平方米，建筑面积为259.41平方米。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日坛北路17号院1号楼13层1301、1302号房地产,属开发建设的，该项目尚在开发建设中。根据《国有土地使用证》[]，估价对象（分摊）出让国有建设用地使用权面积为0平方米，规划建筑面积为259.41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为估价委托人在向中国银行丰台支行办理贷款手续过程中，确定房地产抵押贷款额度提供参考依据而评估房地产抵押价值。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883</v>
      </c>
    </row>
    <row r="21" spans="1:2" s="1203" customFormat="1">
      <c r="A21" s="1201" t="s">
        <v>537</v>
      </c>
      <c r="B21" s="1202">
        <f ca="1">'预评函-2'!D7</f>
        <v>34043</v>
      </c>
    </row>
    <row r="22" spans="1:2" s="1203" customFormat="1">
      <c r="A22" s="1201" t="s">
        <v>538</v>
      </c>
      <c r="B22" s="1202" t="str">
        <f ca="1">'预评函-2'!D6</f>
        <v>捌佰捌拾叁万元整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883</v>
      </c>
    </row>
    <row r="31" spans="1:2" s="1203" customFormat="1">
      <c r="A31" s="1201" t="s">
        <v>576</v>
      </c>
      <c r="B31" s="1202">
        <f ca="1">'预评函-2'!D15</f>
        <v>34043</v>
      </c>
    </row>
    <row r="32" spans="1:2" s="1203" customFormat="1">
      <c r="A32" s="1201" t="s">
        <v>543</v>
      </c>
      <c r="B32" s="1202" t="str">
        <f ca="1">'预评函-2'!D14</f>
        <v>捌佰捌拾叁万元整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北京市朝阳区日坛北路17号院1号楼13层1301、1302号房地产</v>
      </c>
    </row>
    <row r="42" spans="1:2" s="1203" customFormat="1">
      <c r="A42" s="1201" t="s">
        <v>590</v>
      </c>
      <c r="B42" s="1202" t="str">
        <f>'预评函-3'!B2</f>
        <v>建筑面积</v>
      </c>
    </row>
    <row r="43" spans="1:2" s="1203" customFormat="1">
      <c r="A43" s="1201" t="s">
        <v>591</v>
      </c>
      <c r="B43" s="1202">
        <f>'预评函-3'!B4</f>
        <v>259.41000000000003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788</v>
      </c>
    </row>
    <row r="48" spans="1:2" s="1203" customFormat="1">
      <c r="A48" s="1201" t="s">
        <v>549</v>
      </c>
      <c r="B48" s="1202">
        <f ca="1">'预评函-3'!E4</f>
        <v>30366</v>
      </c>
    </row>
    <row r="49" spans="1:2" s="1203" customFormat="1">
      <c r="A49" s="1201" t="s">
        <v>550</v>
      </c>
      <c r="B49" s="1202" t="str">
        <f ca="1">'预评函-3'!D5</f>
        <v>柒佰捌拾捌万元整</v>
      </c>
    </row>
    <row r="50" spans="1:2" s="1203" customFormat="1">
      <c r="A50" s="1201" t="s">
        <v>574</v>
      </c>
      <c r="B50" s="1202" t="str">
        <f>'预评函-3'!F2</f>
        <v>在建建筑物价值</v>
      </c>
    </row>
    <row r="51" spans="1:2" s="1203" customFormat="1">
      <c r="A51" s="1201" t="s">
        <v>551</v>
      </c>
      <c r="B51" s="1202">
        <f ca="1">'预评函-3'!F4</f>
        <v>95</v>
      </c>
    </row>
    <row r="52" spans="1:2" s="1203" customFormat="1">
      <c r="A52" s="1201" t="s">
        <v>552</v>
      </c>
      <c r="B52" s="1202">
        <f ca="1">'预评函-3'!G4</f>
        <v>3677</v>
      </c>
    </row>
    <row r="53" spans="1:2" s="1203" customFormat="1">
      <c r="A53" s="1201" t="s">
        <v>580</v>
      </c>
      <c r="B53" s="1202" t="str">
        <f ca="1">'预评函-3'!F5</f>
        <v>玖拾伍万元整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2574</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2575</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2287</v>
      </c>
      <c r="C17" s="1547"/>
    </row>
    <row r="18" spans="1:3">
      <c r="A18" s="1546" t="s">
        <v>1046</v>
      </c>
      <c r="B18" s="1546" t="s">
        <v>2430</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为估价委托人在向中国银行丰台支行办理贷款手续过程中，确定房地产抵押贷款额度提供参考依据而评估房地产抵押价值。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日坛北路17号院1号楼13层1301、1302号房地产作为抵押担保物，向中国银行丰台支行办理贷款手续。中国银行丰台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2497</v>
      </c>
      <c r="B1" s="3010"/>
      <c r="C1" s="3010"/>
      <c r="D1" s="3010"/>
      <c r="E1" s="3010"/>
      <c r="F1" s="3011"/>
      <c r="I1" s="3435" t="s">
        <v>2590</v>
      </c>
      <c r="J1" s="3223"/>
      <c r="K1" s="3223"/>
      <c r="L1" s="3223"/>
      <c r="M1" s="3223"/>
      <c r="N1" s="3436"/>
      <c r="O1" s="3436"/>
      <c r="P1" s="3436"/>
      <c r="Q1" s="3436"/>
      <c r="R1" s="3436"/>
    </row>
    <row r="2" spans="1:18">
      <c r="A2" s="3013"/>
      <c r="B2" s="3014"/>
      <c r="C2" s="3014"/>
      <c r="D2" s="3014"/>
      <c r="E2" s="3014"/>
      <c r="F2" s="3015"/>
      <c r="I2" s="3498" t="s">
        <v>2577</v>
      </c>
      <c r="J2" s="3498"/>
      <c r="K2" s="3498"/>
      <c r="L2" s="3498"/>
      <c r="M2" s="3498"/>
      <c r="N2" s="3498"/>
      <c r="O2" s="3498"/>
      <c r="P2" s="3498"/>
      <c r="Q2" s="3498"/>
      <c r="R2" s="3498"/>
    </row>
    <row r="3" spans="1:18">
      <c r="A3" s="3016" t="s">
        <v>2498</v>
      </c>
      <c r="B3" s="3017">
        <f>项目基本情况!D3</f>
        <v>44931</v>
      </c>
      <c r="C3" s="3019"/>
      <c r="D3" s="3019"/>
      <c r="E3" s="3019"/>
      <c r="F3" s="3015"/>
      <c r="I3" s="3437"/>
      <c r="J3" s="3437" t="s">
        <v>2581</v>
      </c>
      <c r="K3" s="3437" t="s">
        <v>2582</v>
      </c>
      <c r="L3" s="3437" t="s">
        <v>2583</v>
      </c>
      <c r="M3" s="3437" t="s">
        <v>2584</v>
      </c>
      <c r="N3" s="3438" t="s">
        <v>2585</v>
      </c>
      <c r="O3" s="3438" t="s">
        <v>2586</v>
      </c>
      <c r="P3" s="3438" t="s">
        <v>2587</v>
      </c>
      <c r="Q3" s="3438" t="s">
        <v>2588</v>
      </c>
      <c r="R3" s="3438" t="s">
        <v>2589</v>
      </c>
    </row>
    <row r="4" spans="1:18">
      <c r="A4" s="3016" t="s">
        <v>2499</v>
      </c>
      <c r="B4" s="3019" t="s">
        <v>2500</v>
      </c>
      <c r="C4" s="3019" t="s">
        <v>2501</v>
      </c>
      <c r="D4" s="3019" t="s">
        <v>2502</v>
      </c>
      <c r="E4" s="3019" t="s">
        <v>2503</v>
      </c>
      <c r="F4" s="3015"/>
      <c r="I4" s="3437" t="s">
        <v>2578</v>
      </c>
      <c r="J4" s="3437">
        <v>80</v>
      </c>
      <c r="K4" s="3437">
        <v>70</v>
      </c>
      <c r="L4" s="3437">
        <v>20</v>
      </c>
      <c r="M4" s="3437">
        <v>30</v>
      </c>
      <c r="N4" s="3019">
        <v>45</v>
      </c>
      <c r="O4" s="3019">
        <v>60</v>
      </c>
      <c r="P4" s="3019">
        <v>50</v>
      </c>
      <c r="Q4" s="3019">
        <v>20</v>
      </c>
      <c r="R4" s="3019">
        <v>375</v>
      </c>
    </row>
    <row r="5" spans="1:18">
      <c r="A5" s="3020">
        <v>40</v>
      </c>
      <c r="B5" s="3017">
        <v>46375</v>
      </c>
      <c r="C5" s="3019">
        <f>ROUNDDOWN(MIN((B5-B3)/365,A5),2)</f>
        <v>3.95</v>
      </c>
      <c r="D5" s="3021">
        <f>IF(ISERROR(ROUND(POWER(1+E5,A5-C5)*(POWER(1+E5,C5)-1)/(POWER(1+E5,A5)-1),3)),0,ROUND(POWER(1+E5,A5-C5)*(POWER(1+E5,C5)-1)/(POWER(1+E5,A5)-1),4))</f>
        <v>0.18129999999999999</v>
      </c>
      <c r="E5" s="3022">
        <v>0.04</v>
      </c>
      <c r="F5" s="3015"/>
      <c r="I5" s="3437" t="s">
        <v>2579</v>
      </c>
      <c r="J5" s="3437">
        <v>70</v>
      </c>
      <c r="K5" s="3437">
        <v>60</v>
      </c>
      <c r="L5" s="3437">
        <v>15</v>
      </c>
      <c r="M5" s="3437">
        <v>25</v>
      </c>
      <c r="N5" s="3019">
        <v>40</v>
      </c>
      <c r="O5" s="3019">
        <v>50</v>
      </c>
      <c r="P5" s="3019">
        <v>40</v>
      </c>
      <c r="Q5" s="3019">
        <v>15</v>
      </c>
      <c r="R5" s="3019">
        <v>315</v>
      </c>
    </row>
    <row r="6" spans="1:18">
      <c r="A6" s="3020">
        <v>50</v>
      </c>
      <c r="B6" s="3017">
        <v>50028</v>
      </c>
      <c r="C6" s="3019">
        <f>ROUNDDOWN(MIN((B6-B3)/365,A6),2)</f>
        <v>13.96</v>
      </c>
      <c r="D6" s="3021">
        <f>IF(ISERROR(ROUND(POWER(1+E6,A6-C6)*(POWER(1+E6,C6)-1)/(POWER(1+E6,A6)-1),3)),0,ROUND(POWER(1+E6,A6-C6)*(POWER(1+E6,C6)-1)/(POWER(1+E6,A6)-1),4))</f>
        <v>0.49070000000000003</v>
      </c>
      <c r="E6" s="3022">
        <v>0.04</v>
      </c>
      <c r="F6" s="3015"/>
      <c r="I6" s="3437" t="s">
        <v>2580</v>
      </c>
      <c r="J6" s="3437">
        <v>60</v>
      </c>
      <c r="K6" s="3437">
        <v>50</v>
      </c>
      <c r="L6" s="3437">
        <v>10</v>
      </c>
      <c r="M6" s="3437">
        <v>20</v>
      </c>
      <c r="N6" s="3019">
        <v>35</v>
      </c>
      <c r="O6" s="3019">
        <v>40</v>
      </c>
      <c r="P6" s="3019">
        <v>30</v>
      </c>
      <c r="Q6" s="3019">
        <v>10</v>
      </c>
      <c r="R6" s="3019">
        <v>255</v>
      </c>
    </row>
    <row r="7" spans="1:18">
      <c r="A7" s="3020">
        <v>70</v>
      </c>
      <c r="B7" s="3017">
        <v>57333</v>
      </c>
      <c r="C7" s="3019">
        <f>ROUNDDOWN(MIN((B7-B3)/365,A7),2)</f>
        <v>33.97</v>
      </c>
      <c r="D7" s="3021">
        <f>IF(ISERROR(ROUND(POWER(1+E7,A7-C7)*(POWER(1+E7,C7)-1)/(POWER(1+E7,A7)-1),3)),0,ROUND(POWER(1+E7,A7-C7)*(POWER(1+E7,C7)-1)/(POWER(1+E7,A7)-1),4))</f>
        <v>0.78669999999999995</v>
      </c>
      <c r="E7" s="3022">
        <v>0.04</v>
      </c>
      <c r="F7" s="3015"/>
    </row>
    <row r="8" spans="1:18">
      <c r="A8" s="3013"/>
      <c r="B8" s="3014"/>
      <c r="C8" s="3014"/>
      <c r="D8" s="3014"/>
      <c r="E8" s="3014"/>
      <c r="F8" s="3015"/>
    </row>
    <row r="9" spans="1:18">
      <c r="A9" s="3016" t="s">
        <v>2504</v>
      </c>
      <c r="B9" s="3019"/>
      <c r="C9" s="3019"/>
      <c r="D9" s="3019"/>
      <c r="E9" s="3019"/>
      <c r="F9" s="3023"/>
    </row>
    <row r="10" spans="1:18">
      <c r="A10" s="3016" t="s">
        <v>2505</v>
      </c>
      <c r="B10" s="3019"/>
      <c r="C10" s="3019"/>
      <c r="D10" s="3019" t="s">
        <v>2503</v>
      </c>
      <c r="E10" s="3019"/>
      <c r="F10" s="3023" t="s">
        <v>2502</v>
      </c>
    </row>
    <row r="11" spans="1:18">
      <c r="A11" s="3016" t="s">
        <v>2506</v>
      </c>
      <c r="B11" s="3024">
        <v>70</v>
      </c>
      <c r="C11" s="3019" t="s">
        <v>2507</v>
      </c>
      <c r="D11" s="3025">
        <v>4.4999999999999998E-2</v>
      </c>
      <c r="E11" s="3019" t="s">
        <v>2508</v>
      </c>
      <c r="F11" s="3026">
        <f>ROUND(1-(1/(POWER(1+D11,B11))),4)</f>
        <v>0.95409999999999995</v>
      </c>
    </row>
    <row r="12" spans="1:18">
      <c r="A12" s="3016" t="s">
        <v>2509</v>
      </c>
      <c r="B12" s="3024">
        <v>40</v>
      </c>
      <c r="C12" s="3019" t="s">
        <v>2510</v>
      </c>
      <c r="D12" s="3025">
        <v>4.4999999999999998E-2</v>
      </c>
      <c r="E12" s="3019" t="s">
        <v>2511</v>
      </c>
      <c r="F12" s="3026">
        <f>ROUND(1-(1/(POWER(1+D12,B12))),4)</f>
        <v>0.82809999999999995</v>
      </c>
    </row>
    <row r="13" spans="1:18">
      <c r="A13" s="3016" t="s">
        <v>2512</v>
      </c>
      <c r="B13" s="3019"/>
      <c r="C13" s="3019"/>
      <c r="D13" s="3014"/>
      <c r="E13" s="3014"/>
      <c r="F13" s="3015"/>
    </row>
    <row r="14" spans="1:18">
      <c r="A14" s="3016" t="s">
        <v>2513</v>
      </c>
      <c r="B14" s="3024">
        <v>5000</v>
      </c>
      <c r="C14" s="3018"/>
      <c r="D14" s="3014"/>
      <c r="E14" s="3014"/>
      <c r="F14" s="3015"/>
    </row>
    <row r="15" spans="1:18">
      <c r="A15" s="3016" t="s">
        <v>2514</v>
      </c>
      <c r="B15" s="3019">
        <f>ROUND(B14*F12/F11,2)</f>
        <v>4339.6899999999996</v>
      </c>
      <c r="C15" s="3019">
        <f>ROUND(F12/F11,4)</f>
        <v>0.8679</v>
      </c>
      <c r="D15" s="3014"/>
      <c r="E15" s="3014"/>
      <c r="F15" s="3015"/>
    </row>
    <row r="16" spans="1:18">
      <c r="A16" s="3016" t="s">
        <v>2515</v>
      </c>
      <c r="B16" s="3019"/>
      <c r="C16" s="3019"/>
      <c r="D16" s="3014"/>
      <c r="E16" s="3014"/>
      <c r="F16" s="3015"/>
    </row>
    <row r="17" spans="1:13">
      <c r="A17" s="3016" t="s">
        <v>2514</v>
      </c>
      <c r="B17" s="3025">
        <v>4810</v>
      </c>
      <c r="C17" s="3018"/>
      <c r="D17" s="3014"/>
      <c r="E17" s="3014"/>
      <c r="F17" s="3015"/>
    </row>
    <row r="18" spans="1:13" ht="14.25" thickBot="1">
      <c r="A18" s="3027" t="s">
        <v>2513</v>
      </c>
      <c r="B18" s="3028">
        <f>ROUND(B17*F11/F12,2)</f>
        <v>5541.87</v>
      </c>
      <c r="C18" s="3028">
        <f>ROUND(F11/F12,4)</f>
        <v>1.1521999999999999</v>
      </c>
      <c r="D18" s="3029"/>
      <c r="E18" s="3029"/>
      <c r="F18" s="3030"/>
    </row>
    <row r="19" spans="1:13" ht="14.25" thickBot="1"/>
    <row r="20" spans="1:13" s="3065" customFormat="1" ht="14.25" thickTop="1">
      <c r="A20" s="3062" t="s">
        <v>2516</v>
      </c>
      <c r="B20" s="3063"/>
      <c r="C20" s="3063"/>
      <c r="D20" s="3063"/>
      <c r="E20" s="3063"/>
      <c r="F20" s="3063"/>
      <c r="G20" s="3064"/>
      <c r="I20" s="3066" t="s">
        <v>2561</v>
      </c>
      <c r="J20" s="3066" t="s">
        <v>2566</v>
      </c>
      <c r="K20" s="3066"/>
      <c r="L20" s="3066"/>
      <c r="M20" s="3066"/>
    </row>
    <row r="21" spans="1:13">
      <c r="A21" s="3031"/>
      <c r="B21" s="3032" t="s">
        <v>2517</v>
      </c>
      <c r="C21" s="3032" t="s">
        <v>2518</v>
      </c>
      <c r="D21" s="3032" t="s">
        <v>2519</v>
      </c>
      <c r="E21" s="3032" t="s">
        <v>2520</v>
      </c>
      <c r="F21" s="3032" t="s">
        <v>2521</v>
      </c>
      <c r="G21" s="3033" t="s">
        <v>2522</v>
      </c>
      <c r="I21" s="3054">
        <v>5</v>
      </c>
      <c r="J21" s="3054">
        <v>54.2</v>
      </c>
    </row>
    <row r="22" spans="1:13">
      <c r="A22" s="3031" t="s">
        <v>2523</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2524</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2564</v>
      </c>
      <c r="M23" s="3054" t="s">
        <v>2565</v>
      </c>
    </row>
    <row r="24" spans="1:13">
      <c r="A24" s="3031" t="s">
        <v>2525</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2563</v>
      </c>
      <c r="M24" s="3054">
        <v>10</v>
      </c>
    </row>
    <row r="25" spans="1:13">
      <c r="A25" s="3031" t="s">
        <v>2526</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2567</v>
      </c>
      <c r="M25" s="3054">
        <v>8</v>
      </c>
    </row>
    <row r="26" spans="1:13">
      <c r="A26" s="3036"/>
      <c r="B26" s="3037"/>
      <c r="C26" s="3037"/>
      <c r="D26" s="3037"/>
      <c r="E26" s="3037"/>
      <c r="F26" s="3037"/>
      <c r="G26" s="3038"/>
      <c r="I26" s="3054">
        <v>30</v>
      </c>
      <c r="J26" s="3054">
        <v>90.5</v>
      </c>
      <c r="K26" s="3054">
        <f t="shared" si="2"/>
        <v>4.2000000000000028</v>
      </c>
      <c r="L26" s="3054" t="s">
        <v>2568</v>
      </c>
      <c r="M26" s="3054">
        <v>5</v>
      </c>
    </row>
    <row r="27" spans="1:13">
      <c r="A27" s="3036" t="s">
        <v>2527</v>
      </c>
      <c r="B27" s="3037"/>
      <c r="C27" s="3037"/>
      <c r="D27" s="3037"/>
      <c r="E27" s="3037"/>
      <c r="F27" s="3037"/>
      <c r="G27" s="3038"/>
      <c r="I27" s="3054">
        <v>35</v>
      </c>
      <c r="J27" s="3054">
        <v>93.8</v>
      </c>
      <c r="K27" s="3054">
        <f t="shared" si="2"/>
        <v>3.2999999999999972</v>
      </c>
      <c r="L27" s="3054" t="s">
        <v>2569</v>
      </c>
      <c r="M27" s="3054">
        <v>3</v>
      </c>
    </row>
    <row r="28" spans="1:13">
      <c r="A28" s="3036" t="s">
        <v>2528</v>
      </c>
      <c r="B28" s="3037"/>
      <c r="C28" s="3037"/>
      <c r="D28" s="3037"/>
      <c r="E28" s="3037"/>
      <c r="F28" s="3037"/>
      <c r="G28" s="3038"/>
      <c r="I28" s="3054">
        <v>40</v>
      </c>
      <c r="J28" s="3054">
        <v>96.4</v>
      </c>
      <c r="K28" s="3054">
        <f t="shared" si="2"/>
        <v>2.6000000000000085</v>
      </c>
      <c r="L28" s="3054" t="s">
        <v>2570</v>
      </c>
      <c r="M28" s="3054">
        <v>2</v>
      </c>
    </row>
    <row r="29" spans="1:13">
      <c r="A29" s="3036" t="s">
        <v>2529</v>
      </c>
      <c r="B29" s="3037"/>
      <c r="C29" s="3037"/>
      <c r="D29" s="3037"/>
      <c r="E29" s="3037"/>
      <c r="F29" s="3037"/>
      <c r="G29" s="3038"/>
      <c r="I29" s="3054">
        <v>45</v>
      </c>
      <c r="J29" s="3054">
        <v>98.4</v>
      </c>
      <c r="K29" s="3054">
        <f t="shared" si="2"/>
        <v>2</v>
      </c>
    </row>
    <row r="30" spans="1:13">
      <c r="A30" s="3036" t="s">
        <v>2530</v>
      </c>
      <c r="B30" s="3037"/>
      <c r="C30" s="3037"/>
      <c r="D30" s="3037"/>
      <c r="E30" s="3037"/>
      <c r="F30" s="3037"/>
      <c r="G30" s="3038"/>
      <c r="I30" s="3054">
        <v>50</v>
      </c>
      <c r="J30" s="3054">
        <v>100</v>
      </c>
      <c r="K30" s="3054">
        <f t="shared" si="2"/>
        <v>1.5999999999999943</v>
      </c>
    </row>
    <row r="31" spans="1:13">
      <c r="A31" s="3036" t="s">
        <v>2531</v>
      </c>
      <c r="B31" s="3037"/>
      <c r="C31" s="3037"/>
      <c r="D31" s="3037"/>
      <c r="E31" s="3037"/>
      <c r="F31" s="3037"/>
      <c r="G31" s="3038"/>
      <c r="I31" s="3054" t="s">
        <v>2562</v>
      </c>
    </row>
    <row r="32" spans="1:13">
      <c r="A32" s="3036" t="s">
        <v>2532</v>
      </c>
      <c r="B32" s="3037"/>
      <c r="C32" s="3037"/>
      <c r="D32" s="3037"/>
      <c r="E32" s="3037"/>
      <c r="F32" s="3037"/>
      <c r="G32" s="3038"/>
    </row>
    <row r="33" spans="1:13">
      <c r="A33" s="3036" t="s">
        <v>2533</v>
      </c>
      <c r="B33" s="3037"/>
      <c r="C33" s="3037"/>
      <c r="D33" s="3037"/>
      <c r="E33" s="3037"/>
      <c r="F33" s="3037"/>
      <c r="G33" s="3038"/>
      <c r="I33" s="3054" t="s">
        <v>2561</v>
      </c>
      <c r="J33" s="3054" t="s">
        <v>2571</v>
      </c>
    </row>
    <row r="34" spans="1:13">
      <c r="A34" s="3036" t="s">
        <v>2534</v>
      </c>
      <c r="B34" s="3037"/>
      <c r="C34" s="3037"/>
      <c r="D34" s="3037"/>
      <c r="E34" s="3037"/>
      <c r="F34" s="3037"/>
      <c r="G34" s="3038"/>
      <c r="I34" s="3054">
        <v>5</v>
      </c>
      <c r="J34" s="3054">
        <v>55.1</v>
      </c>
    </row>
    <row r="35" spans="1:13">
      <c r="A35" s="3036" t="s">
        <v>2535</v>
      </c>
      <c r="B35" s="3037"/>
      <c r="C35" s="3037"/>
      <c r="D35" s="3037"/>
      <c r="E35" s="3037"/>
      <c r="F35" s="3037"/>
      <c r="G35" s="3038"/>
      <c r="I35" s="3054">
        <v>10</v>
      </c>
      <c r="J35" s="3054">
        <v>67</v>
      </c>
      <c r="K35" s="3054">
        <f>J35-J34</f>
        <v>11.899999999999999</v>
      </c>
    </row>
    <row r="36" spans="1:13">
      <c r="A36" s="3036" t="s">
        <v>2536</v>
      </c>
      <c r="B36" s="3037"/>
      <c r="C36" s="3037"/>
      <c r="D36" s="3037"/>
      <c r="E36" s="3037"/>
      <c r="F36" s="3037"/>
      <c r="G36" s="3038"/>
      <c r="I36" s="3054">
        <v>15</v>
      </c>
      <c r="J36" s="3054">
        <v>76.3</v>
      </c>
      <c r="K36" s="3054">
        <f t="shared" ref="K36:K41" si="3">J36-J35</f>
        <v>9.2999999999999972</v>
      </c>
      <c r="L36" s="3054" t="s">
        <v>2564</v>
      </c>
      <c r="M36" s="3054" t="s">
        <v>2565</v>
      </c>
    </row>
    <row r="37" spans="1:13">
      <c r="A37" s="3036" t="s">
        <v>2537</v>
      </c>
      <c r="B37" s="3037"/>
      <c r="C37" s="3037"/>
      <c r="D37" s="3037"/>
      <c r="E37" s="3037"/>
      <c r="F37" s="3037"/>
      <c r="G37" s="3038"/>
      <c r="I37" s="3054">
        <v>20</v>
      </c>
      <c r="J37" s="3054">
        <v>83.6</v>
      </c>
      <c r="K37" s="3054">
        <f t="shared" si="3"/>
        <v>7.2999999999999972</v>
      </c>
      <c r="L37" s="3054" t="s">
        <v>2563</v>
      </c>
      <c r="M37" s="3054">
        <v>10</v>
      </c>
    </row>
    <row r="38" spans="1:13">
      <c r="A38" s="3036" t="s">
        <v>2538</v>
      </c>
      <c r="B38" s="3037"/>
      <c r="C38" s="3037"/>
      <c r="D38" s="3037"/>
      <c r="E38" s="3037"/>
      <c r="F38" s="3037"/>
      <c r="G38" s="3038"/>
      <c r="I38" s="3054">
        <v>25</v>
      </c>
      <c r="J38" s="3054">
        <v>89.3</v>
      </c>
      <c r="K38" s="3054">
        <f t="shared" si="3"/>
        <v>5.7000000000000028</v>
      </c>
      <c r="L38" s="3054" t="s">
        <v>2567</v>
      </c>
      <c r="M38" s="3054">
        <v>8</v>
      </c>
    </row>
    <row r="39" spans="1:13">
      <c r="A39" s="3036"/>
      <c r="B39" s="3037"/>
      <c r="C39" s="3037"/>
      <c r="D39" s="3037"/>
      <c r="E39" s="3037"/>
      <c r="F39" s="3037"/>
      <c r="G39" s="3038"/>
      <c r="I39" s="3054">
        <v>30</v>
      </c>
      <c r="J39" s="3054">
        <v>93.8</v>
      </c>
      <c r="K39" s="3054">
        <f t="shared" si="3"/>
        <v>4.5</v>
      </c>
      <c r="L39" s="3054" t="s">
        <v>2568</v>
      </c>
      <c r="M39" s="3054">
        <v>6</v>
      </c>
    </row>
    <row r="40" spans="1:13">
      <c r="A40" s="3039" t="s">
        <v>2539</v>
      </c>
      <c r="B40" s="3040"/>
      <c r="C40" s="3040"/>
      <c r="D40" s="3040"/>
      <c r="E40" s="3040"/>
      <c r="F40" s="3040"/>
      <c r="G40" s="3041"/>
      <c r="I40" s="3054">
        <v>35</v>
      </c>
      <c r="J40" s="3054">
        <v>97.2</v>
      </c>
      <c r="K40" s="3054">
        <f t="shared" si="3"/>
        <v>3.4000000000000057</v>
      </c>
      <c r="L40" s="3054" t="s">
        <v>2569</v>
      </c>
      <c r="M40" s="3054">
        <v>3</v>
      </c>
    </row>
    <row r="41" spans="1:13">
      <c r="A41" s="3042" t="s">
        <v>2540</v>
      </c>
      <c r="B41" s="3043" t="s">
        <v>2541</v>
      </c>
      <c r="C41" s="3044" t="s">
        <v>2542</v>
      </c>
      <c r="D41" s="3044" t="s">
        <v>2543</v>
      </c>
      <c r="E41" s="3045"/>
      <c r="F41" s="3046"/>
      <c r="G41" s="3047"/>
      <c r="I41" s="3054">
        <v>40</v>
      </c>
      <c r="J41" s="3054">
        <v>100</v>
      </c>
      <c r="K41" s="3054">
        <f t="shared" si="3"/>
        <v>2.7999999999999972</v>
      </c>
    </row>
    <row r="42" spans="1:13">
      <c r="A42" s="3042" t="s">
        <v>2544</v>
      </c>
      <c r="B42" s="3043" t="s">
        <v>2545</v>
      </c>
      <c r="C42" s="3044" t="s">
        <v>2546</v>
      </c>
      <c r="D42" s="3048" t="s">
        <v>2547</v>
      </c>
      <c r="E42" s="3040" t="s">
        <v>2548</v>
      </c>
      <c r="F42" s="3040"/>
      <c r="G42" s="3041"/>
    </row>
    <row r="43" spans="1:13">
      <c r="A43" s="3042" t="s">
        <v>2549</v>
      </c>
      <c r="B43" s="3043" t="s">
        <v>2550</v>
      </c>
      <c r="C43" s="3044" t="s">
        <v>2551</v>
      </c>
      <c r="D43" s="3044" t="s">
        <v>2552</v>
      </c>
      <c r="E43" s="3045" t="s">
        <v>2553</v>
      </c>
      <c r="F43" s="3046"/>
      <c r="G43" s="3047"/>
      <c r="I43" s="3054" t="s">
        <v>2561</v>
      </c>
      <c r="J43" s="3054" t="s">
        <v>2572</v>
      </c>
    </row>
    <row r="44" spans="1:13">
      <c r="A44" s="3042" t="s">
        <v>2554</v>
      </c>
      <c r="B44" s="3043" t="s">
        <v>2555</v>
      </c>
      <c r="C44" s="3044" t="s">
        <v>2556</v>
      </c>
      <c r="D44" s="3048">
        <v>0.5</v>
      </c>
      <c r="E44" s="3045" t="s">
        <v>2557</v>
      </c>
      <c r="F44" s="3046"/>
      <c r="G44" s="3047"/>
      <c r="I44" s="3054">
        <v>30</v>
      </c>
      <c r="J44" s="3054">
        <v>81.7</v>
      </c>
    </row>
    <row r="45" spans="1:13" ht="14.25" thickBot="1">
      <c r="A45" s="3049" t="s">
        <v>2558</v>
      </c>
      <c r="B45" s="3050" t="s">
        <v>2545</v>
      </c>
      <c r="C45" s="3051" t="s">
        <v>2545</v>
      </c>
      <c r="D45" s="3051" t="s">
        <v>2559</v>
      </c>
      <c r="E45" s="3052" t="s">
        <v>2560</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3" sqref="E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07" t="str">
        <f>IF(B10="北京市","北京市",C10)&amp;F10&amp;IF(结果表!G1="在建","出让国有建设用地使用权及在建建筑物",IF(结果表!G1="土地","出让国有建设用地使用权",))&amp;B9&amp;"预评估"</f>
        <v>北京市朝阳区日坛北路17号院1号楼13层1301、1302号房地产市场价值预评估</v>
      </c>
      <c r="C1" s="3508"/>
      <c r="D1" s="3508"/>
      <c r="E1" s="3508"/>
      <c r="F1" s="3508"/>
      <c r="G1" s="3508"/>
      <c r="H1" s="3508"/>
      <c r="I1" s="3509"/>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北京市朝阳区日坛北路17号院1号楼13层1301、1302号房地产市场价值</v>
      </c>
      <c r="T1" s="1745"/>
      <c r="U1" s="1745"/>
      <c r="V1" s="1745"/>
      <c r="W1" s="1745"/>
      <c r="X1" s="1745"/>
      <c r="Y1" s="1745"/>
      <c r="Z1" s="1745"/>
      <c r="AA1" s="1745"/>
      <c r="AB1" s="1745"/>
    </row>
    <row r="2" spans="1:30">
      <c r="A2" s="2367" t="s">
        <v>2167</v>
      </c>
      <c r="B2" s="2371"/>
      <c r="C2" s="2372"/>
      <c r="D2" s="2666"/>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北京市朝阳区日坛北路17号院1号楼13层1301、1302号房地产</v>
      </c>
      <c r="T2" s="1745"/>
      <c r="U2" s="1745"/>
      <c r="V2" s="1745"/>
      <c r="W2" s="1745"/>
      <c r="X2" s="1745"/>
      <c r="Y2" s="1745"/>
      <c r="Z2" s="1745"/>
      <c r="AA2" s="1745"/>
      <c r="AB2" s="1745"/>
    </row>
    <row r="3" spans="1:30">
      <c r="A3" s="302" t="s">
        <v>2168</v>
      </c>
      <c r="B3" s="3451">
        <v>44931</v>
      </c>
      <c r="C3" s="2374" t="s">
        <v>2169</v>
      </c>
      <c r="D3" s="2373">
        <f>B3</f>
        <v>44931</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3369</v>
      </c>
      <c r="C4" s="2376">
        <f ca="1">SUMIF(注册房地产估价师,B4,估价师及机构信息!B3:B24)</f>
        <v>1120100036</v>
      </c>
      <c r="D4" s="2375" t="s">
        <v>3370</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3452" t="s">
        <v>3418</v>
      </c>
      <c r="C6" s="2384"/>
      <c r="D6" s="2385"/>
      <c r="E6" s="2659"/>
      <c r="F6" s="2661"/>
      <c r="G6" s="2661"/>
      <c r="H6" s="2661"/>
      <c r="I6" s="2661"/>
      <c r="J6" s="2438"/>
      <c r="K6" s="2612" t="str">
        <f>IF(COUNTIF(B6,"*上海银行*"),"上海银行","")</f>
        <v/>
      </c>
      <c r="L6" s="2610"/>
      <c r="M6" s="2610"/>
      <c r="N6" s="2438"/>
      <c r="O6" s="2449"/>
      <c r="P6" s="2438"/>
      <c r="Q6" s="2438"/>
      <c r="R6" s="2438"/>
    </row>
    <row r="7" spans="1:30">
      <c r="A7" s="2383" t="s">
        <v>2173</v>
      </c>
      <c r="B7" s="2386"/>
      <c r="C7" s="2384"/>
      <c r="D7" s="2385"/>
      <c r="E7" s="2659"/>
      <c r="F7" s="2661"/>
      <c r="G7" s="2661"/>
      <c r="H7" s="2661"/>
      <c r="I7" s="2661"/>
      <c r="J7" s="2438"/>
      <c r="K7" s="2613"/>
      <c r="L7" s="2610"/>
      <c r="M7" s="2610"/>
      <c r="N7" s="2438"/>
      <c r="O7" s="2449"/>
      <c r="P7" s="2438"/>
      <c r="Q7" s="2438"/>
      <c r="R7" s="2438"/>
    </row>
    <row r="8" spans="1:30">
      <c r="A8" s="2387" t="s">
        <v>2174</v>
      </c>
      <c r="B8" s="2388" t="s">
        <v>3371</v>
      </c>
      <c r="C8" s="2389"/>
      <c r="D8" s="3510" t="s">
        <v>2175</v>
      </c>
      <c r="E8" s="2390" t="s">
        <v>3372</v>
      </c>
      <c r="F8" s="2391"/>
      <c r="G8" s="2660"/>
      <c r="H8" s="2660"/>
      <c r="I8" s="2660"/>
      <c r="J8" s="2438"/>
      <c r="K8" s="2611"/>
      <c r="L8" s="2610"/>
      <c r="M8" s="2610"/>
      <c r="N8" s="2438"/>
      <c r="O8" s="2449"/>
      <c r="P8" s="2438"/>
      <c r="Q8" s="2438"/>
      <c r="R8" s="2438"/>
    </row>
    <row r="9" spans="1:30" ht="13.5" thickBot="1">
      <c r="A9" s="2392" t="s">
        <v>2176</v>
      </c>
      <c r="B9" s="2393" t="s">
        <v>3373</v>
      </c>
      <c r="C9" s="2394"/>
      <c r="D9" s="3511"/>
      <c r="E9" s="2393" t="s">
        <v>43</v>
      </c>
      <c r="F9" s="2395"/>
      <c r="G9" s="2662"/>
      <c r="H9" s="2662"/>
      <c r="I9" s="2662"/>
      <c r="J9" s="2438"/>
      <c r="K9" s="2613"/>
      <c r="L9" s="2610"/>
      <c r="M9" s="2610"/>
      <c r="N9" s="2438"/>
      <c r="O9" s="2449"/>
      <c r="P9" s="2438"/>
      <c r="Q9" s="2438"/>
      <c r="R9" s="2438"/>
    </row>
    <row r="10" spans="1:30" ht="13.5" thickTop="1">
      <c r="A10" s="2396" t="s">
        <v>2177</v>
      </c>
      <c r="B10" s="2397" t="s">
        <v>3374</v>
      </c>
      <c r="C10" s="2398"/>
      <c r="D10" s="2382"/>
      <c r="E10" s="2399" t="s">
        <v>2178</v>
      </c>
      <c r="F10" s="3444" t="s">
        <v>3419</v>
      </c>
      <c r="G10" s="2663"/>
      <c r="H10" s="2664"/>
      <c r="I10" s="2665"/>
      <c r="J10" s="2438"/>
      <c r="K10" s="2613"/>
      <c r="L10" s="2610"/>
      <c r="M10" s="2610"/>
      <c r="N10" s="2438"/>
      <c r="O10" s="2449"/>
      <c r="P10" s="2438"/>
      <c r="Q10" s="2438"/>
      <c r="R10" s="2438"/>
    </row>
    <row r="11" spans="1:30">
      <c r="A11" s="2400" t="s">
        <v>2179</v>
      </c>
      <c r="B11" s="2401" t="s">
        <v>3375</v>
      </c>
      <c r="C11" s="2402"/>
      <c r="D11" s="2403"/>
      <c r="E11" s="2370"/>
      <c r="F11" s="2370"/>
      <c r="G11" s="2370"/>
      <c r="H11" s="2370"/>
      <c r="I11" s="2370"/>
      <c r="J11" s="3057"/>
      <c r="K11" s="3056"/>
      <c r="L11" s="2610"/>
      <c r="M11" s="2610"/>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5" t="s">
        <v>2573</v>
      </c>
      <c r="J12" s="3058"/>
      <c r="K12" s="2610"/>
      <c r="L12" s="2610"/>
      <c r="M12" s="2438"/>
      <c r="N12" s="2449"/>
      <c r="O12" s="2438"/>
      <c r="P12" s="2438"/>
      <c r="Q12" s="2438"/>
      <c r="AD12" s="1745"/>
    </row>
    <row r="13" spans="1:30">
      <c r="A13" s="3421" t="s">
        <v>3335</v>
      </c>
      <c r="B13" s="2406" t="s">
        <v>2188</v>
      </c>
      <c r="C13" s="856"/>
      <c r="D13" s="856"/>
      <c r="E13" s="856">
        <v>55462</v>
      </c>
      <c r="F13" s="856"/>
      <c r="G13" s="856"/>
      <c r="H13" s="856"/>
      <c r="I13" s="856"/>
      <c r="J13" s="3058"/>
      <c r="K13" s="2610"/>
      <c r="L13" s="2610"/>
      <c r="M13" s="2438"/>
      <c r="N13" s="2449"/>
      <c r="O13" s="2438"/>
      <c r="P13" s="2438"/>
      <c r="Q13" s="2438"/>
      <c r="AD13" s="1745"/>
    </row>
    <row r="14" spans="1:30">
      <c r="A14" s="1081"/>
      <c r="B14" s="2406" t="s">
        <v>2189</v>
      </c>
      <c r="C14" s="2407"/>
      <c r="D14" s="2407"/>
      <c r="E14" s="2407">
        <v>50</v>
      </c>
      <c r="F14" s="2407"/>
      <c r="G14" s="2407"/>
      <c r="H14" s="2407"/>
      <c r="I14" s="2407"/>
      <c r="J14" s="3059"/>
      <c r="K14" s="2610"/>
      <c r="L14" s="2610"/>
      <c r="M14" s="2438"/>
      <c r="N14" s="2449"/>
      <c r="O14" s="2438"/>
      <c r="P14" s="2438"/>
      <c r="Q14" s="2438"/>
      <c r="AD14" s="1745"/>
    </row>
    <row r="15" spans="1:30">
      <c r="A15" s="320"/>
      <c r="B15" s="2408" t="s">
        <v>2190</v>
      </c>
      <c r="C15" s="2409" t="str">
        <f>IF(A13="出让",IF(C13="","",ROUNDDOWN(MIN((C13-$D$3)/365,C14),2)),C14)</f>
        <v/>
      </c>
      <c r="D15" s="2409" t="str">
        <f>IF(A13="出让",IF(D13="","",ROUNDDOWN(MIN((D13-$D$3)/365,D14),2)),D14)</f>
        <v/>
      </c>
      <c r="E15" s="2409">
        <f>IF(A13="出让",IF(E13="","",ROUNDDOWN(MIN((E13-$D$3)/365,E14),2)),E14)</f>
        <v>28.85</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0"/>
      <c r="K15" s="2450"/>
      <c r="L15" s="2450"/>
      <c r="M15" s="2506"/>
      <c r="N15" s="2450"/>
      <c r="O15" s="2506"/>
      <c r="P15" s="2438"/>
      <c r="Q15" s="2438"/>
      <c r="AD15" s="1745"/>
    </row>
    <row r="16" spans="1:30">
      <c r="A16" s="2399" t="s">
        <v>2191</v>
      </c>
      <c r="B16" s="3517"/>
      <c r="C16" s="3518"/>
      <c r="D16" s="3519"/>
      <c r="E16" s="2412" t="s">
        <v>2192</v>
      </c>
      <c r="F16" s="3520"/>
      <c r="G16" s="3521"/>
      <c r="H16" s="3521"/>
      <c r="I16" s="3522"/>
      <c r="J16" s="2438"/>
      <c r="K16" s="2614"/>
      <c r="L16" s="2450"/>
      <c r="M16" s="2450"/>
      <c r="N16" s="2506"/>
      <c r="O16" s="2450"/>
      <c r="P16" s="2506"/>
      <c r="Q16" s="2438"/>
      <c r="R16" s="2438"/>
    </row>
    <row r="17" spans="1:28">
      <c r="A17" s="313" t="s">
        <v>2193</v>
      </c>
      <c r="B17" s="302" t="s">
        <v>2194</v>
      </c>
      <c r="C17" s="8">
        <f>'数据-汇总表'!E3</f>
        <v>259.41000000000003</v>
      </c>
      <c r="D17" s="2322" t="s">
        <v>2195</v>
      </c>
      <c r="E17" s="3523" t="s">
        <v>2196</v>
      </c>
      <c r="F17" s="3524"/>
      <c r="G17" s="3524"/>
      <c r="H17" s="3524"/>
      <c r="I17" s="3525"/>
      <c r="J17" s="2438"/>
      <c r="K17" s="2615"/>
      <c r="L17" s="2450"/>
      <c r="M17" s="2450"/>
      <c r="N17" s="2506"/>
      <c r="O17" s="2450"/>
      <c r="P17" s="2506"/>
      <c r="Q17" s="2438"/>
      <c r="R17" s="2438"/>
      <c r="S17" s="2438"/>
      <c r="T17" s="2438"/>
      <c r="U17" s="2438"/>
      <c r="V17" s="2438"/>
    </row>
    <row r="18" spans="1:28" ht="24.75" thickBot="1">
      <c r="A18" s="2413" t="s">
        <v>2197</v>
      </c>
      <c r="B18" s="1090" t="s">
        <v>2198</v>
      </c>
      <c r="C18" s="2414">
        <f>'数据-汇总表'!D3</f>
        <v>0</v>
      </c>
      <c r="D18" s="1092" t="s">
        <v>2199</v>
      </c>
      <c r="E18" s="3526" t="s">
        <v>2200</v>
      </c>
      <c r="F18" s="3527"/>
      <c r="G18" s="3527"/>
      <c r="H18" s="3527"/>
      <c r="I18" s="3528"/>
      <c r="J18" s="2438"/>
      <c r="K18" s="2615"/>
      <c r="L18" s="2450"/>
      <c r="M18" s="2450"/>
      <c r="N18" s="2506"/>
      <c r="O18" s="2450"/>
      <c r="P18" s="2506"/>
      <c r="Q18" s="2438"/>
      <c r="R18" s="2438"/>
      <c r="S18" s="2438"/>
      <c r="T18" s="2438"/>
      <c r="U18" s="2438"/>
      <c r="V18" s="2438"/>
    </row>
    <row r="19" spans="1:28" ht="37.5" thickTop="1" thickBot="1">
      <c r="A19" s="327" t="s">
        <v>1055</v>
      </c>
      <c r="B19" s="307" t="s">
        <v>2201</v>
      </c>
      <c r="C19" s="1563"/>
      <c r="D19" s="1564" t="s">
        <v>2202</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2203</v>
      </c>
      <c r="B20" s="3513" t="s">
        <v>2204</v>
      </c>
      <c r="C20" s="3514"/>
      <c r="D20" s="3515" t="s">
        <v>2205</v>
      </c>
      <c r="E20" s="3516"/>
      <c r="F20" s="2644" t="s">
        <v>1056</v>
      </c>
      <c r="G20" s="2661"/>
      <c r="H20" s="2661"/>
      <c r="I20" s="2661"/>
      <c r="J20" s="2438"/>
      <c r="K20" s="3512"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2207</v>
      </c>
      <c r="C21" s="2631" t="s">
        <v>1057</v>
      </c>
      <c r="D21" s="1568" t="s">
        <v>2208</v>
      </c>
      <c r="E21" s="2632" t="s">
        <v>1057</v>
      </c>
      <c r="F21" s="2645"/>
      <c r="G21" s="2661"/>
      <c r="H21" s="2661"/>
      <c r="I21" s="2661"/>
      <c r="J21" s="2438"/>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2209</v>
      </c>
      <c r="C22" s="2631" t="s">
        <v>1058</v>
      </c>
      <c r="D22" s="2660"/>
      <c r="E22" s="2660"/>
      <c r="F22" s="2660"/>
      <c r="G22" s="2661"/>
      <c r="H22" s="2661"/>
      <c r="I22" s="2661"/>
      <c r="J22" s="2438"/>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2210</v>
      </c>
      <c r="B23" s="2499" t="s">
        <v>2211</v>
      </c>
      <c r="C23" s="2635"/>
      <c r="D23" s="2636" t="s">
        <v>2211</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00" t="s">
        <v>2212</v>
      </c>
      <c r="B27" s="320" t="s">
        <v>2213</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500"/>
      <c r="B28" s="302" t="s">
        <v>2214</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00"/>
      <c r="B29" s="302" t="s">
        <v>2215</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01"/>
      <c r="B30" s="302" t="s">
        <v>2216</v>
      </c>
      <c r="C30" s="3502"/>
      <c r="D30" s="3503"/>
      <c r="E30" s="2661"/>
      <c r="F30" s="2661"/>
      <c r="G30" s="2661"/>
      <c r="H30" s="2661"/>
      <c r="I30" s="2661"/>
      <c r="J30" s="2438"/>
      <c r="K30" s="2613"/>
      <c r="L30" s="2610"/>
      <c r="M30" s="2610"/>
      <c r="N30" s="2438"/>
      <c r="O30" s="2449"/>
      <c r="P30" s="2438"/>
      <c r="Q30" s="2438"/>
      <c r="R30" s="2438"/>
      <c r="S30" s="2438"/>
      <c r="T30" s="2438"/>
      <c r="U30" s="2438"/>
      <c r="V30" s="2438"/>
    </row>
    <row r="31" spans="1:28">
      <c r="A31" s="3504" t="s">
        <v>2217</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05"/>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05"/>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2218</v>
      </c>
      <c r="B34" s="2026"/>
      <c r="C34" s="2026"/>
      <c r="D34" s="2026"/>
      <c r="E34" s="2026"/>
      <c r="F34" s="2026"/>
      <c r="G34" s="2026"/>
      <c r="H34" s="2026"/>
      <c r="I34" s="2661"/>
      <c r="J34" s="2438"/>
      <c r="K34" s="2426">
        <f>COUNTIF(B34:H34,"——")</f>
        <v>0</v>
      </c>
      <c r="L34" s="323" t="s">
        <v>2219</v>
      </c>
      <c r="M34" s="323" t="s">
        <v>2220</v>
      </c>
      <c r="N34" s="323" t="s">
        <v>2221</v>
      </c>
      <c r="O34" s="323" t="s">
        <v>2222</v>
      </c>
      <c r="P34" s="323" t="s">
        <v>2223</v>
      </c>
      <c r="Q34" s="323" t="s">
        <v>2224</v>
      </c>
      <c r="R34" s="323" t="s">
        <v>2225</v>
      </c>
      <c r="S34" s="3499" t="s">
        <v>2226</v>
      </c>
      <c r="T34" s="2427" t="str">
        <f>NUMBERSTRING(7-K34,1)&amp;"通"</f>
        <v>七通</v>
      </c>
      <c r="U34" s="2438"/>
      <c r="V34" s="2438"/>
    </row>
    <row r="35" spans="1:30">
      <c r="A35" s="2428"/>
      <c r="B35" s="3506" t="s">
        <v>2227</v>
      </c>
      <c r="C35" s="3506"/>
      <c r="D35" s="3506"/>
      <c r="E35" s="3506"/>
      <c r="F35" s="664">
        <f>C10</f>
        <v>0</v>
      </c>
      <c r="G35" s="2661"/>
      <c r="H35" s="2661"/>
      <c r="I35" s="266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9"/>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1" t="s">
        <v>2576</v>
      </c>
      <c r="G36" s="2661"/>
      <c r="H36" s="2661"/>
      <c r="I36" s="2661"/>
      <c r="J36" s="2438"/>
      <c r="K36" s="2613"/>
      <c r="L36" s="2610"/>
      <c r="M36" s="2610"/>
      <c r="N36" s="2438"/>
      <c r="O36" s="2449"/>
      <c r="P36" s="2438"/>
      <c r="Q36" s="2438"/>
      <c r="R36" s="2438"/>
      <c r="S36" s="2438"/>
      <c r="T36" s="2438"/>
      <c r="U36" s="2438"/>
      <c r="V36" s="2438"/>
    </row>
    <row r="37" spans="1:30">
      <c r="A37" s="2627" t="s">
        <v>2228</v>
      </c>
      <c r="B37" s="2430"/>
      <c r="C37" s="2430" t="s">
        <v>144</v>
      </c>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2229</v>
      </c>
      <c r="B38" s="2431"/>
      <c r="C38" s="2431" t="s">
        <v>145</v>
      </c>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2231</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T57" sqref="T57"/>
      <selection pane="topRight" activeCell="T57" sqref="T57"/>
      <selection pane="bottomLeft" activeCell="T57" sqref="T57"/>
      <selection pane="bottomRight" activeCell="K35" sqref="K3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456.71000000000004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456.71000000000004</v>
      </c>
      <c r="H5" s="13">
        <f t="shared" ref="H5:AT5" si="0">SUM(H13:H656)</f>
        <v>456.71000000000004</v>
      </c>
      <c r="I5" s="13">
        <f t="shared" si="0"/>
        <v>456.71000000000004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259.41000000000003</v>
      </c>
      <c r="BA5" s="15">
        <f t="shared" si="1"/>
        <v>259.41000000000003</v>
      </c>
      <c r="BB5" s="15">
        <f t="shared" si="1"/>
        <v>259.41000000000003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1301</v>
      </c>
      <c r="D13" s="1625" t="s">
        <v>3376</v>
      </c>
      <c r="E13" s="13">
        <f>IF($C$3="是",ROUND($A$3*G13/$B$3,2),ROUND($A$3*(G13-AT13)/$B$3,2))</f>
        <v>0</v>
      </c>
      <c r="F13" s="29"/>
      <c r="G13" s="30">
        <f>H13+AC13+AT13</f>
        <v>259.41000000000003</v>
      </c>
      <c r="H13" s="17">
        <f>SUMIF(I$12:AB$12,"总值",I13:AB13)</f>
        <v>259.41000000000003</v>
      </c>
      <c r="I13" s="1626">
        <v>259.41000000000003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1301</v>
      </c>
      <c r="AY13" s="1349">
        <f>ROUND($AY$6*AZ13/$AZ$5,2)</f>
        <v>0</v>
      </c>
      <c r="AZ13" s="13">
        <f>BA13+BL13</f>
        <v>259.41000000000003</v>
      </c>
      <c r="BA13" s="13">
        <f>SUM(BB13:BK13)</f>
        <v>259.41000000000003</v>
      </c>
      <c r="BB13" s="13">
        <f>IF($D13="是",I13-J13,0)</f>
        <v>259.41000000000003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1302</v>
      </c>
      <c r="D14" s="1625" t="s">
        <v>3420</v>
      </c>
      <c r="E14" s="13">
        <f>IF($C$3="是",ROUND($A$3*G14/$B$3,2),ROUND($A$3*(G14-AT14)/$B$3,2))</f>
        <v>0</v>
      </c>
      <c r="F14" s="29"/>
      <c r="G14" s="30">
        <f>H14+AC14+AT14</f>
        <v>197.3</v>
      </c>
      <c r="H14" s="17">
        <f>SUMIF(I$12:AB$12,"总值",I14:AB14)</f>
        <v>197.3</v>
      </c>
      <c r="I14" s="1626">
        <v>197.3</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1302</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1" sqref="F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6"/>
      <c r="G2" s="2647"/>
      <c r="H2" s="2648"/>
      <c r="I2" s="2325" t="s">
        <v>1132</v>
      </c>
      <c r="J2" s="2656"/>
      <c r="K2" s="2656"/>
      <c r="L2" s="2656"/>
      <c r="M2" s="2656"/>
      <c r="N2" s="2658"/>
      <c r="O2" s="2656"/>
      <c r="P2" s="2656"/>
    </row>
    <row r="3" spans="1:16" ht="15.75" thickBot="1">
      <c r="A3" s="3539" t="s">
        <v>1105</v>
      </c>
      <c r="B3" s="3539"/>
      <c r="C3" s="3539"/>
      <c r="D3" s="43">
        <f>'数据-基础表'!AY6</f>
        <v>0</v>
      </c>
      <c r="E3" s="43">
        <f>'数据-基础表'!AZ5</f>
        <v>259.41000000000003</v>
      </c>
      <c r="F3" s="2656"/>
      <c r="G3" s="1145"/>
      <c r="H3" s="1026" t="s">
        <v>1106</v>
      </c>
      <c r="I3" s="855" t="e">
        <f>ROUND('数据-基础表'!B3/'数据-基础表'!A3,2)</f>
        <v>#DIV/0!</v>
      </c>
      <c r="J3" s="2656"/>
      <c r="K3" s="2656"/>
      <c r="L3" s="2656"/>
      <c r="M3" s="2656"/>
      <c r="N3" s="2658"/>
      <c r="O3" s="2656"/>
      <c r="P3" s="2656"/>
    </row>
    <row r="4" spans="1:16" ht="15">
      <c r="A4" s="3540"/>
      <c r="B4" s="3541"/>
      <c r="C4" s="3542"/>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43" t="s">
        <v>1110</v>
      </c>
      <c r="C5" s="3543"/>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43" t="s">
        <v>1111</v>
      </c>
      <c r="C6" s="3543"/>
      <c r="D6" s="45">
        <f>ROUND($D$3*E6/$E$3,2)</f>
        <v>0</v>
      </c>
      <c r="E6" s="46">
        <f>E3-E5</f>
        <v>259.41000000000003</v>
      </c>
      <c r="F6" s="2656"/>
      <c r="G6" s="2650" t="s">
        <v>1112</v>
      </c>
      <c r="H6" s="1146" t="s">
        <v>1113</v>
      </c>
      <c r="I6" s="2651" t="e">
        <f>ROUND(F31/D31,2)</f>
        <v>#DIV/0!</v>
      </c>
      <c r="J6" s="2656"/>
      <c r="K6" s="2656"/>
      <c r="L6" s="2656"/>
      <c r="M6" s="2656"/>
      <c r="N6" s="2656"/>
      <c r="O6" s="2656"/>
      <c r="P6" s="2656"/>
    </row>
    <row r="7" spans="1:16" ht="15.75" thickBot="1">
      <c r="A7" s="3535"/>
      <c r="B7" s="3536"/>
      <c r="C7" s="3537"/>
      <c r="D7" s="1641" t="s">
        <v>1107</v>
      </c>
      <c r="E7" s="1645" t="s">
        <v>1114</v>
      </c>
      <c r="F7" s="2656"/>
      <c r="G7" s="2652" t="s">
        <v>1115</v>
      </c>
      <c r="H7" s="2653"/>
      <c r="I7" s="2654">
        <f>基准地价修正!C21</f>
        <v>3.5</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259.41000000000003</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259.41000000000003</v>
      </c>
      <c r="F16" s="2656"/>
      <c r="G16" s="2657"/>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3379</v>
      </c>
      <c r="D19" s="45">
        <f>ROUND($D$3*E19/$E$3,2)</f>
        <v>0</v>
      </c>
      <c r="E19" s="53">
        <f t="shared" ref="E19:E26" si="1">SUM(F19:G19)</f>
        <v>259.41000000000003</v>
      </c>
      <c r="F19" s="2791">
        <f>'数据-基础表'!I13</f>
        <v>259.41000000000003</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259.41000000000003</v>
      </c>
    </row>
    <row r="20" spans="1:19">
      <c r="A20" s="1670"/>
      <c r="B20" s="47" t="s">
        <v>1153</v>
      </c>
      <c r="C20" s="3415"/>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259.41000000000003</v>
      </c>
      <c r="F27" s="1140">
        <f>IF(SUM(F19:F26)=E8,SUM(F19:F26),"地上面积有误")</f>
        <v>259.41000000000003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259.41000000000003</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259.41000000000003</v>
      </c>
      <c r="F31" s="677">
        <f>F27+F30</f>
        <v>259.41000000000003</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T57" sqref="T57"/>
      <selection pane="topRight" activeCell="T57" sqref="T57"/>
      <selection pane="bottomLeft" activeCell="T57" sqref="T57"/>
      <selection pane="bottomRight" activeCell="G25" sqref="G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44931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IF(B6="","",SUMIF(项目基本情况!C$12:H$12,C6,项目基本情况!C$13:H$13))</f>
        <v>55462</v>
      </c>
      <c r="F6" s="64">
        <f>SUMIF(项目基本情况!C$12:I$12,C6,项目基本情况!C$15:I$15)</f>
        <v>28.85</v>
      </c>
      <c r="G6" s="65">
        <f>IF(ISERROR(ROUND(POWER(1+H6,D6-F6)*(POWER(1+H6,F6)-1)/(POWER(1+H6,D6)-1),3)),0,ROUND(POWER(1+H6,D6-F6)*(POWER(1+H6,F6)-1)/(POWER(1+H6,D6)-1),3))</f>
        <v>0.82699999999999996</v>
      </c>
      <c r="H6" s="732">
        <v>0.05</v>
      </c>
      <c r="I6" s="732">
        <v>5.5E-2</v>
      </c>
      <c r="J6" s="66">
        <v>0.08</v>
      </c>
      <c r="K6" s="1030">
        <f>SUMIF('数据-汇总表'!C$19:C$33,A6,'数据-汇总表'!E$19:E$33)</f>
        <v>259.41000000000003</v>
      </c>
      <c r="L6" s="733">
        <v>4000</v>
      </c>
      <c r="M6" s="67">
        <f t="shared" ref="M6:M14" si="0">ROUND(K6*L6/10000,0)</f>
        <v>104</v>
      </c>
      <c r="N6" s="731">
        <f>N21</f>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6">
        <v>4</v>
      </c>
      <c r="V6" s="70">
        <v>0.03</v>
      </c>
      <c r="W6" s="70">
        <v>0.1</v>
      </c>
      <c r="X6" s="1040"/>
      <c r="Y6" s="71">
        <f>N6</f>
        <v>0.85</v>
      </c>
      <c r="Z6" s="72"/>
      <c r="AA6" s="66"/>
      <c r="AB6" s="66"/>
      <c r="AC6" s="1040"/>
      <c r="AD6" s="73"/>
      <c r="AE6" s="1041">
        <f ca="1">IF(AN6="",0,SUMIF(INDIRECT("'"&amp;AN6&amp;"'"&amp;"!E:E"),$AE$5,INDIRECT("'"&amp;AN6&amp;"'"&amp;"!F:F")))</f>
        <v>28.85</v>
      </c>
      <c r="AF6" s="1348"/>
      <c r="AG6" s="138">
        <f>IF(AF6="",0,AE6-AF6)</f>
        <v>0</v>
      </c>
      <c r="AH6" s="74"/>
      <c r="AI6" s="76">
        <v>365</v>
      </c>
      <c r="AJ6" s="77"/>
      <c r="AK6" s="78">
        <v>8.0000000000000002E-3</v>
      </c>
      <c r="AL6" s="79">
        <v>1E-3</v>
      </c>
      <c r="AM6" s="80">
        <v>0.01</v>
      </c>
      <c r="AN6" s="1715" t="s">
        <v>3381</v>
      </c>
      <c r="AO6" s="52">
        <f ca="1">SUMIF(INDIRECT("'"&amp;AN6&amp;"'"&amp;"!A:A"),"总价",INDIRECT("'"&amp;AN6&amp;"'"&amp;"!B:B"))</f>
        <v>606.73239999999998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0.82699999999999996</v>
      </c>
      <c r="H16" s="90">
        <f>ROUND(SUMPRODUCT(H6:H13,K6:K13)/SUMPRODUCT((H6:H13&gt;0)*(K6:K13)),3)</f>
        <v>0.05</v>
      </c>
      <c r="I16" s="91"/>
      <c r="J16" s="91"/>
      <c r="K16" s="92">
        <f>SUM(K6:K15)</f>
        <v>259.41000000000003</v>
      </c>
      <c r="L16" s="93">
        <f>ROUND(M16*10000/SUM(K6:K14),0)</f>
        <v>4009</v>
      </c>
      <c r="M16" s="93">
        <f>SUM(M6:M14)</f>
        <v>104</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2299</v>
      </c>
      <c r="D19" s="2672"/>
      <c r="E19" s="2669"/>
      <c r="F19" s="2669"/>
      <c r="G19" s="2669"/>
      <c r="H19" s="2669"/>
      <c r="I19" s="2669"/>
      <c r="J19" s="2669"/>
      <c r="K19" s="2668"/>
      <c r="L19" s="2668"/>
      <c r="M19" s="3449" t="s">
        <v>3410</v>
      </c>
      <c r="N19" s="2667">
        <v>2007</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2.5</v>
      </c>
      <c r="C20" s="2796" t="s">
        <v>2297</v>
      </c>
      <c r="D20" s="2672"/>
      <c r="E20" s="2669"/>
      <c r="F20" s="2669"/>
      <c r="G20" s="2669"/>
      <c r="H20" s="2669"/>
      <c r="I20" s="2669"/>
      <c r="J20" s="2669"/>
      <c r="K20" s="2668"/>
      <c r="L20" s="2668"/>
      <c r="M20" s="3449" t="s">
        <v>3411</v>
      </c>
      <c r="N20" s="2667">
        <f>ROUND(1-(2023-2007)/60,2)</f>
        <v>0.73</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v>2.5</v>
      </c>
      <c r="C21" s="2669"/>
      <c r="D21" s="2672"/>
      <c r="E21" s="2669"/>
      <c r="F21" s="2669"/>
      <c r="G21" s="2669"/>
      <c r="H21" s="2669"/>
      <c r="I21" s="2669"/>
      <c r="J21" s="2669"/>
      <c r="K21" s="2668"/>
      <c r="L21" s="2668"/>
      <c r="M21" s="3449" t="s">
        <v>3412</v>
      </c>
      <c r="N21" s="3450">
        <v>0.85</v>
      </c>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2.5</v>
      </c>
      <c r="C22" s="2669"/>
      <c r="D22" s="2672"/>
      <c r="E22" s="2669"/>
      <c r="F22" s="2669"/>
      <c r="G22" s="2669"/>
      <c r="H22" s="2669"/>
      <c r="I22" s="2669"/>
      <c r="J22" s="2669"/>
      <c r="K22" s="2668"/>
      <c r="L22" s="2668"/>
      <c r="M22" s="3449" t="s">
        <v>3413</v>
      </c>
      <c r="N22" s="2667">
        <f>ROUND((N21+N20)/2,2)</f>
        <v>0.79</v>
      </c>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2.5</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2301</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51882</v>
      </c>
      <c r="C29" s="2798" t="s">
        <v>2288</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99" t="s">
        <v>2289</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2290</v>
      </c>
      <c r="D34" s="2680" t="s">
        <v>2298</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9" t="s">
        <v>2291</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2292</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0.03</v>
      </c>
      <c r="C37" s="2799" t="s">
        <v>2293</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0.03</v>
      </c>
      <c r="C38" s="2799" t="s">
        <v>2293</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3382</v>
      </c>
      <c r="B40" s="1078">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2302</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2294</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2295</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2303</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2294</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2296</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t="s">
        <v>184</v>
      </c>
      <c r="C53" s="2658" t="s">
        <v>1246</v>
      </c>
      <c r="D53" s="2800" t="s">
        <v>2300</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T57" sqref="T57"/>
      <selection pane="topRight" activeCell="T57" sqref="T57"/>
      <selection pane="bottomLeft" activeCell="T57" sqref="T57"/>
      <selection pane="bottomRight" activeCell="F36" sqref="F36"/>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44" t="s">
        <v>2280</v>
      </c>
      <c r="B1" s="3545"/>
      <c r="C1" s="3545"/>
      <c r="D1" s="3545"/>
      <c r="E1" s="3545"/>
      <c r="F1" s="3545"/>
      <c r="G1" s="354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2276</v>
      </c>
      <c r="D2" s="2460"/>
      <c r="E2" s="2457"/>
      <c r="F2" s="2461"/>
      <c r="G2" s="2459" t="s">
        <v>2277</v>
      </c>
      <c r="H2" s="799"/>
      <c r="I2" s="799"/>
      <c r="J2" s="799"/>
      <c r="K2" s="799"/>
      <c r="L2" s="799"/>
      <c r="M2" s="799"/>
      <c r="N2" s="799"/>
      <c r="O2" s="799"/>
      <c r="P2" s="799"/>
      <c r="Q2" s="799"/>
      <c r="R2" s="799"/>
    </row>
    <row r="3" spans="1:29" ht="25.5">
      <c r="A3" s="2440" t="s">
        <v>2278</v>
      </c>
      <c r="B3" s="2462" t="s">
        <v>2250</v>
      </c>
      <c r="C3" s="3446" t="s">
        <v>3404</v>
      </c>
      <c r="D3" s="2463"/>
      <c r="E3" s="2441" t="s">
        <v>2278</v>
      </c>
      <c r="F3" s="2464" t="s">
        <v>2251</v>
      </c>
      <c r="G3" s="2465" t="s">
        <v>2279</v>
      </c>
      <c r="H3" s="799"/>
      <c r="I3" s="799"/>
      <c r="J3" s="799"/>
      <c r="K3" s="799"/>
      <c r="L3" s="799"/>
      <c r="M3" s="799"/>
      <c r="N3" s="799"/>
      <c r="O3" s="799"/>
      <c r="P3" s="799"/>
      <c r="Q3" s="799"/>
      <c r="R3" s="799"/>
    </row>
    <row r="4" spans="1:29" ht="36">
      <c r="A4" s="2441"/>
      <c r="B4" s="323" t="s">
        <v>2252</v>
      </c>
      <c r="C4" s="3447" t="s">
        <v>3405</v>
      </c>
      <c r="D4" s="2463"/>
      <c r="E4" s="2466"/>
      <c r="F4" s="1373" t="s">
        <v>2253</v>
      </c>
      <c r="G4" s="2467" t="s">
        <v>2254</v>
      </c>
      <c r="H4" s="799"/>
      <c r="I4" s="799"/>
      <c r="J4" s="799"/>
      <c r="K4" s="799"/>
      <c r="L4" s="799"/>
      <c r="M4" s="799"/>
      <c r="N4" s="799"/>
      <c r="O4" s="799"/>
      <c r="P4" s="799"/>
      <c r="Q4" s="799"/>
      <c r="R4" s="799"/>
    </row>
    <row r="5" spans="1:29" ht="24">
      <c r="A5" s="2441"/>
      <c r="B5" s="323" t="s">
        <v>2255</v>
      </c>
      <c r="C5" s="3447" t="s">
        <v>3406</v>
      </c>
      <c r="D5" s="2463"/>
      <c r="E5" s="2466"/>
      <c r="F5" s="323" t="s">
        <v>2256</v>
      </c>
      <c r="G5" s="2467" t="s">
        <v>2257</v>
      </c>
      <c r="H5" s="799"/>
      <c r="I5" s="799"/>
      <c r="J5" s="799"/>
      <c r="K5" s="799"/>
      <c r="L5" s="799"/>
      <c r="M5" s="799"/>
      <c r="N5" s="799"/>
      <c r="O5" s="799"/>
      <c r="P5" s="799"/>
      <c r="Q5" s="799"/>
      <c r="R5" s="799"/>
    </row>
    <row r="6" spans="1:29">
      <c r="A6" s="2441"/>
      <c r="B6" s="323" t="s">
        <v>2258</v>
      </c>
      <c r="C6" s="3448" t="s">
        <v>3407</v>
      </c>
      <c r="D6" s="2463"/>
      <c r="E6" s="2466"/>
      <c r="F6" s="323" t="s">
        <v>2259</v>
      </c>
      <c r="G6" s="2467" t="s">
        <v>2260</v>
      </c>
      <c r="H6" s="799"/>
      <c r="I6" s="799"/>
      <c r="J6" s="799"/>
      <c r="K6" s="799"/>
      <c r="L6" s="799"/>
      <c r="M6" s="799"/>
      <c r="N6" s="799"/>
      <c r="O6" s="799"/>
      <c r="P6" s="799"/>
      <c r="Q6" s="799"/>
      <c r="R6" s="799"/>
    </row>
    <row r="7" spans="1:29" ht="24.75" thickBot="1">
      <c r="A7" s="2441"/>
      <c r="B7" s="323" t="s">
        <v>2256</v>
      </c>
      <c r="C7" s="3448" t="s">
        <v>3407</v>
      </c>
      <c r="D7" s="2468"/>
      <c r="E7" s="2469"/>
      <c r="F7" s="2470" t="s">
        <v>2261</v>
      </c>
      <c r="G7" s="2471" t="s">
        <v>2262</v>
      </c>
      <c r="H7" s="799"/>
      <c r="I7" s="799"/>
      <c r="J7" s="799"/>
      <c r="K7" s="799"/>
      <c r="L7" s="799"/>
      <c r="M7" s="799"/>
      <c r="N7" s="799"/>
      <c r="O7" s="799"/>
      <c r="P7" s="799"/>
      <c r="Q7" s="799"/>
      <c r="R7" s="799"/>
    </row>
    <row r="8" spans="1:29">
      <c r="A8" s="2441"/>
      <c r="B8" s="323" t="s">
        <v>2259</v>
      </c>
      <c r="C8" s="3448" t="s">
        <v>3408</v>
      </c>
      <c r="D8" s="2468"/>
      <c r="E8" s="2468"/>
      <c r="F8" s="2472"/>
      <c r="G8" s="2472"/>
      <c r="H8" s="799"/>
      <c r="I8" s="799"/>
      <c r="J8" s="799"/>
      <c r="K8" s="799"/>
      <c r="L8" s="799"/>
      <c r="M8" s="799"/>
      <c r="N8" s="799"/>
      <c r="O8" s="799"/>
      <c r="P8" s="799"/>
      <c r="Q8" s="799"/>
      <c r="R8" s="799"/>
    </row>
    <row r="9" spans="1:29">
      <c r="A9" s="2441"/>
      <c r="B9" s="323" t="s">
        <v>2263</v>
      </c>
      <c r="C9" s="3447" t="s">
        <v>3407</v>
      </c>
      <c r="D9" s="2463"/>
      <c r="E9" s="2468"/>
      <c r="F9" s="2472"/>
      <c r="G9" s="2472"/>
      <c r="H9" s="799"/>
      <c r="I9" s="799"/>
      <c r="J9" s="799"/>
      <c r="K9" s="799"/>
      <c r="L9" s="799"/>
      <c r="M9" s="799"/>
      <c r="N9" s="799"/>
      <c r="O9" s="799"/>
      <c r="P9" s="799"/>
      <c r="Q9" s="799"/>
      <c r="R9" s="799"/>
    </row>
    <row r="10" spans="1:29" s="2478" customFormat="1" ht="15" thickBot="1">
      <c r="A10" s="2442"/>
      <c r="B10" s="2473" t="s">
        <v>2264</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2281</v>
      </c>
      <c r="B13" s="2481"/>
      <c r="C13" s="2481"/>
      <c r="D13" s="2479"/>
      <c r="E13" s="2481"/>
      <c r="F13" s="2481"/>
      <c r="G13" s="2481"/>
    </row>
    <row r="14" spans="1:29" ht="15" thickBot="1">
      <c r="A14" s="2491"/>
      <c r="B14" s="2491"/>
      <c r="C14" s="2492" t="s">
        <v>2265</v>
      </c>
      <c r="D14" s="2463"/>
      <c r="E14" s="2493"/>
      <c r="F14" s="2493"/>
      <c r="G14" s="2459" t="s">
        <v>2266</v>
      </c>
    </row>
    <row r="15" spans="1:29" ht="25.5">
      <c r="A15" s="2443" t="s">
        <v>2267</v>
      </c>
      <c r="B15" s="2494" t="s">
        <v>2250</v>
      </c>
      <c r="C15" s="2495" t="str">
        <f>C3</f>
        <v xml:space="preserve"> </v>
      </c>
      <c r="D15" s="2463"/>
      <c r="E15" s="2444" t="s">
        <v>2268</v>
      </c>
      <c r="F15" s="2494" t="s">
        <v>2269</v>
      </c>
      <c r="G15" s="2496" t="str">
        <f>G3</f>
        <v>估价对象位于XX开发区，园区建设成熟度XX，产业集聚程度XX</v>
      </c>
    </row>
    <row r="16" spans="1:29" ht="38.25">
      <c r="A16" s="2445"/>
      <c r="B16" s="2497" t="s">
        <v>2252</v>
      </c>
      <c r="C16" s="2498" t="str">
        <f>C4</f>
        <v xml:space="preserve"> </v>
      </c>
      <c r="D16" s="2463"/>
      <c r="E16" s="2446"/>
      <c r="F16" s="2499" t="s">
        <v>2253</v>
      </c>
      <c r="G16" s="2500" t="str">
        <f>G4</f>
        <v>估价对象周边道路状况、公共交通通达情况、停车便捷程度，综合评价交通便捷度较好</v>
      </c>
    </row>
    <row r="17" spans="1:18">
      <c r="A17" s="2445"/>
      <c r="B17" s="2497" t="s">
        <v>2255</v>
      </c>
      <c r="C17" s="2498" t="str">
        <f>C5</f>
        <v>较好</v>
      </c>
      <c r="D17" s="2468"/>
      <c r="E17" s="2446"/>
      <c r="F17" s="2499" t="s">
        <v>2270</v>
      </c>
      <c r="G17" s="2501"/>
    </row>
    <row r="18" spans="1:18" ht="25.5">
      <c r="A18" s="2445"/>
      <c r="B18" s="2499" t="s">
        <v>2258</v>
      </c>
      <c r="C18" s="2500" t="str">
        <f>C6</f>
        <v>较好</v>
      </c>
      <c r="D18" s="2468"/>
      <c r="E18" s="2446"/>
      <c r="F18" s="2499" t="s">
        <v>2261</v>
      </c>
      <c r="G18" s="2500" t="str">
        <f>G7</f>
        <v>该园区内是否有污染型企业，绿化情况，卫生条件，整体环境状况判断</v>
      </c>
    </row>
    <row r="19" spans="1:18" ht="25.5">
      <c r="A19" s="2445"/>
      <c r="B19" s="2499" t="s">
        <v>2271</v>
      </c>
      <c r="C19" s="2501"/>
      <c r="D19" s="2463"/>
      <c r="E19" s="2446"/>
      <c r="F19" s="323" t="s">
        <v>2256</v>
      </c>
      <c r="G19" s="2500" t="str">
        <f>G5</f>
        <v>估价对象所在区域公共配套设施齐备情况</v>
      </c>
    </row>
    <row r="20" spans="1:18">
      <c r="A20" s="2445"/>
      <c r="B20" s="2499" t="s">
        <v>2272</v>
      </c>
      <c r="C20" s="2498" t="str">
        <f>C9</f>
        <v>较好</v>
      </c>
      <c r="D20" s="2468"/>
      <c r="E20" s="2446"/>
      <c r="F20" s="323" t="s">
        <v>2259</v>
      </c>
      <c r="G20" s="2500" t="str">
        <f>G6</f>
        <v>估价对象所在区域基础设施水平</v>
      </c>
    </row>
    <row r="21" spans="1:18">
      <c r="A21" s="2445"/>
      <c r="B21" s="323" t="s">
        <v>2256</v>
      </c>
      <c r="C21" s="2500" t="str">
        <f>C7</f>
        <v>较好</v>
      </c>
      <c r="D21" s="2463"/>
      <c r="E21" s="2446"/>
      <c r="F21" s="2499" t="s">
        <v>2273</v>
      </c>
      <c r="G21" s="2502"/>
    </row>
    <row r="22" spans="1:18" ht="13.5" customHeight="1">
      <c r="A22" s="2445"/>
      <c r="B22" s="323" t="s">
        <v>2259</v>
      </c>
      <c r="C22" s="2500" t="str">
        <f>C8</f>
        <v>七通</v>
      </c>
      <c r="D22" s="2463"/>
      <c r="E22" s="2446"/>
      <c r="F22" s="2499" t="s">
        <v>2264</v>
      </c>
      <c r="G22" s="2501"/>
    </row>
    <row r="23" spans="1:18" s="799" customFormat="1" ht="15" thickBot="1">
      <c r="A23" s="2445"/>
      <c r="B23" s="2499" t="s">
        <v>2273</v>
      </c>
      <c r="C23" s="2502"/>
      <c r="D23" s="1741"/>
      <c r="E23" s="2447"/>
      <c r="F23" s="2503" t="s">
        <v>2274</v>
      </c>
      <c r="G23" s="2504"/>
      <c r="H23" s="2488"/>
      <c r="I23" s="2489"/>
      <c r="J23" s="2488"/>
      <c r="K23" s="2488"/>
      <c r="L23" s="2489"/>
      <c r="M23" s="2488"/>
      <c r="N23" s="2488"/>
      <c r="O23" s="2489"/>
      <c r="P23" s="2488"/>
      <c r="Q23" s="2488"/>
      <c r="R23" s="2490"/>
    </row>
    <row r="24" spans="1:18" s="799" customFormat="1" ht="15" thickBot="1">
      <c r="A24" s="2448"/>
      <c r="B24" s="2503" t="s">
        <v>2275</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E14" sqref="E1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259.41000000000003</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44931</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883</v>
      </c>
      <c r="C5" s="2509">
        <f ca="1">IF(B5=D14,结果表!H102,ROUND(B5*10000/$B$1,0))</f>
        <v>34043</v>
      </c>
      <c r="D5" s="2509" t="e">
        <f ca="1">ROUND(B5*10000/$B$2,0)</f>
        <v>#DIV/0!</v>
      </c>
      <c r="E5" s="2682"/>
      <c r="F5" s="2683"/>
      <c r="G5" s="2683"/>
      <c r="H5" s="2684"/>
      <c r="I5" s="2684"/>
      <c r="J5" s="2684"/>
      <c r="K5" s="2684"/>
    </row>
    <row r="6" spans="1:11" ht="16.5">
      <c r="A6" s="2509" t="s">
        <v>656</v>
      </c>
      <c r="B6" s="2509">
        <f ca="1">SUM(G14:G23)</f>
        <v>883</v>
      </c>
      <c r="C6" s="2509">
        <f ca="1">IF(B6=G14,结果表!H108,ROUND(B6*10000/$B$1,0))</f>
        <v>34043</v>
      </c>
      <c r="D6" s="2509" t="e">
        <f ca="1">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SUM(I14:I23)</f>
        <v>0</v>
      </c>
      <c r="C8" s="2509" t="str">
        <f>IF(B8=I14,结果表!H112,ROUND(B8*10000/$B$1,0))</f>
        <v>——</v>
      </c>
      <c r="D8" s="2509" t="e">
        <f>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3361</v>
      </c>
      <c r="D10" s="2509" t="s">
        <v>3362</v>
      </c>
      <c r="E10" s="3439"/>
      <c r="F10" s="3443" t="s">
        <v>3363</v>
      </c>
      <c r="G10" s="3440"/>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典型户型修正!B24</f>
        <v>259.41000000000003</v>
      </c>
      <c r="C14" s="2515">
        <v>0</v>
      </c>
      <c r="D14" s="2515">
        <f ca="1">典型户型修正!S24</f>
        <v>883</v>
      </c>
      <c r="E14" s="2515">
        <f ca="1">ROUND(D14*10000/B14,0)</f>
        <v>34039</v>
      </c>
      <c r="F14" s="2515" t="e">
        <f ca="1">ROUND(D14*10000/C14,0)</f>
        <v>#DIV/0!</v>
      </c>
      <c r="G14" s="2515">
        <f ca="1">D14</f>
        <v>883</v>
      </c>
      <c r="H14" s="2515">
        <v>0</v>
      </c>
      <c r="I14" s="2515">
        <v>0</v>
      </c>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N38" sqref="N3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3414</v>
      </c>
      <c r="H1" s="1750" t="str">
        <f>IF(G1="现房","——","估价对象范围")</f>
        <v>——</v>
      </c>
      <c r="I1" s="1751" t="s">
        <v>3415</v>
      </c>
    </row>
    <row r="2" spans="1:12" ht="21.75" customHeight="1" thickBot="1">
      <c r="A2" s="3580" t="str">
        <f>项目基本情况!S2</f>
        <v>北京市朝阳区日坛北路17号院1号楼13层1301、1302号房地产</v>
      </c>
      <c r="B2" s="3581"/>
      <c r="C2" s="3581"/>
      <c r="D2" s="3581"/>
      <c r="E2" s="3581"/>
      <c r="F2" s="3581"/>
      <c r="G2" s="3581"/>
      <c r="H2" s="3581"/>
      <c r="I2" s="3582"/>
    </row>
    <row r="3" spans="1:12" ht="12.75">
      <c r="A3" s="3584" t="s">
        <v>1264</v>
      </c>
      <c r="B3" s="3585"/>
      <c r="C3" s="3585"/>
      <c r="D3" s="3585"/>
      <c r="E3" s="3585"/>
      <c r="F3" s="3585"/>
      <c r="G3" s="3585"/>
      <c r="H3" s="3585"/>
      <c r="I3" s="3585"/>
    </row>
    <row r="4" spans="1:12" ht="14.25">
      <c r="A4" s="1754" t="s">
        <v>1265</v>
      </c>
      <c r="B4" s="1755" t="s">
        <v>1266</v>
      </c>
      <c r="C4" s="1756" t="s">
        <v>3400</v>
      </c>
      <c r="D4" s="1756" t="s">
        <v>3381</v>
      </c>
      <c r="E4" s="3586" t="s">
        <v>1267</v>
      </c>
      <c r="F4" s="3587"/>
      <c r="G4" s="3587"/>
      <c r="H4" s="3587"/>
      <c r="I4" s="358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547">
        <v>25</v>
      </c>
      <c r="C5" s="3563"/>
      <c r="D5" s="3583"/>
      <c r="E5" s="131" t="s">
        <v>1269</v>
      </c>
      <c r="F5" s="1757"/>
      <c r="G5" s="1757"/>
      <c r="H5" s="1757"/>
      <c r="I5" s="1373"/>
    </row>
    <row r="6" spans="1:12" ht="12.75">
      <c r="A6" s="3560"/>
      <c r="B6" s="3547"/>
      <c r="C6" s="3564"/>
      <c r="D6" s="3583"/>
      <c r="E6" s="131" t="s">
        <v>1270</v>
      </c>
      <c r="F6" s="1757"/>
      <c r="G6" s="1757"/>
      <c r="H6" s="1757"/>
      <c r="I6" s="1373"/>
    </row>
    <row r="7" spans="1:12" ht="12.75">
      <c r="A7" s="3560"/>
      <c r="B7" s="3547"/>
      <c r="C7" s="3565"/>
      <c r="D7" s="3583"/>
      <c r="E7" s="131" t="s">
        <v>1271</v>
      </c>
      <c r="F7" s="1757"/>
      <c r="G7" s="1757"/>
      <c r="H7" s="1757"/>
      <c r="I7" s="1373"/>
    </row>
    <row r="8" spans="1:12" ht="12.75">
      <c r="A8" s="3560" t="s">
        <v>1272</v>
      </c>
      <c r="B8" s="3547">
        <v>15</v>
      </c>
      <c r="C8" s="3563"/>
      <c r="D8" s="3583"/>
      <c r="E8" s="131" t="s">
        <v>1273</v>
      </c>
      <c r="F8" s="1757"/>
      <c r="G8" s="1757"/>
      <c r="H8" s="1757"/>
      <c r="I8" s="1373"/>
    </row>
    <row r="9" spans="1:12" ht="12.75">
      <c r="A9" s="3560"/>
      <c r="B9" s="3547"/>
      <c r="C9" s="3565"/>
      <c r="D9" s="3583"/>
      <c r="E9" s="131" t="s">
        <v>1274</v>
      </c>
      <c r="F9" s="1757"/>
      <c r="G9" s="1757"/>
      <c r="H9" s="1757"/>
      <c r="I9" s="1373"/>
    </row>
    <row r="10" spans="1:12" ht="12.75">
      <c r="A10" s="3560" t="s">
        <v>1275</v>
      </c>
      <c r="B10" s="3547">
        <v>15</v>
      </c>
      <c r="C10" s="3563"/>
      <c r="D10" s="3583"/>
      <c r="E10" s="131" t="s">
        <v>1276</v>
      </c>
      <c r="F10" s="1757"/>
      <c r="G10" s="1757"/>
      <c r="H10" s="1757"/>
      <c r="I10" s="1373"/>
    </row>
    <row r="11" spans="1:12" ht="12.75">
      <c r="A11" s="3560"/>
      <c r="B11" s="3547"/>
      <c r="C11" s="3565"/>
      <c r="D11" s="3583"/>
      <c r="E11" s="131" t="s">
        <v>1277</v>
      </c>
      <c r="F11" s="1757"/>
      <c r="G11" s="1757"/>
      <c r="H11" s="1757"/>
      <c r="I11" s="1373"/>
    </row>
    <row r="12" spans="1:12" ht="12.75">
      <c r="A12" s="3560" t="s">
        <v>1278</v>
      </c>
      <c r="B12" s="3547">
        <v>15</v>
      </c>
      <c r="C12" s="3563"/>
      <c r="D12" s="3583"/>
      <c r="E12" s="131" t="s">
        <v>1279</v>
      </c>
      <c r="F12" s="1757"/>
      <c r="G12" s="1757"/>
      <c r="H12" s="1757"/>
      <c r="I12" s="1373"/>
    </row>
    <row r="13" spans="1:12" ht="12.75">
      <c r="A13" s="3560"/>
      <c r="B13" s="3547"/>
      <c r="C13" s="3565"/>
      <c r="D13" s="3583"/>
      <c r="E13" s="131" t="s">
        <v>1280</v>
      </c>
      <c r="F13" s="1757"/>
      <c r="G13" s="1757"/>
      <c r="H13" s="1757"/>
      <c r="I13" s="1373"/>
    </row>
    <row r="14" spans="1:12" ht="12.75">
      <c r="A14" s="3560" t="s">
        <v>1281</v>
      </c>
      <c r="B14" s="3547">
        <v>30</v>
      </c>
      <c r="C14" s="3563">
        <v>4</v>
      </c>
      <c r="D14" s="3583">
        <v>6</v>
      </c>
      <c r="E14" s="131" t="s">
        <v>1282</v>
      </c>
      <c r="F14" s="1757"/>
      <c r="G14" s="1757"/>
      <c r="H14" s="1757"/>
      <c r="I14" s="1373"/>
    </row>
    <row r="15" spans="1:12" ht="12.75">
      <c r="A15" s="3560"/>
      <c r="B15" s="3547"/>
      <c r="C15" s="3564"/>
      <c r="D15" s="3583"/>
      <c r="E15" s="131" t="s">
        <v>1283</v>
      </c>
      <c r="F15" s="1757"/>
      <c r="G15" s="1757"/>
      <c r="H15" s="1757"/>
      <c r="I15" s="1373"/>
    </row>
    <row r="16" spans="1:12" ht="12.75">
      <c r="A16" s="3560"/>
      <c r="B16" s="3547"/>
      <c r="C16" s="3565"/>
      <c r="D16" s="3583"/>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70" t="s">
        <v>2129</v>
      </c>
      <c r="F18" s="3571"/>
      <c r="G18" s="3571"/>
      <c r="H18" s="3571"/>
      <c r="I18" s="3571"/>
      <c r="K18" s="302" t="s">
        <v>1289</v>
      </c>
      <c r="L18" s="302">
        <f>IF(C1="",'数据-汇总表'!E3,SUMIF(项目类型,C1,'数据-汇总表'!E17:E26)+SUMIF(项目类型,C1,'数据-汇总表'!I17:I26))</f>
        <v>259.41000000000003</v>
      </c>
      <c r="M18" s="302">
        <f>IF(C1="",'数据-汇总表'!E3,SUMIF(项目类型,C1,'数据-汇总表'!E17:E26))</f>
        <v>259.41000000000003</v>
      </c>
    </row>
    <row r="19" spans="1:36" ht="15">
      <c r="A19" s="1761" t="s">
        <v>1290</v>
      </c>
      <c r="B19" s="1762" t="s">
        <v>1291</v>
      </c>
      <c r="C19" s="134">
        <f ca="1">SUMIF(INDIRECT("'"&amp;C4&amp;"'"&amp;"!A:A"),结果表!B19,INDIRECT("'"&amp;C4&amp;"'"&amp;"!B:B"))</f>
        <v>1297.6394</v>
      </c>
      <c r="D19" s="135">
        <f ca="1">SUMIF(INDIRECT("'"&amp;D4&amp;"'"&amp;"!A:A"),结果表!B19,INDIRECT("'"&amp;D4&amp;"'"&amp;"!B:B"))</f>
        <v>606.73239999999998</v>
      </c>
      <c r="E19" s="1761" t="s">
        <v>1292</v>
      </c>
      <c r="F19" s="1762" t="s">
        <v>1291</v>
      </c>
      <c r="G19" s="136">
        <f ca="1">ROUND(C19*$C$18+D19*$D$18,0)</f>
        <v>883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50023</v>
      </c>
      <c r="D20" s="138">
        <f ca="1">SUMIF(INDIRECT("'"&amp;D4&amp;"'"&amp;"!A:A"),结果表!B20,INDIRECT("'"&amp;D4&amp;"'"&amp;"!B:B"))</f>
        <v>23389</v>
      </c>
      <c r="E20" s="1764"/>
      <c r="F20" s="1026" t="s">
        <v>1295</v>
      </c>
      <c r="G20" s="139">
        <f ca="1">ROUND(C20*$C$18+D20*$D$18,0)</f>
        <v>34043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1.1387343085683246</v>
      </c>
      <c r="E22" s="129"/>
      <c r="F22" s="129"/>
      <c r="G22" s="129"/>
      <c r="H22" s="129"/>
      <c r="I22" s="129"/>
    </row>
    <row r="23" spans="1:36" ht="13.5" thickBot="1">
      <c r="A23" s="1747"/>
      <c r="B23" s="1747"/>
      <c r="C23" s="1747"/>
      <c r="D23" s="1747"/>
      <c r="E23" s="129"/>
      <c r="F23" s="129"/>
      <c r="G23" s="129"/>
      <c r="H23" s="129"/>
      <c r="I23" s="129"/>
    </row>
    <row r="24" spans="1:36" ht="14.25">
      <c r="A24" s="3554" t="s">
        <v>1299</v>
      </c>
      <c r="B24" s="1762" t="s">
        <v>1291</v>
      </c>
      <c r="C24" s="136">
        <f>IF(B30=0,0,D30)</f>
        <v>0</v>
      </c>
      <c r="D24" s="1769"/>
      <c r="E24" s="129"/>
      <c r="F24" s="129"/>
      <c r="G24" s="129"/>
      <c r="H24" s="129"/>
      <c r="I24" s="129"/>
    </row>
    <row r="25" spans="1:36" ht="14.25">
      <c r="A25" s="35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34043</v>
      </c>
      <c r="D32" s="1775" t="s">
        <v>3416</v>
      </c>
      <c r="E32" s="129"/>
      <c r="F32" s="129"/>
      <c r="G32" s="129"/>
      <c r="H32" s="129"/>
      <c r="I32" s="129"/>
    </row>
    <row r="33" spans="1:15" ht="15">
      <c r="A33" s="786" t="s">
        <v>1306</v>
      </c>
      <c r="B33" s="1776"/>
      <c r="C33" s="1777" t="s">
        <v>3417</v>
      </c>
      <c r="D33" s="1778" t="s">
        <v>3400</v>
      </c>
      <c r="E33" s="1779" t="s">
        <v>1307</v>
      </c>
      <c r="F33" s="1780" t="str">
        <f>IF(D32="楼面单价","取值（单价）","取值（总价）")</f>
        <v>取值（单价）</v>
      </c>
      <c r="G33" s="129"/>
      <c r="H33" s="129"/>
      <c r="I33" s="129"/>
    </row>
    <row r="34" spans="1:15" ht="15">
      <c r="A34" s="1781"/>
      <c r="B34" s="1782" t="s">
        <v>1308</v>
      </c>
      <c r="C34" s="148">
        <f ca="1">IF(C33="自定义",F34,C32-C35)</f>
        <v>30366</v>
      </c>
      <c r="D34" s="861">
        <f ca="1">IF(C33="自定义",ROUND(C34/C32,3),IF(C33="收益比率",SUMIF(INDIRECT("'"&amp;D33&amp;"'"&amp;"!b:b"),"土地收益比率",INDIRECT("'"&amp;D33&amp;"'"&amp;"!c:c")),SUMIF(INDIRECT("'"&amp;D33&amp;"'"&amp;"!b:b"),"土地成本比率",INDIRECT("'"&amp;D33&amp;"'"&amp;"!c:c"))))</f>
        <v>0.89200000000000002</v>
      </c>
      <c r="E34" s="1783" t="s">
        <v>1309</v>
      </c>
      <c r="F34" s="1330"/>
      <c r="G34" s="129"/>
      <c r="H34" s="129"/>
      <c r="I34" s="129"/>
    </row>
    <row r="35" spans="1:15" ht="15.75" thickBot="1">
      <c r="A35" s="1784"/>
      <c r="B35" s="1785" t="s">
        <v>1310</v>
      </c>
      <c r="C35" s="1170">
        <f ca="1">IF(C33="自定义",F35,ROUND(C32*D35,0))</f>
        <v>3677</v>
      </c>
      <c r="D35" s="1171">
        <f ca="1">IF(C33="自定义",ROUND(C35/C32,3),IF(C33="收益比率",SUMIF(INDIRECT("'"&amp;D33&amp;"'"&amp;"!b:b"),"建筑物收益比率",INDIRECT("'"&amp;D33&amp;"'"&amp;"!c:c")),SUMIF(INDIRECT("'"&amp;D33&amp;"'"&amp;"!b:b"),"建筑物成本比率",INDIRECT("'"&amp;D33&amp;"'"&amp;"!c:c"))))</f>
        <v>0.108</v>
      </c>
      <c r="E35" s="1786" t="s">
        <v>1311</v>
      </c>
      <c r="F35" s="154"/>
      <c r="G35" s="129"/>
      <c r="H35" s="129"/>
      <c r="I35" s="129"/>
    </row>
    <row r="36" spans="1:15" ht="15.75" thickBot="1">
      <c r="A36" s="3574" t="s">
        <v>1312</v>
      </c>
      <c r="B36" s="1787" t="s">
        <v>1313</v>
      </c>
      <c r="C36" s="145"/>
      <c r="D36" s="1788"/>
      <c r="E36" s="1789"/>
      <c r="F36" s="1790"/>
      <c r="G36" s="129"/>
      <c r="H36" s="129"/>
      <c r="I36" s="129"/>
    </row>
    <row r="37" spans="1:15" ht="15.75" thickBot="1">
      <c r="A37" s="3575"/>
      <c r="B37" s="1674" t="s">
        <v>1314</v>
      </c>
      <c r="C37" s="147"/>
      <c r="D37" s="1139"/>
      <c r="E37" s="1139"/>
      <c r="F37" s="1790"/>
      <c r="G37" s="129"/>
      <c r="H37" s="129"/>
      <c r="I37" s="129"/>
    </row>
    <row r="38" spans="1:15" ht="15.75" thickBot="1">
      <c r="A38" s="357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51" t="s">
        <v>1326</v>
      </c>
      <c r="B45" s="3552"/>
      <c r="C45" s="3553"/>
      <c r="D45" s="155">
        <f ca="1">ROUND(H101*F45,0)</f>
        <v>883</v>
      </c>
      <c r="E45" s="156" t="s">
        <v>1327</v>
      </c>
      <c r="F45" s="157">
        <v>1</v>
      </c>
      <c r="G45" s="158" t="s">
        <v>1328</v>
      </c>
      <c r="H45" s="129"/>
      <c r="I45" s="129"/>
      <c r="J45" s="3629" t="s">
        <v>1329</v>
      </c>
      <c r="K45" s="3629"/>
      <c r="L45" s="3629"/>
      <c r="M45" s="3629"/>
      <c r="N45" s="3629"/>
      <c r="O45" s="3629"/>
    </row>
    <row r="46" spans="1:15" ht="14.25" hidden="1" customHeight="1">
      <c r="A46" s="3548" t="s">
        <v>1330</v>
      </c>
      <c r="B46" s="3549"/>
      <c r="C46" s="3549"/>
      <c r="D46" s="3549"/>
      <c r="E46" s="3549"/>
      <c r="F46" s="3549"/>
      <c r="G46" s="3550"/>
      <c r="H46" s="1806"/>
      <c r="I46" s="159"/>
      <c r="J46" s="2520">
        <v>1</v>
      </c>
      <c r="K46" s="3610" t="s">
        <v>1331</v>
      </c>
      <c r="L46" s="3610"/>
      <c r="M46" s="3630"/>
      <c r="N46" s="3630"/>
      <c r="O46" s="3630"/>
    </row>
    <row r="47" spans="1:15" ht="12" hidden="1" customHeight="1">
      <c r="A47" s="160" t="s">
        <v>1332</v>
      </c>
      <c r="B47" s="161"/>
      <c r="C47" s="162"/>
      <c r="D47" s="1087" t="s">
        <v>1333</v>
      </c>
      <c r="E47" s="302" t="s">
        <v>1334</v>
      </c>
      <c r="F47" s="163" t="s">
        <v>1335</v>
      </c>
      <c r="G47" s="2543" t="s">
        <v>1336</v>
      </c>
      <c r="H47" s="2544"/>
      <c r="I47" s="159"/>
      <c r="J47" s="2520">
        <v>2</v>
      </c>
      <c r="K47" s="3610" t="s">
        <v>1337</v>
      </c>
      <c r="L47" s="3610"/>
      <c r="M47" s="3631">
        <f>'数据-取费表'!B2</f>
        <v>44931</v>
      </c>
      <c r="N47" s="3631"/>
      <c r="O47" s="3631"/>
    </row>
    <row r="48" spans="1:15" ht="25.5" hidden="1">
      <c r="A48" s="3579" t="s">
        <v>1338</v>
      </c>
      <c r="B48" s="3562"/>
      <c r="C48" s="3562"/>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610" t="s">
        <v>1340</v>
      </c>
      <c r="L48" s="3610"/>
      <c r="M48" s="3632">
        <f ca="1">H101</f>
        <v>883</v>
      </c>
      <c r="N48" s="3632"/>
      <c r="O48" s="3632"/>
    </row>
    <row r="49" spans="1:35" ht="25.5" hidden="1" customHeight="1">
      <c r="A49" s="2333" t="s">
        <v>1341</v>
      </c>
      <c r="B49" s="3546" t="s">
        <v>1342</v>
      </c>
      <c r="C49" s="3546"/>
      <c r="D49" s="1590">
        <v>0</v>
      </c>
      <c r="E49" s="324" t="s">
        <v>1343</v>
      </c>
      <c r="F49" s="2423" t="s">
        <v>28</v>
      </c>
      <c r="G49" s="3616"/>
      <c r="H49" s="2310" t="s">
        <v>2132</v>
      </c>
      <c r="I49" s="2311"/>
      <c r="J49" s="2520">
        <v>4</v>
      </c>
      <c r="K49" s="3610" t="str">
        <f>IF(项目基本情况!E8="房地产抵押价值","房地产抵押价值","抵押担保权已注销时的房地产抵押价值")</f>
        <v>房地产抵押价值</v>
      </c>
      <c r="L49" s="3610"/>
      <c r="M49" s="3632">
        <f ca="1">IF(项目基本情况!E8="房地产抵押价值",H107,H109)</f>
        <v>883</v>
      </c>
      <c r="N49" s="3632"/>
      <c r="O49" s="3632"/>
    </row>
    <row r="50" spans="1:35" ht="25.5" hidden="1" customHeight="1">
      <c r="A50" s="2548"/>
      <c r="B50" s="3546" t="s">
        <v>1344</v>
      </c>
      <c r="C50" s="3546"/>
      <c r="D50" s="2549"/>
      <c r="E50" s="332"/>
      <c r="F50" s="2423"/>
      <c r="G50" s="3617"/>
      <c r="H50" s="2312" t="s">
        <v>2133</v>
      </c>
      <c r="I50" s="2311"/>
      <c r="J50" s="3629" t="s">
        <v>1345</v>
      </c>
      <c r="K50" s="3629"/>
      <c r="L50" s="3629"/>
      <c r="M50" s="3629"/>
      <c r="N50" s="3629"/>
      <c r="O50" s="3629"/>
    </row>
    <row r="51" spans="1:35" ht="20.45" hidden="1" customHeight="1">
      <c r="A51" s="2550"/>
      <c r="B51" s="3546" t="s">
        <v>1346</v>
      </c>
      <c r="C51" s="3546"/>
      <c r="D51" s="1087"/>
      <c r="E51" s="327"/>
      <c r="F51" s="2423"/>
      <c r="G51" s="3618"/>
      <c r="H51" s="2312" t="s">
        <v>2134</v>
      </c>
      <c r="I51" s="2311"/>
      <c r="J51" s="2521" t="s">
        <v>1347</v>
      </c>
      <c r="K51" s="3610" t="s">
        <v>1348</v>
      </c>
      <c r="L51" s="3610"/>
      <c r="M51" s="2521" t="s">
        <v>1349</v>
      </c>
      <c r="N51" s="2521" t="s">
        <v>1350</v>
      </c>
      <c r="O51" s="2521" t="s">
        <v>1351</v>
      </c>
    </row>
    <row r="52" spans="1:35" ht="24" hidden="1" customHeight="1">
      <c r="A52" s="2335" t="s">
        <v>1352</v>
      </c>
      <c r="B52" s="3546" t="s">
        <v>1353</v>
      </c>
      <c r="C52" s="3546"/>
      <c r="D52" s="1087">
        <f ca="1">ROUND(D45*'数据-取费表'!B41/(1+'数据-取费表'!C42),0)</f>
        <v>47</v>
      </c>
      <c r="E52" s="2334" t="s">
        <v>1354</v>
      </c>
      <c r="F52" s="2551">
        <f>'数据-取费表'!B41</f>
        <v>5.6000000000000001E-2</v>
      </c>
      <c r="G52" s="2552"/>
      <c r="H52" s="2541"/>
      <c r="I52" s="1807"/>
      <c r="J52" s="2520">
        <v>1</v>
      </c>
      <c r="K52" s="3611" t="s">
        <v>1355</v>
      </c>
      <c r="L52" s="3611"/>
      <c r="M52" s="2522" t="b">
        <f>D48</f>
        <v>0</v>
      </c>
      <c r="N52" s="2520" t="str">
        <f>E48</f>
        <v>销售额×税（费）率</v>
      </c>
      <c r="O52" s="2523">
        <f>F48</f>
        <v>5.6000000000000001E-2</v>
      </c>
    </row>
    <row r="53" spans="1:35" ht="12" hidden="1" customHeight="1">
      <c r="A53" s="2335" t="s">
        <v>1356</v>
      </c>
      <c r="B53" s="3572" t="s">
        <v>2285</v>
      </c>
      <c r="C53" s="3573"/>
      <c r="D53" s="1087">
        <f ca="1">ROUND(D45*'数据-取费表'!B41/(1+'数据-取费表'!C42),0)</f>
        <v>47</v>
      </c>
      <c r="E53" s="2334" t="s">
        <v>1354</v>
      </c>
      <c r="F53" s="2551">
        <f>'数据-取费表'!B41</f>
        <v>5.6000000000000001E-2</v>
      </c>
      <c r="G53" s="2552"/>
      <c r="H53" s="2541"/>
      <c r="I53" s="1807"/>
      <c r="J53" s="2520">
        <v>2</v>
      </c>
      <c r="K53" s="3611" t="s">
        <v>1357</v>
      </c>
      <c r="L53" s="3611"/>
      <c r="M53" s="2522">
        <f t="shared" ref="M53:O54" ca="1" si="0">D55</f>
        <v>0</v>
      </c>
      <c r="N53" s="2520" t="str">
        <f t="shared" si="0"/>
        <v>销售额×税（费）率</v>
      </c>
      <c r="O53" s="2523" t="str">
        <f t="shared" si="0"/>
        <v>免征</v>
      </c>
    </row>
    <row r="54" spans="1:35" ht="12" hidden="1" customHeight="1">
      <c r="A54" s="2335" t="s">
        <v>1358</v>
      </c>
      <c r="B54" s="3572" t="s">
        <v>2286</v>
      </c>
      <c r="C54" s="3573"/>
      <c r="D54" s="1087">
        <f ca="1">C68</f>
        <v>47</v>
      </c>
      <c r="E54" s="327" t="s">
        <v>1359</v>
      </c>
      <c r="F54" s="2551">
        <f>'数据-取费表'!B41</f>
        <v>5.6000000000000001E-2</v>
      </c>
      <c r="G54" s="2552"/>
      <c r="H54" s="2553"/>
      <c r="I54" s="1807"/>
      <c r="J54" s="2520">
        <v>3</v>
      </c>
      <c r="K54" s="3611" t="s">
        <v>1360</v>
      </c>
      <c r="L54" s="3611"/>
      <c r="M54" s="2522">
        <f t="shared" ca="1" si="0"/>
        <v>500</v>
      </c>
      <c r="N54" s="2520" t="str">
        <f t="shared" si="0"/>
        <v>增值额×税（费）率</v>
      </c>
      <c r="O54" s="2524" t="str">
        <f t="shared" si="0"/>
        <v>免征</v>
      </c>
    </row>
    <row r="55" spans="1:35" ht="24" hidden="1" customHeight="1">
      <c r="A55" s="3561" t="s">
        <v>1361</v>
      </c>
      <c r="B55" s="3562"/>
      <c r="C55" s="3562"/>
      <c r="D55" s="2324">
        <f ca="1">IF(H55="个人住宅",0,ROUND(D45*I55,0))</f>
        <v>0</v>
      </c>
      <c r="E55" s="2334" t="s">
        <v>1362</v>
      </c>
      <c r="F55" s="2551" t="str">
        <f>IF(H55="正常",I55,"免征")</f>
        <v>免征</v>
      </c>
      <c r="G55" s="2552"/>
      <c r="H55" s="2547"/>
      <c r="I55" s="165">
        <f>'数据-取费表'!B49</f>
        <v>5.0000000000000001E-4</v>
      </c>
      <c r="J55" s="2520">
        <f>IF(H59="非个人房产","",4)</f>
        <v>4</v>
      </c>
      <c r="K55" s="3611" t="str">
        <f>IF(H59="非个人房产","——","个人所得税")</f>
        <v>个人所得税</v>
      </c>
      <c r="L55" s="3611"/>
      <c r="M55" s="2525">
        <f ca="1">D59</f>
        <v>8</v>
      </c>
      <c r="N55" s="2040" t="str">
        <f>E59</f>
        <v>差额计税</v>
      </c>
      <c r="O55" s="2526">
        <f>F59</f>
        <v>0.01</v>
      </c>
    </row>
    <row r="56" spans="1:35" ht="24.75" hidden="1">
      <c r="A56" s="3561" t="s">
        <v>1363</v>
      </c>
      <c r="B56" s="3562"/>
      <c r="C56" s="3562"/>
      <c r="D56" s="2324">
        <f ca="1">IF(H56="个人住宅",D57,D58)</f>
        <v>500</v>
      </c>
      <c r="E56" s="2334" t="s">
        <v>1364</v>
      </c>
      <c r="F56" s="2551" t="str">
        <f>IF(H56="正常",F58,"免征")</f>
        <v>免征</v>
      </c>
      <c r="G56" s="2554" t="s">
        <v>1365</v>
      </c>
      <c r="H56" s="2555"/>
      <c r="I56" s="1808"/>
      <c r="J56" s="2520" t="str">
        <f>IF(项目基本情况!K6="上海银行",IF(J55="",4,J55+1),"")</f>
        <v/>
      </c>
      <c r="K56" s="3634" t="str">
        <f>IF(项目基本情况!K6="上海银行","其他处置费用","")</f>
        <v/>
      </c>
      <c r="L56" s="3635"/>
      <c r="M56" s="2522" t="str">
        <f>IF(项目基本情况!K6="上海银行",M69,"")</f>
        <v/>
      </c>
      <c r="N56" s="3634" t="str">
        <f>IF(项目基本情况!K6="上海银行","包含处置中涉及的律师、诉讼、拍卖、评估等费用","")</f>
        <v/>
      </c>
      <c r="O56" s="3637"/>
    </row>
    <row r="57" spans="1:35" ht="12.75" hidden="1">
      <c r="A57" s="2335" t="s">
        <v>1341</v>
      </c>
      <c r="B57" s="3572" t="s">
        <v>1366</v>
      </c>
      <c r="C57" s="3573"/>
      <c r="D57" s="1590">
        <v>0</v>
      </c>
      <c r="E57" s="324" t="s">
        <v>1343</v>
      </c>
      <c r="F57" s="302"/>
      <c r="G57" s="2552"/>
      <c r="H57" s="2556"/>
      <c r="I57" s="1808"/>
      <c r="J57" s="3611">
        <f>IF(AND(J55="",J56=""),4,IF(项目基本情况!K6="上海银行",结果表!J56+1,结果表!J55+1))</f>
        <v>5</v>
      </c>
      <c r="K57" s="3611" t="s">
        <v>1367</v>
      </c>
      <c r="L57" s="2527" t="s">
        <v>1368</v>
      </c>
      <c r="M57" s="2528"/>
      <c r="N57" s="2529">
        <f ca="1">SUMIF(M52:M56,"&lt;9e307")</f>
        <v>508</v>
      </c>
      <c r="O57" s="2530"/>
      <c r="P57" s="2686">
        <f ca="1">N57/M49</f>
        <v>0.57531143827859565</v>
      </c>
    </row>
    <row r="58" spans="1:35" ht="24.75" hidden="1">
      <c r="A58" s="2335" t="s">
        <v>1352</v>
      </c>
      <c r="B58" s="3572" t="s">
        <v>1369</v>
      </c>
      <c r="C58" s="3546"/>
      <c r="D58" s="2324">
        <f ca="1">IF(H58="转让取得",C81,C97)</f>
        <v>500</v>
      </c>
      <c r="E58" s="2334" t="s">
        <v>1364</v>
      </c>
      <c r="F58" s="302" t="s">
        <v>28</v>
      </c>
      <c r="G58" s="2552"/>
      <c r="H58" s="2555"/>
      <c r="I58" s="1808"/>
      <c r="J58" s="3611"/>
      <c r="K58" s="3611"/>
      <c r="L58" s="2527" t="s">
        <v>1370</v>
      </c>
      <c r="M58" s="2531"/>
      <c r="N58" s="2532" t="str">
        <f ca="1">NUMBERSTRING(INT(N57*10000),2)&amp;"元整"</f>
        <v>伍佰零捌万元整</v>
      </c>
      <c r="O58" s="2533"/>
    </row>
    <row r="59" spans="1:35" ht="24.75" hidden="1" thickBot="1">
      <c r="A59" s="3614" t="s">
        <v>1371</v>
      </c>
      <c r="B59" s="3615"/>
      <c r="C59" s="3615"/>
      <c r="D59" s="2557">
        <f ca="1">IF(H59="非个人房产","——",IF(H59="个人住宅（满五唯一有凭证）",0,IF(H59="个人其他（无凭证）",ROUND(D45*F59,0),ROUND(C67*F59,0))))</f>
        <v>8</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2135</v>
      </c>
      <c r="J59" s="3612">
        <f>J57+1</f>
        <v>6</v>
      </c>
      <c r="K59" s="3611" t="s">
        <v>1372</v>
      </c>
      <c r="L59" s="2520" t="s">
        <v>1368</v>
      </c>
      <c r="M59" s="2534"/>
      <c r="N59" s="2535">
        <f ca="1">M49-N57</f>
        <v>375</v>
      </c>
      <c r="O59" s="2536"/>
    </row>
    <row r="60" spans="1:35" ht="12" hidden="1" customHeight="1">
      <c r="A60" s="1809"/>
      <c r="B60" s="1747"/>
      <c r="C60" s="1747"/>
      <c r="D60" s="1747"/>
      <c r="E60" s="1578"/>
      <c r="F60" s="1808"/>
      <c r="G60" s="1808"/>
      <c r="H60" s="1810"/>
      <c r="I60" s="129"/>
      <c r="J60" s="3613"/>
      <c r="K60" s="3611"/>
      <c r="L60" s="2527" t="s">
        <v>1370</v>
      </c>
      <c r="M60" s="2531"/>
      <c r="N60" s="2532" t="str">
        <f ca="1">NUMBERSTRING(INT(N59*10000),2)&amp;"元整"</f>
        <v>叁佰柒拾伍万元整</v>
      </c>
      <c r="O60" s="2533"/>
    </row>
    <row r="61" spans="1:35" ht="13.5" hidden="1" thickBot="1">
      <c r="A61" s="3559" t="s">
        <v>1373</v>
      </c>
      <c r="B61" s="3559"/>
      <c r="C61" s="3559"/>
      <c r="D61" s="3559"/>
      <c r="E61" s="3559"/>
      <c r="F61" s="1808"/>
      <c r="G61" s="1808"/>
      <c r="H61" s="1810"/>
      <c r="I61" s="129"/>
      <c r="J61" s="2520">
        <f>J59+1</f>
        <v>7</v>
      </c>
      <c r="K61" s="3611" t="s">
        <v>1374</v>
      </c>
      <c r="L61" s="3611"/>
      <c r="M61" s="2537"/>
      <c r="N61" s="2538">
        <f ca="1">ROUND(N59*10000/'数据-汇总表'!E3,0)</f>
        <v>14456</v>
      </c>
      <c r="O61" s="2539"/>
    </row>
    <row r="62" spans="1:35" ht="12.75" hidden="1">
      <c r="A62" s="3577" t="s">
        <v>1375</v>
      </c>
      <c r="B62" s="3578"/>
      <c r="C62" s="2021"/>
      <c r="D62" s="2021" t="s">
        <v>1376</v>
      </c>
      <c r="E62" s="166" t="s">
        <v>1377</v>
      </c>
      <c r="F62" s="1808"/>
      <c r="G62" s="1808"/>
      <c r="H62" s="1810"/>
      <c r="I62" s="129"/>
    </row>
    <row r="63" spans="1:35" ht="12.75" hidden="1">
      <c r="A63" s="173" t="s">
        <v>330</v>
      </c>
      <c r="B63" s="167" t="s">
        <v>1378</v>
      </c>
      <c r="C63" s="2561">
        <f ca="1">ROUND((C64+C65)/(1+'数据-取费表'!C42),0)</f>
        <v>841</v>
      </c>
      <c r="D63" s="167"/>
      <c r="E63" s="168"/>
      <c r="F63" s="1808"/>
      <c r="G63" s="1808"/>
      <c r="H63" s="1810"/>
      <c r="I63" s="129"/>
      <c r="J63" s="3636" t="s">
        <v>1379</v>
      </c>
      <c r="K63" s="1332" t="s">
        <v>1380</v>
      </c>
      <c r="L63" s="1332">
        <f ca="1">IF(M49&gt;10000,M49*0.5%,IF(AND(M49&gt;1000,M49&lt;=10000),M49*1%,IF(AND(M49&gt;100,M49&lt;=1000),M49*3%,IF(AND(M49&gt;10,M49&lt;=100),M49*5%,M49*8%))))</f>
        <v>26.49</v>
      </c>
      <c r="M63" s="302">
        <f ca="1">ROUND(L63,1)</f>
        <v>26.5</v>
      </c>
      <c r="N63" s="2540"/>
      <c r="Z63" s="1752"/>
      <c r="AI63" s="1753"/>
    </row>
    <row r="64" spans="1:35" ht="14.25" hidden="1" customHeight="1">
      <c r="A64" s="169" t="s">
        <v>325</v>
      </c>
      <c r="B64" s="170" t="s">
        <v>1381</v>
      </c>
      <c r="C64" s="2562">
        <f ca="1">D45</f>
        <v>883</v>
      </c>
      <c r="D64" s="170" t="s">
        <v>26</v>
      </c>
      <c r="E64" s="172"/>
      <c r="F64" s="1808"/>
      <c r="G64" s="1808"/>
      <c r="H64" s="1810"/>
      <c r="I64" s="129"/>
      <c r="J64" s="3636"/>
      <c r="K64" s="1332" t="s">
        <v>1382</v>
      </c>
      <c r="L64" s="1332">
        <f ca="1">IF(M49&gt;2000,M49*0.5%,IF(AND(M49&gt;1000,M49&lt;=2000),M49*0.6%,IF(AND(M49&gt;500,M49&lt;=1000),M49*0.7%,IF(AND(M49&gt;200,M49&lt;=500),M49*0.8%,IF(AND(M49&gt;100,M49&lt;=200),M49*0.9%,IF(AND(M49&gt;50,M49&lt;=100),M49*1%,IF(AND(M49&gt;20,M49&lt;=50),M49*1.5%,IF(AND(M49&gt;10,M49&lt;=20),M49*2%,IF(AND(M49&gt;1,M49&lt;=10),M49*2.5%)))))))))</f>
        <v>6.1809999999999992</v>
      </c>
      <c r="M64" s="302">
        <f t="shared" ref="M64:M65" ca="1" si="1">ROUND(L64,1)</f>
        <v>6.2</v>
      </c>
      <c r="N64" s="2541" t="s">
        <v>1383</v>
      </c>
      <c r="Z64" s="1752"/>
      <c r="AI64" s="1753"/>
    </row>
    <row r="65" spans="1:35" ht="14.25" hidden="1" customHeight="1">
      <c r="A65" s="169" t="s">
        <v>326</v>
      </c>
      <c r="B65" s="170" t="s">
        <v>1384</v>
      </c>
      <c r="C65" s="2563"/>
      <c r="D65" s="170"/>
      <c r="E65" s="172"/>
      <c r="F65" s="1808"/>
      <c r="G65" s="1808"/>
      <c r="H65" s="1810"/>
      <c r="I65" s="129"/>
      <c r="J65" s="3636"/>
      <c r="K65" s="1332" t="s">
        <v>1385</v>
      </c>
      <c r="L65" s="1332">
        <f ca="1">IF(M49&gt;1000,M49*0.1%,IF(AND(M49&gt;500,M49&lt;=1000),M49*0.5%,IF(AND(M49&gt;50,M49&lt;=500),M49*1%,IF(AND(M49&gt;1,M49&lt;=50),M49*1.5%))))</f>
        <v>4.415</v>
      </c>
      <c r="M65" s="302">
        <f t="shared" ca="1" si="1"/>
        <v>4.4000000000000004</v>
      </c>
      <c r="N65" s="2541" t="s">
        <v>1383</v>
      </c>
      <c r="Z65" s="1752"/>
      <c r="AI65" s="1753"/>
    </row>
    <row r="66" spans="1:35" ht="14.25" hidden="1" customHeight="1">
      <c r="A66" s="173" t="s">
        <v>327</v>
      </c>
      <c r="B66" s="174" t="s">
        <v>1386</v>
      </c>
      <c r="C66" s="2564"/>
      <c r="D66" s="174" t="s">
        <v>26</v>
      </c>
      <c r="E66" s="1338" t="s">
        <v>671</v>
      </c>
      <c r="F66" s="1808"/>
      <c r="G66" s="1808"/>
      <c r="H66" s="1810"/>
      <c r="I66" s="129"/>
      <c r="J66" s="3636"/>
      <c r="K66" s="1332" t="s">
        <v>1387</v>
      </c>
      <c r="L66" s="1332">
        <f ca="1">M49*0.5%</f>
        <v>4.415</v>
      </c>
      <c r="M66" s="302">
        <f ca="1">IF(L66&gt;0.5,0.5,ROUND(L66,0))</f>
        <v>0.5</v>
      </c>
      <c r="N66" s="2541" t="s">
        <v>1388</v>
      </c>
      <c r="Z66" s="1752"/>
      <c r="AI66" s="1753"/>
    </row>
    <row r="67" spans="1:35" ht="14.25" hidden="1" customHeight="1">
      <c r="A67" s="173" t="s">
        <v>328</v>
      </c>
      <c r="B67" s="174" t="s">
        <v>1389</v>
      </c>
      <c r="C67" s="2565">
        <f ca="1">C63-C66</f>
        <v>841</v>
      </c>
      <c r="D67" s="170" t="s">
        <v>26</v>
      </c>
      <c r="E67" s="172"/>
      <c r="F67" s="1808"/>
      <c r="G67" s="1808"/>
      <c r="H67" s="1810"/>
      <c r="I67" s="129"/>
      <c r="J67" s="3636"/>
      <c r="K67" s="1332" t="s">
        <v>1390</v>
      </c>
      <c r="L67" s="1332">
        <f ca="1">IF(M49&gt;=10000,(8.25+(M49-10000)*0.01%),IF(AND(M49&gt;=8000,M49&lt;10000),(7.85+(M49-8000)*0.02%),IF(AND(M49&gt;=5000,M49&lt;8000),(6.65+(M49-5000)*0.04%),IF(AND(M49&gt;=2000,M49&lt;5000),(4.25+(PM49-2000)*0.08%),IF(AND(M49&gt;=1000,M49&lt;2000),(2.75+(M49-1000)*0.15%),IF(AND(M49&gt;=100,M49&lt;1000),(0.5+(M49-100)*0.25%),IF(AND(M49&gt;0,M49&lt;100),M49*0.5%)))))))</f>
        <v>2.4575</v>
      </c>
      <c r="M67" s="302">
        <f ca="1">ROUND(L67*0.9,1)</f>
        <v>2.2000000000000002</v>
      </c>
      <c r="N67" s="2540"/>
      <c r="Z67" s="1752"/>
      <c r="AI67" s="1753"/>
    </row>
    <row r="68" spans="1:35" ht="14.25" hidden="1" customHeight="1" thickBot="1">
      <c r="A68" s="176" t="s">
        <v>329</v>
      </c>
      <c r="B68" s="177" t="s">
        <v>1391</v>
      </c>
      <c r="C68" s="2566">
        <f ca="1">IF(C67&lt;=0,0,ROUND(C67*D68,0))</f>
        <v>47</v>
      </c>
      <c r="D68" s="2567">
        <f>'数据-取费表'!B41</f>
        <v>5.6000000000000001E-2</v>
      </c>
      <c r="E68" s="178"/>
      <c r="F68" s="1808"/>
      <c r="G68" s="1808"/>
      <c r="H68" s="1810"/>
      <c r="I68" s="129"/>
      <c r="J68" s="3636"/>
      <c r="K68" s="1332" t="s">
        <v>1392</v>
      </c>
      <c r="L68" s="1332">
        <f ca="1">IF(M49&gt;10000,M49*0.5%,IF(AND(M49&gt;5000,M49&lt;=10000),M49*1%,IF(AND(M49&gt;1000,M49&lt;=5000),M49*2%,IF(AND(M49&gt;200,M49&lt;=1000),M49*3%,M49*5%))))</f>
        <v>26.49</v>
      </c>
      <c r="M68" s="302">
        <f ca="1">ROUND(L68,1)</f>
        <v>26.5</v>
      </c>
      <c r="N68" s="2540"/>
      <c r="Z68" s="1752"/>
      <c r="AI68" s="1753"/>
    </row>
    <row r="69" spans="1:35" s="1772" customFormat="1" ht="16.5" hidden="1" customHeight="1">
      <c r="A69" s="1811"/>
      <c r="B69" s="1812"/>
      <c r="C69" s="1813"/>
      <c r="D69" s="1814"/>
      <c r="E69" s="1815"/>
      <c r="F69" s="1578"/>
      <c r="G69" s="1578"/>
      <c r="H69" s="1577"/>
      <c r="I69" s="1747"/>
      <c r="J69" s="3636"/>
      <c r="K69" s="1332" t="s">
        <v>1393</v>
      </c>
      <c r="L69" s="1332"/>
      <c r="M69" s="302">
        <f ca="1">ROUND(SUM(M63:M68),0)</f>
        <v>66</v>
      </c>
      <c r="N69" s="2542">
        <f ca="1">M69/M49</f>
        <v>7.4745186862967161E-2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598" t="s">
        <v>1394</v>
      </c>
      <c r="B70" s="3599"/>
      <c r="C70" s="3599"/>
      <c r="D70" s="3599"/>
      <c r="E70" s="3599"/>
      <c r="F70" s="3599"/>
      <c r="G70" s="3599"/>
      <c r="H70" s="3599"/>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77" t="s">
        <v>1375</v>
      </c>
      <c r="B71" s="3578"/>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5">
        <f ca="1">ROUND(D45/(1+'数据-取费表'!C42),0)</f>
        <v>841</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5">
        <f ca="1">C74+C78</f>
        <v>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1">
        <v>0.05</v>
      </c>
      <c r="E76" s="3572" t="s">
        <v>1402</v>
      </c>
      <c r="F76" s="3546"/>
      <c r="G76" s="3546"/>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3">
        <f ca="1">ROUND(D45*D78/(1+'数据-取费表'!C42),0)</f>
        <v>5</v>
      </c>
      <c r="D78" s="2574">
        <f>'数据-取费表'!B43</f>
        <v>6.000000000000001E-3</v>
      </c>
      <c r="E78" s="3556" t="s">
        <v>1406</v>
      </c>
      <c r="F78" s="3557"/>
      <c r="G78" s="3557"/>
      <c r="H78" s="356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5">
        <f ca="1">C72-C73</f>
        <v>836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5">
        <f ca="1">IF(C79&lt;=0,0,C79/C73)</f>
        <v>167.2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6">
        <f ca="1">ROUND(IF(C79&lt;=0,0,IF(C80&gt;=200%,C79*60%-C73*35%,IF(C80&gt;=100%,C79*50%-C73*15%,IF(C80&gt;=50%,C79*40%-C73*5%,IF(C80&lt;50%,C79*30%,0))))),0)</f>
        <v>500</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77" t="s">
        <v>1375</v>
      </c>
      <c r="B84" s="357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5">
        <f ca="1">ROUND(D45/(1+'数据-取费表'!C42),0)</f>
        <v>841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5">
        <f ca="1">IF(H88="仅含出让金",C87+C90+C91+C92+C93+C94,C87+C91+C92+C93+C94)</f>
        <v>5</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9"/>
      <c r="D88" s="2574"/>
      <c r="E88" s="193" t="s">
        <v>1413</v>
      </c>
      <c r="F88" s="2327"/>
      <c r="G88" s="194" t="s">
        <v>1414</v>
      </c>
      <c r="H88" s="1824"/>
      <c r="I88" s="1821"/>
      <c r="J88" s="2518" t="s">
        <v>2282</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9"/>
      <c r="D90" s="2574"/>
      <c r="E90" s="193" t="str">
        <f>IF(H88="-","土地取得成本中已包含该笔费用"," ")</f>
        <v xml:space="preserve"> </v>
      </c>
      <c r="F90" s="2327"/>
      <c r="G90" s="3638" t="s">
        <v>2127</v>
      </c>
      <c r="H90" s="3639"/>
      <c r="I90" s="1821"/>
      <c r="J90" s="2518" t="s">
        <v>2283</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3">
        <f>IF(H91="——",成本法!C33,I91)</f>
        <v>0</v>
      </c>
      <c r="D91" s="2574"/>
      <c r="E91" s="3556" t="s">
        <v>1419</v>
      </c>
      <c r="F91" s="3557"/>
      <c r="G91" s="355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3">
        <f>ROUND((C87+C90+C91)*D92,0)</f>
        <v>0</v>
      </c>
      <c r="D92" s="2580"/>
      <c r="E92" s="3556" t="s">
        <v>1422</v>
      </c>
      <c r="F92" s="3557"/>
      <c r="G92" s="3557"/>
      <c r="H92" s="3566"/>
      <c r="I92" s="1821"/>
      <c r="J92" s="2519" t="s">
        <v>2284</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3">
        <f ca="1">ROUND(D45*D93/(1+'数据-取费表'!C42),0)</f>
        <v>5</v>
      </c>
      <c r="D93" s="2574">
        <f>'数据-取费表'!B43</f>
        <v>6.000000000000001E-3</v>
      </c>
      <c r="E93" s="3556" t="s">
        <v>1406</v>
      </c>
      <c r="F93" s="3557"/>
      <c r="G93" s="3557"/>
      <c r="H93" s="356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9">
        <f>ROUND((C87+C90+C91)*D94,0)</f>
        <v>0</v>
      </c>
      <c r="D94" s="2574">
        <v>0.2</v>
      </c>
      <c r="E94" s="3567" t="s">
        <v>1426</v>
      </c>
      <c r="F94" s="3568"/>
      <c r="G94" s="3568"/>
      <c r="H94" s="356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5">
        <f ca="1">ROUND(C85-C86,0)</f>
        <v>836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5">
        <f ca="1">IF(C95&lt;=0,0,C95/C86)</f>
        <v>167.2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6">
        <f ca="1">ROUND(IF(C95&lt;=0,0,IF(C96&gt;=200%,C95*60%-C86*35%,IF(C96&gt;=100%,C95*50%-C86*15%,IF(C96&gt;=50%,C95*40%-C86*5%,IF(C96&lt;50%,C95*30%,0))))),0)</f>
        <v>500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58"/>
      <c r="E100" s="3541" t="s">
        <v>1429</v>
      </c>
      <c r="F100" s="3541"/>
      <c r="G100" s="3541"/>
      <c r="H100" s="3558"/>
      <c r="I100" s="129"/>
    </row>
    <row r="101" spans="1:35" ht="18.75" customHeight="1">
      <c r="A101" s="3619" t="s">
        <v>1430</v>
      </c>
      <c r="B101" s="3620"/>
      <c r="C101" s="2582" t="str">
        <f>C4</f>
        <v>成本法 (元)</v>
      </c>
      <c r="D101" s="2583" t="str">
        <f>D4</f>
        <v>收益法 (元)</v>
      </c>
      <c r="E101" s="3633" t="s">
        <v>1431</v>
      </c>
      <c r="F101" s="3590"/>
      <c r="G101" s="1827" t="s">
        <v>1432</v>
      </c>
      <c r="H101" s="2592">
        <f ca="1">H118</f>
        <v>883</v>
      </c>
      <c r="I101" s="129"/>
    </row>
    <row r="102" spans="1:35" ht="18.75" customHeight="1">
      <c r="A102" s="3592" t="s">
        <v>1433</v>
      </c>
      <c r="B102" s="2581" t="s">
        <v>1432</v>
      </c>
      <c r="C102" s="2582">
        <f ca="1">IF(D32="楼面单价",ROUND(C19,0),C19)</f>
        <v>1298</v>
      </c>
      <c r="D102" s="2583">
        <f ca="1">IF(D32="楼面单价",ROUND(D19,0),D19)</f>
        <v>607</v>
      </c>
      <c r="E102" s="3633"/>
      <c r="F102" s="3590"/>
      <c r="G102" s="1827" t="s">
        <v>1434</v>
      </c>
      <c r="H102" s="2552">
        <f ca="1">I118</f>
        <v>34043</v>
      </c>
      <c r="I102" s="129"/>
    </row>
    <row r="103" spans="1:35" ht="42.75" customHeight="1">
      <c r="A103" s="3592"/>
      <c r="B103" s="2581" t="s">
        <v>1434</v>
      </c>
      <c r="C103" s="2584">
        <f ca="1">C20</f>
        <v>50023</v>
      </c>
      <c r="D103" s="2585">
        <f ca="1">D20</f>
        <v>23389</v>
      </c>
      <c r="E103" s="3627" t="s">
        <v>1435</v>
      </c>
      <c r="F103" s="3628"/>
      <c r="G103" s="1828" t="s">
        <v>1436</v>
      </c>
      <c r="H103" s="2592">
        <f>IF(D36="正常操作",H104+H105+H106,H105+H106)</f>
        <v>0</v>
      </c>
      <c r="I103" s="129"/>
    </row>
    <row r="104" spans="1:35" ht="18.75" customHeight="1">
      <c r="A104" s="3592" t="s">
        <v>1437</v>
      </c>
      <c r="B104" s="2586" t="s">
        <v>1432</v>
      </c>
      <c r="C104" s="2587">
        <f ca="1">H118</f>
        <v>883</v>
      </c>
      <c r="D104" s="2588"/>
      <c r="E104" s="1674" t="s">
        <v>1438</v>
      </c>
      <c r="F104" s="1666"/>
      <c r="G104" s="1828" t="s">
        <v>1436</v>
      </c>
      <c r="H104" s="2593">
        <f>IF(D36="同一抵押权人同一抵押物续贷",C36&amp;"（续贷，未扣减，详见特别提示）",C36)</f>
        <v>0</v>
      </c>
      <c r="I104" s="129"/>
    </row>
    <row r="105" spans="1:35" ht="18.75" customHeight="1" thickBot="1">
      <c r="A105" s="3593"/>
      <c r="B105" s="2589" t="s">
        <v>1434</v>
      </c>
      <c r="C105" s="2590">
        <f ca="1">I118</f>
        <v>34043</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89" t="str">
        <f>IF(项目基本情况!E8="已注销","——","3.房地产抵押价值")</f>
        <v>3.房地产抵押价值</v>
      </c>
      <c r="F107" s="3590"/>
      <c r="G107" s="1827" t="s">
        <v>1432</v>
      </c>
      <c r="H107" s="2592">
        <f ca="1">IF(E107="——","——",H101-H103)</f>
        <v>883</v>
      </c>
      <c r="I107" s="129"/>
    </row>
    <row r="108" spans="1:35" ht="18.75" customHeight="1">
      <c r="A108" s="129"/>
      <c r="B108" s="129"/>
      <c r="C108" s="129"/>
      <c r="D108" s="129"/>
      <c r="E108" s="3589"/>
      <c r="F108" s="3590"/>
      <c r="G108" s="1827" t="s">
        <v>1434</v>
      </c>
      <c r="H108" s="2552">
        <f ca="1">IF(H107=H101,H102,ROUND(H107*10000/'数据-汇总表'!E3,0))</f>
        <v>34043</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90"/>
      <c r="G109" s="1827" t="s">
        <v>1432</v>
      </c>
      <c r="H109" s="2595" t="str">
        <f>IF(E109="——","——",H101-H105-H106)</f>
        <v>——</v>
      </c>
      <c r="I109" s="129"/>
    </row>
    <row r="110" spans="1:35" ht="18.75" customHeight="1">
      <c r="A110" s="129"/>
      <c r="B110" s="129"/>
      <c r="C110" s="129"/>
      <c r="D110" s="129"/>
      <c r="E110" s="3589"/>
      <c r="F110" s="3590"/>
      <c r="G110" s="1827" t="s">
        <v>1434</v>
      </c>
      <c r="H110" s="2552"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v>
      </c>
      <c r="F111" s="3591"/>
      <c r="G111" s="1827" t="s">
        <v>1432</v>
      </c>
      <c r="H111" s="2592" t="str">
        <f>IF(E111="——","——",N59)</f>
        <v>——</v>
      </c>
      <c r="I111" s="129"/>
    </row>
    <row r="112" spans="1:35" ht="18.75" customHeight="1" thickBot="1">
      <c r="A112" s="129"/>
      <c r="B112" s="129"/>
      <c r="C112" s="129"/>
      <c r="D112" s="129"/>
      <c r="E112" s="3622"/>
      <c r="F112" s="3623"/>
      <c r="G112" s="1830" t="s">
        <v>1434</v>
      </c>
      <c r="H112" s="2596"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0" t="s">
        <v>1443</v>
      </c>
      <c r="B116" s="3595" t="s">
        <v>1444</v>
      </c>
      <c r="C116" s="3595" t="s">
        <v>1445</v>
      </c>
      <c r="D116" s="3608" t="s">
        <v>1446</v>
      </c>
      <c r="E116" s="3609"/>
      <c r="F116" s="3603" t="s">
        <v>1447</v>
      </c>
      <c r="G116" s="3603"/>
      <c r="H116" s="3560" t="s">
        <v>1448</v>
      </c>
      <c r="I116" s="3560"/>
    </row>
    <row r="117" spans="1:27" ht="18.75" customHeight="1">
      <c r="A117" s="3560"/>
      <c r="B117" s="3596"/>
      <c r="C117" s="3596"/>
      <c r="D117" s="2329" t="s">
        <v>1449</v>
      </c>
      <c r="E117" s="2329" t="s">
        <v>1450</v>
      </c>
      <c r="F117" s="2329" t="s">
        <v>1449</v>
      </c>
      <c r="G117" s="2329" t="s">
        <v>1451</v>
      </c>
      <c r="H117" s="2329" t="s">
        <v>1449</v>
      </c>
      <c r="I117" s="2329" t="s">
        <v>1451</v>
      </c>
    </row>
    <row r="118" spans="1:27" ht="24.75" customHeight="1">
      <c r="A118" s="2597" t="str">
        <f>项目基本情况!S2</f>
        <v>北京市朝阳区日坛北路17号院1号楼13层1301、1302号房地产</v>
      </c>
      <c r="B118" s="2329">
        <f>M18</f>
        <v>259.41000000000003</v>
      </c>
      <c r="C118" s="2329">
        <f>M19</f>
        <v>0</v>
      </c>
      <c r="D118" s="2329">
        <f ca="1">ROUND(IF(D32="总价",C34,E118*B118/10000),0)</f>
        <v>788</v>
      </c>
      <c r="E118" s="2329">
        <f ca="1">ROUND(IF(C33="自定义",IF(D32="楼面单价",C34,D118*10000/B118),I118-G118),0)</f>
        <v>30366</v>
      </c>
      <c r="F118" s="2329">
        <f ca="1">ROUND(IF(D32="总价",C35,G118*B118/10000),0)</f>
        <v>95</v>
      </c>
      <c r="G118" s="2329">
        <f ca="1">ROUND(IF(D32="楼面单价",C35,F118*10000/B118),0)</f>
        <v>3677</v>
      </c>
      <c r="H118" s="2329">
        <f ca="1">ROUND(IF(D32="总价",C32,I118*B118/10000),0)</f>
        <v>883</v>
      </c>
      <c r="I118" s="2329">
        <f ca="1">ROUND(IF(D32="楼面单价",C32,H118*10000/B118),0)</f>
        <v>34043</v>
      </c>
    </row>
    <row r="119" spans="1:27" ht="18.75" customHeight="1">
      <c r="A119" s="3560" t="s">
        <v>1452</v>
      </c>
      <c r="B119" s="3560"/>
      <c r="C119" s="3560"/>
      <c r="D119" s="3600" t="str">
        <f ca="1">NUMBERSTRING(INT(D118*10000),2)&amp;"元整"</f>
        <v>柒佰捌拾捌万元整</v>
      </c>
      <c r="E119" s="3602"/>
      <c r="F119" s="3600" t="str">
        <f ca="1">NUMBERSTRING(INT(F118*10000),2)&amp;"元整"</f>
        <v>玖拾伍万元整</v>
      </c>
      <c r="G119" s="3602"/>
      <c r="H119" s="3600" t="str">
        <f ca="1">NUMBERSTRING(INT(H118*10000),2)&amp;"元整"</f>
        <v>捌佰捌拾叁万元整</v>
      </c>
      <c r="I119" s="3602"/>
    </row>
    <row r="120" spans="1:27" ht="18.75" customHeight="1">
      <c r="A120" s="3624" t="str">
        <f>IF(项目基本情况!B9="房地产市场价值","",MID(E103,3,LEN(E103)-2))</f>
        <v/>
      </c>
      <c r="B120" s="3625"/>
      <c r="C120" s="3626"/>
      <c r="D120" s="3624">
        <f>H103</f>
        <v>0</v>
      </c>
      <c r="E120" s="3625"/>
      <c r="F120" s="3625"/>
      <c r="G120" s="3625"/>
      <c r="H120" s="3625"/>
      <c r="I120" s="362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0" t="s">
        <v>1452</v>
      </c>
      <c r="B121" s="3601"/>
      <c r="C121" s="3602"/>
      <c r="D121" s="3600" t="str">
        <f>IF(D120=0,"零元整",NUMBERSTRING(INT(D120*10000),2)&amp;"元整")</f>
        <v>零元整</v>
      </c>
      <c r="E121" s="3601"/>
      <c r="F121" s="3601"/>
      <c r="G121" s="3601"/>
      <c r="H121" s="3601"/>
      <c r="I121" s="3602"/>
      <c r="AA121" s="725"/>
    </row>
    <row r="122" spans="1:27" ht="18.75" customHeight="1">
      <c r="A122" s="3591" t="str">
        <f>IF(项目基本情况!B9="房地产市场价值","",MID(E107,3,LEN(E107)-2))</f>
        <v/>
      </c>
      <c r="B122" s="3591"/>
      <c r="C122" s="3591"/>
      <c r="D122" s="3624">
        <f ca="1">H107</f>
        <v>883</v>
      </c>
      <c r="E122" s="3625"/>
      <c r="F122" s="3625"/>
      <c r="G122" s="3625"/>
      <c r="H122" s="3625"/>
      <c r="I122" s="3626"/>
      <c r="AA122" s="725"/>
    </row>
    <row r="123" spans="1:27" ht="18.75" customHeight="1">
      <c r="A123" s="3560" t="s">
        <v>1452</v>
      </c>
      <c r="B123" s="3560"/>
      <c r="C123" s="3560"/>
      <c r="D123" s="3600" t="str">
        <f ca="1">NUMBERSTRING(INT(D122*10000),2)&amp;"元整"</f>
        <v>捌佰捌拾叁万元整</v>
      </c>
      <c r="E123" s="3601"/>
      <c r="F123" s="3601"/>
      <c r="G123" s="3601"/>
      <c r="H123" s="3601"/>
      <c r="I123" s="3602"/>
      <c r="AA123" s="725"/>
    </row>
    <row r="124" spans="1:27" ht="18.75" customHeight="1">
      <c r="A124" s="3591" t="str">
        <f>IF(项目基本情况!B9="房地产市场价值","",MID(E109,3,LEN(E109)-2))</f>
        <v/>
      </c>
      <c r="B124" s="3591"/>
      <c r="C124" s="3591"/>
      <c r="D124" s="3624" t="str">
        <f>H109</f>
        <v>——</v>
      </c>
      <c r="E124" s="3625"/>
      <c r="F124" s="3625"/>
      <c r="G124" s="3625"/>
      <c r="H124" s="3625"/>
      <c r="I124" s="3626"/>
      <c r="AA124" s="725"/>
    </row>
    <row r="125" spans="1:27" ht="18.75" customHeight="1">
      <c r="A125" s="3560" t="s">
        <v>1452</v>
      </c>
      <c r="B125" s="3560"/>
      <c r="C125" s="3560"/>
      <c r="D125" s="3600" t="e">
        <f>NUMBERSTRING(INT(D124*10000),2)&amp;"元整"</f>
        <v>#VALUE!</v>
      </c>
      <c r="E125" s="3601"/>
      <c r="F125" s="3601"/>
      <c r="G125" s="3601"/>
      <c r="H125" s="3601"/>
      <c r="I125" s="3602"/>
      <c r="AA125" s="725"/>
    </row>
    <row r="126" spans="1:27" ht="18.75" customHeight="1">
      <c r="A126" s="3591" t="str">
        <f>IF(项目基本情况!B9="房地产市场价值","",MID(E111,3,LEN(E111)-2))</f>
        <v/>
      </c>
      <c r="B126" s="3591"/>
      <c r="C126" s="3591"/>
      <c r="D126" s="3624" t="str">
        <f>H111</f>
        <v>——</v>
      </c>
      <c r="E126" s="3625"/>
      <c r="F126" s="3625"/>
      <c r="G126" s="3625"/>
      <c r="H126" s="3625"/>
      <c r="I126" s="3626"/>
      <c r="AA126" s="725"/>
    </row>
    <row r="127" spans="1:27" ht="18.75" customHeight="1">
      <c r="A127" s="3560" t="s">
        <v>1452</v>
      </c>
      <c r="B127" s="3560"/>
      <c r="C127" s="3560"/>
      <c r="D127" s="3600" t="e">
        <f>NUMBERSTRING(INT(D126*10000),2)&amp;"元整"</f>
        <v>#VALUE!</v>
      </c>
      <c r="E127" s="3601"/>
      <c r="F127" s="3601"/>
      <c r="G127" s="3601"/>
      <c r="H127" s="3601"/>
      <c r="I127" s="3602"/>
      <c r="AA127" s="725"/>
    </row>
    <row r="128" spans="1:27" ht="21.75" customHeight="1">
      <c r="A128" s="3607" t="s">
        <v>1453</v>
      </c>
      <c r="B128" s="3607"/>
      <c r="C128" s="3607"/>
      <c r="D128" s="3607"/>
      <c r="E128" s="3607"/>
      <c r="F128" s="3607"/>
      <c r="G128" s="3607"/>
      <c r="H128" s="3607"/>
      <c r="I128" s="360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T57" sqref="T5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76881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2963687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51882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51882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259.41000000000003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259.41000000000003</v>
      </c>
      <c r="E19" s="211">
        <f>'数据-取费表'!B31</f>
        <v>200</v>
      </c>
      <c r="F19" s="231"/>
      <c r="G19" s="1856"/>
    </row>
    <row r="20" spans="1:7" s="214" customFormat="1" ht="13.5" customHeight="1">
      <c r="A20" s="255" t="s">
        <v>1493</v>
      </c>
      <c r="B20" s="210" t="s">
        <v>1494</v>
      </c>
      <c r="C20" s="232">
        <f ca="1">ROUND((C5+C19)*F20,0)</f>
        <v>1557</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5633</v>
      </c>
      <c r="D22" s="235">
        <f ca="1">C26</f>
        <v>1.6000000000000001E-3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5551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81</v>
      </c>
      <c r="D25" s="238"/>
      <c r="E25" s="241"/>
      <c r="F25" s="239"/>
      <c r="G25" s="242" t="s">
        <v>1510</v>
      </c>
    </row>
    <row r="26" spans="1:7" s="214" customFormat="1">
      <c r="A26" s="780" t="s">
        <v>350</v>
      </c>
      <c r="B26" s="215" t="s">
        <v>1511</v>
      </c>
      <c r="C26" s="238">
        <f ca="1">ROUND(IF('数据-取费表'!B22&lt;=1,F21*F22*'数据-取费表'!B23/2,F21*(POWER((1+F22),'数据-取费表'!B23/2)-1)),4)</f>
        <v>1.6000000000000001E-3</v>
      </c>
      <c r="D26" s="238"/>
      <c r="E26" s="241"/>
      <c r="F26" s="239"/>
      <c r="G26" s="243"/>
    </row>
    <row r="27" spans="1:7" s="214" customFormat="1" ht="24.75">
      <c r="A27" s="255" t="s">
        <v>1512</v>
      </c>
      <c r="B27" s="244" t="s">
        <v>1513</v>
      </c>
      <c r="C27" s="245">
        <f ca="1">C28</f>
        <v>10689</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10689</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76742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104</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v>
      </c>
      <c r="D37" s="217">
        <f ca="1">D19</f>
        <v>259.41000000000003</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6</v>
      </c>
      <c r="D41" s="235">
        <f ca="1">C44</f>
        <v>1.6000000000000001E-3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1.6000000000000001E-3</v>
      </c>
      <c r="D44" s="238"/>
      <c r="E44" s="238"/>
      <c r="F44" s="239"/>
      <c r="G44" s="3642"/>
    </row>
    <row r="45" spans="1:7" s="214" customFormat="1" ht="13.5" customHeight="1">
      <c r="A45" s="255" t="s">
        <v>1547</v>
      </c>
      <c r="B45" s="244" t="s">
        <v>1513</v>
      </c>
      <c r="C45" s="245">
        <f ca="1">C46</f>
        <v>24</v>
      </c>
      <c r="D45" s="235">
        <f ca="1">C47</f>
        <v>6.0000000000000001E-3</v>
      </c>
      <c r="E45" s="236" t="s">
        <v>1539</v>
      </c>
      <c r="F45" s="246">
        <f ca="1">F27</f>
        <v>0.2</v>
      </c>
      <c r="G45" s="247" t="s">
        <v>1548</v>
      </c>
    </row>
    <row r="46" spans="1:7" s="214" customFormat="1" ht="13.5" customHeight="1">
      <c r="A46" s="780" t="s">
        <v>346</v>
      </c>
      <c r="B46" s="248" t="s">
        <v>1549</v>
      </c>
      <c r="C46" s="249">
        <f ca="1">ROUND((C33+C39)*F27,0)</f>
        <v>24</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164</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139</v>
      </c>
      <c r="D51" s="232"/>
      <c r="E51" s="232"/>
      <c r="F51" s="264"/>
      <c r="G51" s="234" t="s">
        <v>1560</v>
      </c>
    </row>
    <row r="52" spans="1:7" s="208" customFormat="1" ht="16.5" thickBot="1">
      <c r="A52" s="265" t="s">
        <v>1561</v>
      </c>
      <c r="B52" s="266"/>
      <c r="C52" s="267">
        <f ca="1">C31+C51</f>
        <v>76881</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北京市朝阳区日坛北路17号院1号楼13层1301、1302号房地产市场价值预评估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topLeftCell="A10" zoomScale="90" zoomScaleNormal="70" zoomScaleSheetLayoutView="90" workbookViewId="0">
      <selection activeCell="C34" sqref="C3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1297.6394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50023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7830418</v>
      </c>
      <c r="D5" s="211" t="s">
        <v>1469</v>
      </c>
      <c r="E5" s="212" t="s">
        <v>1470</v>
      </c>
      <c r="F5" s="212" t="s">
        <v>1471</v>
      </c>
      <c r="G5" s="213"/>
    </row>
    <row r="6" spans="1:8" s="214" customFormat="1" ht="13.5" customHeight="1">
      <c r="A6" s="778" t="s">
        <v>1472</v>
      </c>
      <c r="B6" s="215" t="s">
        <v>1473</v>
      </c>
      <c r="C6" s="216">
        <f>ROUND(基准地价修正!C33*基准地价修正!D33,0)</f>
        <v>7548312</v>
      </c>
      <c r="D6" s="217"/>
      <c r="E6" s="218"/>
      <c r="F6" s="218"/>
      <c r="G6" s="219"/>
    </row>
    <row r="7" spans="1:8" s="214" customFormat="1" ht="13.5" customHeight="1">
      <c r="A7" s="778" t="s">
        <v>1474</v>
      </c>
      <c r="B7" s="215" t="s">
        <v>1475</v>
      </c>
      <c r="C7" s="220">
        <f>ROUND(C6*F7,0)</f>
        <v>230224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51882</v>
      </c>
      <c r="D8" s="222"/>
      <c r="E8" s="220"/>
      <c r="F8" s="221"/>
      <c r="G8" s="1856" t="s">
        <v>3398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51882</v>
      </c>
      <c r="D10" s="845">
        <f ca="1">IF(B1="",'数据-汇总表'!E6,IF(INDIRECT("'数据-取费表'!c"&amp;$G$1)="住宅",INDIRECT("'数据-取费表'!s"&amp;$G$1),INDIRECT("'数据-取费表'!k"&amp;$G$1)+INDIRECT("'数据-取费表'!s"&amp;$G$1)))</f>
        <v>259.41000000000003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259.41000000000003</v>
      </c>
      <c r="E19" s="211">
        <f>'数据-取费表'!B31</f>
        <v>200</v>
      </c>
      <c r="F19" s="231"/>
      <c r="G19" s="1856" t="s">
        <v>3399</v>
      </c>
    </row>
    <row r="20" spans="1:7" s="214" customFormat="1" ht="13.5" customHeight="1">
      <c r="A20" s="255" t="s">
        <v>1574</v>
      </c>
      <c r="B20" s="210" t="s">
        <v>1575</v>
      </c>
      <c r="C20" s="232">
        <f ca="1">ROUND((C5+C19)*F20,0)</f>
        <v>234913</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850115</v>
      </c>
      <c r="D22" s="235">
        <f ca="1">C26</f>
        <v>1.6000000000000001E-3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837866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12249</v>
      </c>
      <c r="D25" s="238"/>
      <c r="E25" s="241"/>
      <c r="F25" s="239"/>
      <c r="G25" s="242" t="s">
        <v>1588</v>
      </c>
    </row>
    <row r="26" spans="1:7" s="214" customFormat="1">
      <c r="A26" s="780" t="s">
        <v>350</v>
      </c>
      <c r="B26" s="215" t="s">
        <v>1511</v>
      </c>
      <c r="C26" s="238">
        <f ca="1">ROUND(IF('数据-取费表'!B22&lt;=1,F21*F22*'数据-取费表'!B22/2,F21*(POWER((1+F22),'数据-取费表'!B22/2)-1)),4)</f>
        <v>1.6000000000000001E-3</v>
      </c>
      <c r="D26" s="238"/>
      <c r="E26" s="241"/>
      <c r="F26" s="239"/>
      <c r="G26" s="243"/>
    </row>
    <row r="27" spans="1:7" s="214" customFormat="1" ht="24.75">
      <c r="A27" s="255" t="s">
        <v>1512</v>
      </c>
      <c r="B27" s="244" t="s">
        <v>1513</v>
      </c>
      <c r="C27" s="245">
        <f ca="1">C28</f>
        <v>1613066</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1613066</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11581247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1156969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1037640</v>
      </c>
      <c r="D34" s="217"/>
      <c r="E34" s="220"/>
      <c r="F34" s="257"/>
      <c r="G34" s="219"/>
    </row>
    <row r="35" spans="1:7" ht="13.5" customHeight="1">
      <c r="A35" s="780" t="s">
        <v>351</v>
      </c>
      <c r="B35" s="215" t="s">
        <v>1527</v>
      </c>
      <c r="C35" s="220">
        <f ca="1">ROUND(C34*F35,0)</f>
        <v>51882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51882</v>
      </c>
      <c r="D37" s="217">
        <f ca="1">D19</f>
        <v>259.41000000000003</v>
      </c>
      <c r="E37" s="249">
        <f>'数据-取费表'!B35</f>
        <v>200</v>
      </c>
      <c r="F37" s="259"/>
      <c r="G37" s="261"/>
    </row>
    <row r="38" spans="1:7" ht="13.5" customHeight="1">
      <c r="A38" s="780" t="s">
        <v>354</v>
      </c>
      <c r="B38" s="215" t="s">
        <v>1533</v>
      </c>
      <c r="C38" s="220">
        <f ca="1">ROUND(C34*F38,0)</f>
        <v>15565</v>
      </c>
      <c r="D38" s="220"/>
      <c r="E38" s="220"/>
      <c r="F38" s="259">
        <f>'数据-取费表'!B36</f>
        <v>1.4999999999999999E-2</v>
      </c>
      <c r="G38" s="219" t="s">
        <v>1528</v>
      </c>
    </row>
    <row r="39" spans="1:7" s="214" customFormat="1" ht="13.5" customHeight="1">
      <c r="A39" s="255" t="s">
        <v>1534</v>
      </c>
      <c r="B39" s="210" t="s">
        <v>1535</v>
      </c>
      <c r="C39" s="232">
        <f ca="1">ROUND(C33*F20,0)</f>
        <v>34709</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62136</v>
      </c>
      <c r="D41" s="235">
        <f ca="1">C44</f>
        <v>1.6000000000000001E-3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60326</v>
      </c>
      <c r="D42" s="238"/>
      <c r="E42" s="238"/>
      <c r="F42" s="239"/>
      <c r="G42" s="3640" t="s">
        <v>1591</v>
      </c>
    </row>
    <row r="43" spans="1:7" ht="13.5" customHeight="1">
      <c r="A43" s="780" t="s">
        <v>347</v>
      </c>
      <c r="B43" s="215" t="s">
        <v>1545</v>
      </c>
      <c r="C43" s="238">
        <f ca="1">ROUND(IF('数据-取费表'!B22&lt;=1,C39*F22*'数据-取费表'!B20/2,C39*(POWER((1+F22),'数据-取费表'!B20/2)-1)),0)</f>
        <v>1810</v>
      </c>
      <c r="D43" s="238"/>
      <c r="E43" s="238"/>
      <c r="F43" s="239"/>
      <c r="G43" s="3641"/>
    </row>
    <row r="44" spans="1:7" ht="13.5" customHeight="1">
      <c r="A44" s="780" t="s">
        <v>348</v>
      </c>
      <c r="B44" s="215" t="s">
        <v>1546</v>
      </c>
      <c r="C44" s="238">
        <f ca="1">ROUND(IF('数据-取费表'!B22&lt;=1,C40*F22*'数据-取费表'!B20/2,C40*(POWER((1+F22),'数据-取费表'!B20/2)-1)),4)</f>
        <v>1.6000000000000001E-3</v>
      </c>
      <c r="D44" s="238"/>
      <c r="E44" s="238"/>
      <c r="F44" s="239"/>
      <c r="G44" s="3642"/>
    </row>
    <row r="45" spans="1:7" s="214" customFormat="1" ht="13.5" customHeight="1">
      <c r="A45" s="255" t="s">
        <v>1547</v>
      </c>
      <c r="B45" s="244" t="s">
        <v>1513</v>
      </c>
      <c r="C45" s="245">
        <f ca="1">C46</f>
        <v>238336</v>
      </c>
      <c r="D45" s="235">
        <f ca="1">C47</f>
        <v>6.0000000000000001E-3</v>
      </c>
      <c r="E45" s="236" t="s">
        <v>1539</v>
      </c>
      <c r="F45" s="246">
        <f ca="1">F27</f>
        <v>0.2</v>
      </c>
      <c r="G45" s="247" t="s">
        <v>1548</v>
      </c>
    </row>
    <row r="46" spans="1:7" s="214" customFormat="1" ht="13.5" customHeight="1">
      <c r="A46" s="780" t="s">
        <v>346</v>
      </c>
      <c r="B46" s="248" t="s">
        <v>1549</v>
      </c>
      <c r="C46" s="249">
        <f ca="1">ROUND((C33+C39)*F27,0)</f>
        <v>238336</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1641349</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1395147</v>
      </c>
      <c r="D51" s="232"/>
      <c r="E51" s="232"/>
      <c r="F51" s="264"/>
      <c r="G51" s="234" t="s">
        <v>1560</v>
      </c>
    </row>
    <row r="52" spans="1:7" s="208" customFormat="1" ht="16.5" thickBot="1">
      <c r="A52" s="265" t="s">
        <v>1561</v>
      </c>
      <c r="B52" s="266"/>
      <c r="C52" s="267">
        <f ca="1">C31+C51</f>
        <v>12976394</v>
      </c>
      <c r="D52" s="266"/>
      <c r="E52" s="266"/>
      <c r="F52" s="266"/>
      <c r="G52" s="268"/>
    </row>
    <row r="55" spans="1:7" ht="15">
      <c r="B55" s="270" t="s">
        <v>1562</v>
      </c>
      <c r="C55" s="271"/>
    </row>
    <row r="56" spans="1:7">
      <c r="B56" s="273" t="s">
        <v>802</v>
      </c>
      <c r="C56" s="275">
        <f ca="1">1-C57</f>
        <v>0.89200000000000002</v>
      </c>
    </row>
    <row r="57" spans="1:7">
      <c r="B57" s="273" t="s">
        <v>803</v>
      </c>
      <c r="C57" s="274">
        <f ca="1">ROUND(C51/C52,3)</f>
        <v>0.108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62313</v>
      </c>
      <c r="C2" s="276" t="s">
        <v>1595</v>
      </c>
      <c r="D2" s="276"/>
      <c r="E2" s="2802"/>
      <c r="F2" s="2802"/>
      <c r="G2" s="2802"/>
      <c r="H2" s="2802"/>
      <c r="I2" s="2802"/>
      <c r="J2" s="2802"/>
      <c r="K2" s="2802"/>
    </row>
    <row r="3" spans="1:33" ht="18" customHeight="1" thickBot="1">
      <c r="A3" s="203" t="s">
        <v>1464</v>
      </c>
      <c r="B3" s="204">
        <f ca="1">ROUND(B2*10000/IF(C1="",'数据-汇总表'!E3,INDIRECT("'数据-取费表'!K"&amp;$K$1)),0)</f>
        <v>2402105</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259.41000000000003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259.41000000000003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-51877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259.41000000000003</v>
      </c>
      <c r="E20" s="21">
        <f>'数据-取费表'!B28</f>
        <v>200</v>
      </c>
      <c r="F20" s="804"/>
      <c r="G20" s="12"/>
      <c r="H20" s="809"/>
      <c r="I20" s="809"/>
      <c r="J20" s="809"/>
      <c r="K20" s="810"/>
    </row>
    <row r="21" spans="1:33" s="803" customFormat="1" ht="13.5" customHeight="1">
      <c r="A21" s="790" t="s">
        <v>357</v>
      </c>
      <c r="B21" s="813" t="s">
        <v>1628</v>
      </c>
      <c r="C21" s="814">
        <f ca="1">C16+C17+C18</f>
        <v>-51877</v>
      </c>
      <c r="D21" s="815"/>
      <c r="E21" s="281"/>
      <c r="F21" s="281"/>
      <c r="G21" s="131" t="s">
        <v>1629</v>
      </c>
      <c r="H21" s="807"/>
      <c r="I21" s="807"/>
      <c r="J21" s="807"/>
      <c r="K21" s="808"/>
    </row>
    <row r="22" spans="1:33" s="803" customFormat="1" ht="13.5" customHeight="1">
      <c r="A22" s="790" t="s">
        <v>1601</v>
      </c>
      <c r="B22" s="813" t="s">
        <v>1630</v>
      </c>
      <c r="C22" s="814">
        <f ca="1">ROUND(C21*F22,0)</f>
        <v>-1556</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-10687</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-10687</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62313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6" zoomScale="90" zoomScaleNormal="70" zoomScaleSheetLayoutView="90" workbookViewId="0">
      <selection activeCell="T57" sqref="T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5" t="s">
        <v>694</v>
      </c>
      <c r="C6" s="1074">
        <f ca="1">ROUND(F6*F8*F7*(1-F9)/10000,0)</f>
        <v>0</v>
      </c>
      <c r="D6" s="155" t="s">
        <v>2107</v>
      </c>
      <c r="E6" s="302" t="s">
        <v>696</v>
      </c>
      <c r="F6" s="303">
        <f ca="1">INDIRECT("'数据-取费表'!u"&amp;$G$1)</f>
        <v>0</v>
      </c>
      <c r="G6" s="1384"/>
      <c r="H6" s="1069" t="s">
        <v>398</v>
      </c>
      <c r="I6" s="3645" t="s">
        <v>694</v>
      </c>
      <c r="J6" s="301">
        <f ca="1">ROUND(M6*M8*M7*(1-M9)/10000,0)</f>
        <v>0</v>
      </c>
      <c r="K6" s="155" t="s">
        <v>2106</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0</v>
      </c>
      <c r="G7" s="1384"/>
      <c r="H7" s="304"/>
      <c r="I7" s="3646"/>
      <c r="J7" s="306"/>
      <c r="K7" s="307"/>
      <c r="L7" s="302" t="s">
        <v>697</v>
      </c>
      <c r="M7" s="303">
        <f ca="1">F7</f>
        <v>0</v>
      </c>
    </row>
    <row r="8" spans="1:37" ht="18" customHeight="1">
      <c r="A8" s="304"/>
      <c r="B8" s="3646"/>
      <c r="C8" s="306"/>
      <c r="D8" s="307"/>
      <c r="E8" s="302" t="s">
        <v>698</v>
      </c>
      <c r="F8" s="303">
        <f ca="1">INDIRECT("'数据-取费表'!ai"&amp;$G$1)</f>
        <v>0</v>
      </c>
      <c r="G8" s="1384"/>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4" t="s">
        <v>2304</v>
      </c>
      <c r="I31" s="1398"/>
      <c r="J31" s="1399"/>
      <c r="K31" s="2472"/>
      <c r="L31" s="2694"/>
      <c r="M31" s="2695"/>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643" t="s">
        <v>837</v>
      </c>
      <c r="L53" s="364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0" zoomScaleNormal="80" zoomScaleSheetLayoutView="80" workbookViewId="0">
      <selection activeCell="I24" sqref="I2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259.41000000000003</v>
      </c>
      <c r="E1" s="1995"/>
      <c r="F1" s="1995"/>
      <c r="G1" s="1995"/>
      <c r="H1" s="1995"/>
      <c r="I1" s="1995"/>
      <c r="J1" s="1995"/>
      <c r="K1" s="1119"/>
      <c r="L1" s="1996" t="s">
        <v>1928</v>
      </c>
      <c r="M1" s="863">
        <f>SUMPRODUCT((区片价!B5:B9=I2)*(区片价!C3:G3=E2)*(区片价!C5:G9))</f>
        <v>32510</v>
      </c>
      <c r="N1" s="866">
        <f>SUMPRODUCT((因素修正幅度!B5:B9=I2)*(因素修正幅度!C3:G3=E2)*(因素修正幅度!C5:G9))</f>
        <v>8.2000000000000003E-2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755</v>
      </c>
      <c r="C2" s="1999" t="s">
        <v>1935</v>
      </c>
      <c r="D2" s="2000" t="s">
        <v>1936</v>
      </c>
      <c r="E2" s="3420" t="s">
        <v>21</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1.5206</v>
      </c>
      <c r="T2" s="3359">
        <f t="shared" ref="T2:T16" si="0">ROUND($C$5*$C$22*$C$23*$C$24*S2*$C$28,0)</f>
        <v>44247</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29105</v>
      </c>
      <c r="C3" s="1999" t="s">
        <v>1941</v>
      </c>
      <c r="D3" s="2000" t="s">
        <v>1942</v>
      </c>
      <c r="E3" s="3418" t="s">
        <v>3386</v>
      </c>
      <c r="F3" s="2004" t="s">
        <v>3387</v>
      </c>
      <c r="G3" s="752">
        <f>IF(F3="宗地容积率",'数据-汇总表'!I4,IF(F3="估价对象容积率",'数据-汇总表'!I6,'数据-汇总表'!I7))</f>
        <v>3.5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35127</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655"/>
      <c r="B4" s="3656"/>
      <c r="C4" s="3656"/>
      <c r="D4" s="3657"/>
      <c r="E4" s="3657"/>
      <c r="F4" s="3657"/>
      <c r="G4" s="3657"/>
      <c r="H4" s="3657"/>
      <c r="I4" s="3657"/>
      <c r="J4" s="365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30352</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32479</v>
      </c>
      <c r="D5" s="1339">
        <f>ROUND(C6*C17+C20,0)</f>
        <v>32479</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27466</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32510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26177</v>
      </c>
      <c r="U6" s="1213"/>
      <c r="V6" s="3359">
        <f t="shared" si="1"/>
        <v>0</v>
      </c>
      <c r="W6" s="1216"/>
      <c r="X6" s="1216"/>
      <c r="Y6" s="1216"/>
      <c r="Z6" s="1216"/>
      <c r="AA6" s="1216"/>
      <c r="AB6" s="1216"/>
      <c r="AC6" s="2011"/>
      <c r="AD6" s="2012"/>
      <c r="AE6" s="2012"/>
      <c r="AF6" s="2012"/>
      <c r="AG6" s="2012"/>
      <c r="AH6" s="2012"/>
      <c r="AI6" s="2012"/>
      <c r="AJ6" s="2013"/>
    </row>
    <row r="7" spans="1:36" ht="24.75" thickBot="1">
      <c r="A7" s="3301"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一级</v>
      </c>
      <c r="Y7" s="1214" t="s">
        <v>1956</v>
      </c>
      <c r="Z7" s="1215">
        <f>G3</f>
        <v>3.5</v>
      </c>
      <c r="AA7" s="1216"/>
      <c r="AB7" s="1216"/>
      <c r="AC7" s="1217"/>
      <c r="AD7" s="1218"/>
      <c r="AE7" s="1218"/>
      <c r="AF7" s="1218"/>
      <c r="AG7" s="1218"/>
      <c r="AH7" s="1218"/>
      <c r="AI7" s="1218"/>
      <c r="AJ7" s="1219"/>
    </row>
    <row r="8" spans="1:36" ht="25.5">
      <c r="A8" s="3296"/>
      <c r="B8" s="170" t="s">
        <v>1957</v>
      </c>
      <c r="C8" s="2026" t="s">
        <v>3388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652" t="s">
        <v>1960</v>
      </c>
      <c r="X8" s="365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654"/>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65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5"/>
      <c r="AE11" s="2785"/>
      <c r="AF11" s="2785"/>
      <c r="AG11" s="2785"/>
      <c r="AH11" s="2785"/>
      <c r="AI11" s="2785"/>
      <c r="AJ11" s="2786"/>
    </row>
    <row r="12" spans="1:36" ht="25.5" thickBot="1">
      <c r="A12" s="3301" t="s">
        <v>3241</v>
      </c>
      <c r="B12" s="3302" t="s">
        <v>3242</v>
      </c>
      <c r="C12" s="3303">
        <v>1</v>
      </c>
      <c r="D12" s="3304" t="s">
        <v>3243</v>
      </c>
      <c r="E12" s="3305" t="s">
        <v>3244</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5"/>
      <c r="AE12" s="2785"/>
      <c r="AF12" s="2785"/>
      <c r="AG12" s="2785"/>
      <c r="AH12" s="2785"/>
      <c r="AI12" s="2785"/>
      <c r="AJ12" s="2786"/>
    </row>
    <row r="13" spans="1:36" ht="15.75" thickBot="1">
      <c r="A13" s="3301" t="s">
        <v>3245</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9">
        <f t="shared" si="0"/>
        <v>0</v>
      </c>
      <c r="U13" s="1213"/>
      <c r="V13" s="3359">
        <f t="shared" si="1"/>
        <v>0</v>
      </c>
      <c r="W13" s="1216"/>
      <c r="X13" s="1216"/>
      <c r="Y13" s="1216"/>
      <c r="Z13" s="1216"/>
      <c r="AA13" s="1216"/>
      <c r="AB13" s="1216"/>
      <c r="AC13" s="1217"/>
      <c r="AD13" s="2785"/>
      <c r="AE13" s="2785"/>
      <c r="AF13" s="2785"/>
      <c r="AG13" s="2785"/>
      <c r="AH13" s="2785"/>
      <c r="AI13" s="2785"/>
      <c r="AJ13" s="2786"/>
    </row>
    <row r="14" spans="1:36" ht="15">
      <c r="A14" s="3295"/>
      <c r="B14" s="2040" t="s">
        <v>1985</v>
      </c>
      <c r="C14" s="2041" t="s">
        <v>1986</v>
      </c>
      <c r="D14" s="1350" t="s">
        <v>1987</v>
      </c>
      <c r="E14" s="27" t="s">
        <v>1988</v>
      </c>
      <c r="F14" s="3309" t="s">
        <v>3246</v>
      </c>
      <c r="G14" s="3309" t="s">
        <v>3246</v>
      </c>
      <c r="H14" s="3309" t="s">
        <v>3246</v>
      </c>
      <c r="I14" s="3309" t="s">
        <v>3246</v>
      </c>
      <c r="J14" s="3309" t="s">
        <v>3246</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5"/>
      <c r="AE14" s="2785"/>
      <c r="AF14" s="2785"/>
      <c r="AG14" s="2785"/>
      <c r="AH14" s="2785"/>
      <c r="AI14" s="2785"/>
      <c r="AJ14" s="2786"/>
    </row>
    <row r="15" spans="1:36" ht="15">
      <c r="A15" s="3295"/>
      <c r="B15" s="2042"/>
      <c r="C15" s="2043" t="s">
        <v>3389</v>
      </c>
      <c r="D15" s="2044" t="s">
        <v>3390</v>
      </c>
      <c r="E15" s="2045" t="s">
        <v>3409</v>
      </c>
      <c r="F15" s="3310" t="s">
        <v>3247</v>
      </c>
      <c r="G15" s="3311"/>
      <c r="H15" s="3312"/>
      <c r="I15" s="3313"/>
      <c r="J15" s="3314"/>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5"/>
      <c r="AE15" s="2785"/>
      <c r="AF15" s="2785"/>
      <c r="AG15" s="2785"/>
      <c r="AH15" s="2785"/>
      <c r="AI15" s="2785"/>
      <c r="AJ15" s="2786"/>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5"/>
      <c r="AE16" s="2785"/>
      <c r="AF16" s="2785"/>
      <c r="AG16" s="2785"/>
      <c r="AH16" s="2785"/>
      <c r="AI16" s="2785"/>
      <c r="AJ16" s="2786"/>
    </row>
    <row r="17" spans="1:37">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6"/>
      <c r="C18" s="3325"/>
      <c r="D18" s="3320" t="s">
        <v>3251</v>
      </c>
      <c r="E18" s="3326"/>
      <c r="F18" s="3321" t="s">
        <v>3254</v>
      </c>
      <c r="G18" s="3325">
        <f>ROUND(1-(1/(POWER(1+G24,E18))),4)</f>
        <v>0</v>
      </c>
      <c r="H18" s="3321" t="s">
        <v>3256</v>
      </c>
      <c r="I18" s="3325">
        <f>ROUND(1-(1/(POWER(1+G24,J24))),4)</f>
        <v>0.93120000000000003</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2"/>
      <c r="B19" s="3333"/>
      <c r="C19" s="3334"/>
      <c r="D19" s="3334" t="s">
        <v>3252</v>
      </c>
      <c r="E19" s="3335"/>
      <c r="F19" s="3336" t="s">
        <v>3255</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659" t="s">
        <v>3257</v>
      </c>
      <c r="B20" s="167" t="s">
        <v>1994</v>
      </c>
      <c r="C20" s="3322">
        <f>ROUND(IF(F21="与级别开发程度一致",0,(G21-E21)/C21),0)</f>
        <v>-31</v>
      </c>
      <c r="D20" s="3338" t="s">
        <v>1998</v>
      </c>
      <c r="E20" s="3339"/>
      <c r="F20" s="3665" t="s">
        <v>1995</v>
      </c>
      <c r="G20" s="3666"/>
      <c r="H20" s="3323" t="s">
        <v>3391</v>
      </c>
      <c r="I20" s="3323" t="s">
        <v>3392</v>
      </c>
      <c r="J20" s="3324" t="s">
        <v>3393</v>
      </c>
      <c r="K20" s="2047" t="s">
        <v>3394</v>
      </c>
      <c r="L20" s="2047" t="s">
        <v>3395</v>
      </c>
      <c r="M20" s="2047" t="s">
        <v>3396</v>
      </c>
      <c r="N20" s="2047" t="s">
        <v>43</v>
      </c>
      <c r="O20" s="2048" t="s">
        <v>43</v>
      </c>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3660"/>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3397</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2054" t="s">
        <v>2002</v>
      </c>
      <c r="E23" s="761">
        <v>44197</v>
      </c>
      <c r="F23" s="2054" t="s">
        <v>2003</v>
      </c>
      <c r="G23" s="762">
        <f>'数据-取费表'!B2</f>
        <v>44931</v>
      </c>
      <c r="H23" s="3340" t="s">
        <v>3259</v>
      </c>
      <c r="I23" s="3341" t="str">
        <f>IF(H23="季度增幅（自定义）",SUMIF(N25:N28,E2,O25:O28),"")</f>
        <v/>
      </c>
      <c r="J23" s="3342" t="s">
        <v>3258</v>
      </c>
      <c r="K23" s="1125"/>
      <c r="L23" s="2055" t="s">
        <v>2004</v>
      </c>
      <c r="M23" s="1328">
        <f>ROUND(SUMIF(地价!B2:G2,E2,地价!B16:G16),0)</f>
        <v>350</v>
      </c>
      <c r="N23" s="2056" t="s">
        <v>2005</v>
      </c>
      <c r="O23" s="763">
        <f>ROUNDDOWN(DATEDIF(E23,G23,"M")/3,0)</f>
        <v>8</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0.84470000000000001</v>
      </c>
      <c r="D24" s="2060" t="s">
        <v>2007</v>
      </c>
      <c r="E24" s="1335">
        <f>存贷款利率!E22/100</f>
        <v>4.3499999999999997E-2</v>
      </c>
      <c r="F24" s="2060" t="s">
        <v>1999</v>
      </c>
      <c r="G24" s="768">
        <f>SUMIF(M30:Q30,E2,M33:Q33)</f>
        <v>5.5E-2</v>
      </c>
      <c r="H24" s="2060" t="s">
        <v>2008</v>
      </c>
      <c r="I24" s="769">
        <f>SUMIF('数据-取费表'!C6:C15,E2,'数据-取费表'!F6:F15)/COUNTIF('数据-取费表'!C6:C15,E2)</f>
        <v>28.85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3338</v>
      </c>
      <c r="C25" s="771">
        <f>IF(B25="容积率修正",IF(G3&lt;10,D26,J26),C27)</f>
        <v>1</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3260</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3261</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1.0466</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755</v>
      </c>
      <c r="D30" s="2083"/>
      <c r="E30" s="2046"/>
      <c r="F30" s="2084"/>
      <c r="G30" s="2046"/>
      <c r="H30" s="2046"/>
      <c r="I30" s="2046"/>
      <c r="J30" s="2085"/>
      <c r="K30" s="1119"/>
      <c r="L30" s="3349" t="s">
        <v>1936</v>
      </c>
      <c r="M30" s="3350" t="s">
        <v>1990</v>
      </c>
      <c r="N30" s="3350" t="s">
        <v>1991</v>
      </c>
      <c r="O30" s="3350" t="s">
        <v>1992</v>
      </c>
      <c r="P30" s="3350" t="s">
        <v>1993</v>
      </c>
      <c r="Q30" s="3353"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7">
        <f>ROUND($E$24*(1+M31),3)</f>
        <v>5.3999999999999999E-2</v>
      </c>
      <c r="N32" s="2567">
        <f>ROUND($E$24*(1+N31),3)</f>
        <v>5.1999999999999998E-2</v>
      </c>
      <c r="O32" s="2567">
        <f>ROUND($E$24*(1+O31),3)</f>
        <v>0.05</v>
      </c>
      <c r="P32" s="2567">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29098</v>
      </c>
      <c r="D33" s="2098">
        <f>'数据-汇总表'!E3</f>
        <v>259.41000000000003</v>
      </c>
      <c r="E33" s="773">
        <f>ROUND(C33*D33/10000,0)</f>
        <v>755</v>
      </c>
      <c r="F33" s="3344" t="s">
        <v>3263</v>
      </c>
      <c r="G33" s="2099"/>
      <c r="H33" s="2099"/>
      <c r="I33" s="2099"/>
      <c r="J33" s="2100"/>
      <c r="K33" s="1119"/>
      <c r="L33" s="3347" t="s">
        <v>3266</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7275</v>
      </c>
      <c r="D34" s="2103"/>
      <c r="E34" s="773">
        <f>ROUND(IF(B25="楼层修正",SUM(V2:V16)*M40,C34*D34/10000),0)</f>
        <v>0</v>
      </c>
      <c r="F34" s="2104" t="s">
        <v>2032</v>
      </c>
      <c r="G34" s="2105"/>
      <c r="H34" s="2105"/>
      <c r="I34" s="2105"/>
      <c r="J34" s="2106"/>
      <c r="K34" s="1119"/>
      <c r="L34" s="3347" t="s">
        <v>3267</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3268</v>
      </c>
      <c r="L36" s="3355">
        <v>3.6999999999999998E-2</v>
      </c>
      <c r="M36" s="3356">
        <f>ROUND($L$36*(1+M31),3)</f>
        <v>4.5999999999999999E-2</v>
      </c>
      <c r="N36" s="3356">
        <f>ROUND($L$36*(1+N31),3)</f>
        <v>4.3999999999999997E-2</v>
      </c>
      <c r="O36" s="3356">
        <f>ROUND($L$36*(1+O31),3)</f>
        <v>4.2999999999999997E-2</v>
      </c>
      <c r="P36" s="3356">
        <f>ROUND($L$36*(1+P31),3)</f>
        <v>4.1000000000000002E-2</v>
      </c>
      <c r="Q36" s="3356">
        <f>ROUND($L$36*(1+Q31),3)</f>
        <v>4.2999999999999997E-2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63"/>
      <c r="B37" s="2113" t="s">
        <v>2036</v>
      </c>
      <c r="C37" s="175">
        <f>ROUND(D5*C22*C23*C24*C28*F37,0)</f>
        <v>20369</v>
      </c>
      <c r="D37" s="2098"/>
      <c r="E37" s="171">
        <f>ROUND(C37*D37/10000,0)</f>
        <v>0</v>
      </c>
      <c r="F37" s="171">
        <f>SUMIF(修正!A57:A68,G2,修正!B57:B68)</f>
        <v>0.7</v>
      </c>
      <c r="G37" s="171">
        <f>ROUND(IF(E2="工业",C37*$M$42,C37*$M$41),0)</f>
        <v>5092</v>
      </c>
      <c r="H37" s="171">
        <f>D37</f>
        <v>0</v>
      </c>
      <c r="I37" s="171">
        <f>ROUND(G37*H37/10000,0)</f>
        <v>0</v>
      </c>
      <c r="J37" s="3008"/>
      <c r="K37" s="3357" t="s">
        <v>3269</v>
      </c>
      <c r="L37" s="3355">
        <f>L36+K38</f>
        <v>4.1999999999999996E-2</v>
      </c>
      <c r="M37" s="3356">
        <f>ROUND($L$37*(1+M31),3)</f>
        <v>5.2999999999999999E-2</v>
      </c>
      <c r="N37" s="3356">
        <f t="shared" ref="N37:Q37" si="3">ROUND($L$37*(1+N31),3)</f>
        <v>0.05</v>
      </c>
      <c r="O37" s="3356">
        <f t="shared" si="3"/>
        <v>4.8000000000000001E-2</v>
      </c>
      <c r="P37" s="3356">
        <f t="shared" si="3"/>
        <v>4.5999999999999999E-2</v>
      </c>
      <c r="Q37" s="3356">
        <f t="shared"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64"/>
      <c r="B38" s="2041" t="s">
        <v>2037</v>
      </c>
      <c r="C38" s="175">
        <f>ROUND(D5*C22*C23*C24*C28*F38,0)</f>
        <v>11639</v>
      </c>
      <c r="D38" s="2098"/>
      <c r="E38" s="171">
        <f t="shared" ref="E38:E42" si="4">ROUND(C38*D38/10000,0)</f>
        <v>0</v>
      </c>
      <c r="F38" s="171">
        <f>SUMIF(修正!A57:A68,G2,修正!C57:C68)</f>
        <v>0.4</v>
      </c>
      <c r="G38" s="171">
        <f>ROUND(IF(E2="工业",C38*$M$42,C38*$M$41),0)</f>
        <v>2910</v>
      </c>
      <c r="H38" s="171">
        <f t="shared" ref="H38:H42" si="5">D38</f>
        <v>0</v>
      </c>
      <c r="I38" s="171">
        <f t="shared" ref="I38:I42" si="6">ROUND(G38*H38/10000,0)</f>
        <v>0</v>
      </c>
      <c r="J38" s="3007"/>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664"/>
      <c r="B39" s="2041" t="s">
        <v>3262</v>
      </c>
      <c r="C39" s="175">
        <f>ROUND(D5*C22*C23*C24*C28*F39,0)</f>
        <v>8729</v>
      </c>
      <c r="D39" s="2098"/>
      <c r="E39" s="171">
        <f t="shared" si="4"/>
        <v>0</v>
      </c>
      <c r="F39" s="171">
        <f>SUMIF(修正!A57:A68,G2,修正!D57:D68)</f>
        <v>0.3</v>
      </c>
      <c r="G39" s="171">
        <f>ROUND(IF(E2="工业",C39*$M$42,C39*$M$41),0)</f>
        <v>2182</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8729</v>
      </c>
      <c r="D40" s="2098"/>
      <c r="E40" s="171">
        <f t="shared" si="4"/>
        <v>0</v>
      </c>
      <c r="F40" s="175">
        <f>SUMIF(修正!A57:A68,G2,修正!E57:E68)</f>
        <v>0.3</v>
      </c>
      <c r="G40" s="171">
        <f>ROUND(IF(E2="工业",C40*$M$42,C40*$M$41),0)</f>
        <v>2182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8"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30" t="s">
        <v>2052</v>
      </c>
      <c r="B50" s="2133" t="str">
        <f>估价对象房地状况!C4</f>
        <v xml:space="preserve"> </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2053</v>
      </c>
      <c r="B51" s="2134" t="str">
        <f>估价对象房地状况!C18</f>
        <v>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3272</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2059</v>
      </c>
      <c r="B56" s="1326" t="str">
        <f>估价对象房地状况!C21</f>
        <v>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2061</v>
      </c>
      <c r="B58" s="2139" t="str">
        <f>估价对象房地状况!C20</f>
        <v>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1.0466</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t="s">
        <v>3421</v>
      </c>
      <c r="D61" s="1065">
        <f t="shared" ref="D61:D69" si="12">SUMIF($J$60:$N$60,C61,J61:N61)</f>
        <v>1.0200000000000001E-2</v>
      </c>
      <c r="E61" s="744">
        <f>ROUND(SUM(D61:D69),4)</f>
        <v>4.6600000000000003E-2</v>
      </c>
      <c r="F61" s="1814">
        <f>IF(E2="办公",SUMIF(L1:L12,G2,N1:N12),"——")</f>
        <v>8.2000000000000003E-2</v>
      </c>
      <c r="G61" s="1063">
        <v>1.0200000000000001E-2</v>
      </c>
      <c r="H61" s="1066">
        <f t="shared" ref="H61:H69" si="13">IFERROR(ROUNDDOWN($F$61*I61/2,4),"——")</f>
        <v>1.0200000000000001E-2</v>
      </c>
      <c r="I61" s="3365">
        <v>0.25</v>
      </c>
      <c r="J61" s="1064">
        <f t="shared" ref="J61:J69" si="14">K61+$G61</f>
        <v>2.0400000000000001E-2</v>
      </c>
      <c r="K61" s="1064">
        <f t="shared" ref="K61:K69" si="15">$L61+$G61</f>
        <v>1.0200000000000001E-2</v>
      </c>
      <c r="L61" s="1064">
        <v>0</v>
      </c>
      <c r="M61" s="1064">
        <f t="shared" ref="M61:N69" si="16">L61-$G61</f>
        <v>-1.0200000000000001E-2</v>
      </c>
      <c r="N61" s="1064">
        <f t="shared" si="16"/>
        <v>-2.0400000000000001E-2</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t="s">
        <v>3421</v>
      </c>
      <c r="D62" s="1065">
        <f t="shared" si="12"/>
        <v>1.06E-2</v>
      </c>
      <c r="E62" s="745"/>
      <c r="F62" s="1814"/>
      <c r="G62" s="1063">
        <v>1.06E-2</v>
      </c>
      <c r="H62" s="1066">
        <f t="shared" si="13"/>
        <v>1.06E-2</v>
      </c>
      <c r="I62" s="3365">
        <v>0.26</v>
      </c>
      <c r="J62" s="1064">
        <f t="shared" si="14"/>
        <v>2.12E-2</v>
      </c>
      <c r="K62" s="1064">
        <f t="shared" si="15"/>
        <v>1.06E-2</v>
      </c>
      <c r="L62" s="1064">
        <v>0</v>
      </c>
      <c r="M62" s="1064">
        <f t="shared" si="16"/>
        <v>-1.06E-2</v>
      </c>
      <c r="N62" s="1064">
        <f t="shared" si="16"/>
        <v>-2.12E-2</v>
      </c>
      <c r="AA62" s="1120"/>
      <c r="AB62" s="1120"/>
      <c r="AC62" s="1120"/>
      <c r="AD62" s="1120"/>
      <c r="AE62" s="1120"/>
      <c r="AF62" s="1120"/>
      <c r="AG62" s="1120"/>
      <c r="AH62" s="1120"/>
      <c r="AI62" s="1120"/>
      <c r="AJ62" s="1120"/>
      <c r="AK62" s="1120"/>
    </row>
    <row r="63" spans="1:37" s="1119" customFormat="1" ht="36">
      <c r="A63" s="3367" t="s">
        <v>3272</v>
      </c>
      <c r="B63" s="2134">
        <f>估价对象房地状况!C19</f>
        <v>0</v>
      </c>
      <c r="C63" s="2044" t="s">
        <v>3422</v>
      </c>
      <c r="D63" s="1065">
        <f t="shared" si="12"/>
        <v>8.9999999999999993E-3</v>
      </c>
      <c r="E63" s="745"/>
      <c r="F63" s="1814"/>
      <c r="G63" s="1063">
        <v>4.4999999999999997E-3</v>
      </c>
      <c r="H63" s="1066">
        <f t="shared" si="13"/>
        <v>4.4999999999999997E-3</v>
      </c>
      <c r="I63" s="3365">
        <v>0.11</v>
      </c>
      <c r="J63" s="1064">
        <f t="shared" si="14"/>
        <v>8.9999999999999993E-3</v>
      </c>
      <c r="K63" s="1064">
        <f t="shared" si="15"/>
        <v>4.4999999999999997E-3</v>
      </c>
      <c r="L63" s="1064">
        <v>0</v>
      </c>
      <c r="M63" s="1064">
        <f t="shared" si="16"/>
        <v>-4.4999999999999997E-3</v>
      </c>
      <c r="N63" s="1064">
        <f t="shared" si="16"/>
        <v>-8.9999999999999993E-3</v>
      </c>
      <c r="AA63" s="1120"/>
      <c r="AB63" s="1120"/>
      <c r="AC63" s="1120"/>
      <c r="AD63" s="1120"/>
      <c r="AE63" s="1120"/>
      <c r="AF63" s="1120"/>
      <c r="AG63" s="1120"/>
      <c r="AH63" s="1120"/>
      <c r="AI63" s="1120"/>
      <c r="AJ63" s="1120"/>
      <c r="AK63" s="1120"/>
    </row>
    <row r="64" spans="1:37" s="1119" customFormat="1" ht="36.75">
      <c r="A64" s="2130" t="s">
        <v>2054</v>
      </c>
      <c r="B64" s="2135" t="s">
        <v>2055</v>
      </c>
      <c r="C64" s="2044" t="s">
        <v>3421</v>
      </c>
      <c r="D64" s="1065">
        <f t="shared" si="12"/>
        <v>2E-3</v>
      </c>
      <c r="E64" s="745"/>
      <c r="F64" s="1814"/>
      <c r="G64" s="1063">
        <v>2E-3</v>
      </c>
      <c r="H64" s="1066">
        <f t="shared" si="13"/>
        <v>2E-3</v>
      </c>
      <c r="I64" s="3365">
        <v>0.05</v>
      </c>
      <c r="J64" s="1064">
        <f t="shared" si="14"/>
        <v>4.0000000000000001E-3</v>
      </c>
      <c r="K64" s="1064">
        <f t="shared" si="15"/>
        <v>2E-3</v>
      </c>
      <c r="L64" s="1064">
        <v>0</v>
      </c>
      <c r="M64" s="1064">
        <f t="shared" si="16"/>
        <v>-2E-3</v>
      </c>
      <c r="N64" s="1064">
        <f t="shared" si="16"/>
        <v>-4.0000000000000001E-3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3423</v>
      </c>
      <c r="D65" s="1065">
        <f t="shared" si="12"/>
        <v>0</v>
      </c>
      <c r="E65" s="745"/>
      <c r="F65" s="1814"/>
      <c r="G65" s="1063">
        <v>2E-3</v>
      </c>
      <c r="H65" s="1066">
        <f t="shared" si="13"/>
        <v>2E-3</v>
      </c>
      <c r="I65" s="3365">
        <v>0.05</v>
      </c>
      <c r="J65" s="1064">
        <f t="shared" si="14"/>
        <v>4.0000000000000001E-3</v>
      </c>
      <c r="K65" s="1064">
        <f t="shared" si="15"/>
        <v>2E-3</v>
      </c>
      <c r="L65" s="1064">
        <v>0</v>
      </c>
      <c r="M65" s="1064">
        <f t="shared" si="16"/>
        <v>-2E-3</v>
      </c>
      <c r="N65" s="1064">
        <f t="shared" si="16"/>
        <v>-4.0000000000000001E-3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3421</v>
      </c>
      <c r="D66" s="1065">
        <f t="shared" si="12"/>
        <v>2.3999999999999998E-3</v>
      </c>
      <c r="E66" s="745"/>
      <c r="F66" s="1814"/>
      <c r="G66" s="1063">
        <v>2.3999999999999998E-3</v>
      </c>
      <c r="H66" s="1066">
        <f t="shared" si="13"/>
        <v>2.3999999999999998E-3</v>
      </c>
      <c r="I66" s="3365">
        <v>0.06</v>
      </c>
      <c r="J66" s="1064">
        <f t="shared" si="14"/>
        <v>4.7999999999999996E-3</v>
      </c>
      <c r="K66" s="1064">
        <f t="shared" si="15"/>
        <v>2.3999999999999998E-3</v>
      </c>
      <c r="L66" s="1064">
        <v>0</v>
      </c>
      <c r="M66" s="1064">
        <f t="shared" si="16"/>
        <v>-2.3999999999999998E-3</v>
      </c>
      <c r="N66" s="1064">
        <f t="shared" si="16"/>
        <v>-4.7999999999999996E-3</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t="s">
        <v>3421</v>
      </c>
      <c r="D67" s="1065">
        <f t="shared" si="12"/>
        <v>2.3999999999999998E-3</v>
      </c>
      <c r="E67" s="745"/>
      <c r="F67" s="1814"/>
      <c r="G67" s="1063">
        <v>2.3999999999999998E-3</v>
      </c>
      <c r="H67" s="1066">
        <f t="shared" si="13"/>
        <v>2.3999999999999998E-3</v>
      </c>
      <c r="I67" s="3365">
        <v>0.06</v>
      </c>
      <c r="J67" s="1064">
        <f t="shared" si="14"/>
        <v>4.7999999999999996E-3</v>
      </c>
      <c r="K67" s="1064">
        <f t="shared" si="15"/>
        <v>2.3999999999999998E-3</v>
      </c>
      <c r="L67" s="1064">
        <v>0</v>
      </c>
      <c r="M67" s="1064">
        <f t="shared" si="16"/>
        <v>-2.3999999999999998E-3</v>
      </c>
      <c r="N67" s="1064">
        <f t="shared" si="16"/>
        <v>-4.7999999999999996E-3</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t="s">
        <v>3422</v>
      </c>
      <c r="D68" s="1065">
        <f t="shared" si="12"/>
        <v>7.1999999999999998E-3</v>
      </c>
      <c r="E68" s="745"/>
      <c r="F68" s="1814"/>
      <c r="G68" s="1063">
        <v>3.5999999999999999E-3</v>
      </c>
      <c r="H68" s="1066">
        <f t="shared" si="13"/>
        <v>3.5999999999999999E-3</v>
      </c>
      <c r="I68" s="3365">
        <v>0.09</v>
      </c>
      <c r="J68" s="1064">
        <f t="shared" si="14"/>
        <v>7.1999999999999998E-3</v>
      </c>
      <c r="K68" s="1064">
        <f t="shared" si="15"/>
        <v>3.5999999999999999E-3</v>
      </c>
      <c r="L68" s="1064">
        <v>0</v>
      </c>
      <c r="M68" s="1064">
        <f t="shared" si="16"/>
        <v>-3.5999999999999999E-3</v>
      </c>
      <c r="N68" s="1064">
        <f t="shared" si="16"/>
        <v>-7.1999999999999998E-3</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t="s">
        <v>3421</v>
      </c>
      <c r="D69" s="1065">
        <f t="shared" si="12"/>
        <v>2.8E-3</v>
      </c>
      <c r="E69" s="746"/>
      <c r="F69" s="1814"/>
      <c r="G69" s="1063">
        <v>2.8E-3</v>
      </c>
      <c r="H69" s="1066">
        <f t="shared" si="13"/>
        <v>2.8E-3</v>
      </c>
      <c r="I69" s="3366">
        <v>7.0000000000000007E-2</v>
      </c>
      <c r="J69" s="1064">
        <f t="shared" si="14"/>
        <v>5.5999999999999999E-3</v>
      </c>
      <c r="K69" s="1064">
        <f t="shared" si="15"/>
        <v>2.8E-3</v>
      </c>
      <c r="L69" s="1064">
        <v>0</v>
      </c>
      <c r="M69" s="1064">
        <f t="shared" si="16"/>
        <v>-2.8E-3</v>
      </c>
      <c r="N69" s="1064">
        <f t="shared" si="16"/>
        <v>-5.5999999999999999E-3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 xml:space="preserve"> </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3272</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3273</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2609</v>
      </c>
      <c r="B91" s="3376">
        <f>1+E93</f>
        <v>1</v>
      </c>
      <c r="C91" s="3369"/>
      <c r="D91" s="3370"/>
      <c r="E91" s="1814"/>
      <c r="F91" s="1814"/>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3276</v>
      </c>
      <c r="B94" s="3368" t="str">
        <f>估价对象房地状况!C18</f>
        <v>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4">
      <c r="A99" s="3377" t="s">
        <v>3280</v>
      </c>
      <c r="B99" s="3368" t="str">
        <f>估价对象房地状况!C21</f>
        <v>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3281</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3282</v>
      </c>
      <c r="B101" s="3385" t="str">
        <f>估价对象房地状况!C20</f>
        <v>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661" t="s">
        <v>3297</v>
      </c>
      <c r="B103" s="3661"/>
      <c r="C103" s="3661"/>
      <c r="D103" s="3661"/>
      <c r="E103" s="3661"/>
      <c r="F103" s="3661"/>
      <c r="G103" s="3661"/>
      <c r="H103" s="3661"/>
      <c r="I103" s="3661"/>
      <c r="J103" s="3661"/>
      <c r="K103" s="3388"/>
      <c r="L103" s="3388"/>
      <c r="M103" s="3388"/>
      <c r="N103" s="3388"/>
    </row>
    <row r="104" spans="1:14">
      <c r="A104" s="3662" t="s">
        <v>3298</v>
      </c>
      <c r="B104" s="3662" t="s">
        <v>3299</v>
      </c>
      <c r="C104" s="3389" t="s">
        <v>3300</v>
      </c>
      <c r="D104" s="3390"/>
      <c r="E104" s="3390"/>
      <c r="F104" s="3390"/>
      <c r="G104" s="3390"/>
      <c r="H104" s="3390"/>
      <c r="I104" s="3390"/>
      <c r="J104" s="3391"/>
      <c r="K104" s="3392"/>
      <c r="L104" s="3392"/>
      <c r="M104" s="3392"/>
      <c r="N104" s="3392"/>
    </row>
    <row r="105" spans="1:14">
      <c r="A105" s="3662"/>
      <c r="B105" s="3662"/>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648"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4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4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4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4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49"/>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65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651" t="s">
        <v>3314</v>
      </c>
      <c r="B113" s="3651"/>
      <c r="C113" s="3651"/>
      <c r="D113" s="3651"/>
      <c r="E113" s="3651"/>
      <c r="F113" s="3651"/>
      <c r="G113" s="3651"/>
      <c r="H113" s="3651"/>
      <c r="I113" s="3651"/>
      <c r="J113" s="365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3.5</v>
      </c>
      <c r="C116" s="3398" t="s">
        <v>3316</v>
      </c>
      <c r="D116" s="3399">
        <f>SUMPRODUCT((A118:A122=F116)*(B117:M117=H116)*B118:M122)</f>
        <v>0.95379999999999998</v>
      </c>
      <c r="E116" s="2000" t="s">
        <v>3317</v>
      </c>
      <c r="F116" s="3400" t="str">
        <f>E2</f>
        <v>办公</v>
      </c>
      <c r="G116" s="2000" t="s">
        <v>3318</v>
      </c>
      <c r="H116" s="3400" t="str">
        <f>G2</f>
        <v>一级</v>
      </c>
      <c r="I116" s="2000"/>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0.95830000000000004</v>
      </c>
      <c r="C118" s="3386">
        <f>B118</f>
        <v>0.95830000000000004</v>
      </c>
      <c r="D118" s="3386">
        <f>ROUND(0.949-0.014*B116,4)</f>
        <v>0.9</v>
      </c>
      <c r="E118" s="3386">
        <f>D118</f>
        <v>0.9</v>
      </c>
      <c r="F118" s="3386">
        <f>E118</f>
        <v>0.9</v>
      </c>
      <c r="G118" s="3386">
        <f>F118</f>
        <v>0.9</v>
      </c>
      <c r="H118" s="3386">
        <f>G118</f>
        <v>0.9</v>
      </c>
      <c r="I118" s="3386">
        <f>ROUND(0.8486-0.018*B116,4)</f>
        <v>0.78559999999999997</v>
      </c>
      <c r="J118" s="3386">
        <f t="shared" ref="J118:M122" si="35">I118</f>
        <v>0.78559999999999997</v>
      </c>
      <c r="K118" s="3386">
        <f t="shared" si="35"/>
        <v>0.78559999999999997</v>
      </c>
      <c r="L118" s="3386">
        <f t="shared" si="35"/>
        <v>0.78559999999999997</v>
      </c>
      <c r="M118" s="3409">
        <f t="shared" si="35"/>
        <v>0.78559999999999997</v>
      </c>
      <c r="N118" s="3396"/>
    </row>
    <row r="119" spans="1:14">
      <c r="A119" s="3408" t="s">
        <v>3332</v>
      </c>
      <c r="B119" s="3386">
        <f>ROUND(0.993-0.0112*B116,4)</f>
        <v>0.95379999999999998</v>
      </c>
      <c r="C119" s="3386">
        <f>B119</f>
        <v>0.95379999999999998</v>
      </c>
      <c r="D119" s="3386">
        <f>ROUND(0.9415-0.0142*B116,4)</f>
        <v>0.89180000000000004</v>
      </c>
      <c r="E119" s="3386">
        <f t="shared" ref="E119:H120" si="36">D119</f>
        <v>0.89180000000000004</v>
      </c>
      <c r="F119" s="3386">
        <f t="shared" si="36"/>
        <v>0.89180000000000004</v>
      </c>
      <c r="G119" s="3386">
        <f t="shared" si="36"/>
        <v>0.89180000000000004</v>
      </c>
      <c r="H119" s="3386">
        <f t="shared" si="36"/>
        <v>0.89180000000000004</v>
      </c>
      <c r="I119" s="3386">
        <f>ROUND(0.838-0.0182*B116,4)</f>
        <v>0.77429999999999999</v>
      </c>
      <c r="J119" s="3386">
        <f t="shared" si="35"/>
        <v>0.77429999999999999</v>
      </c>
      <c r="K119" s="3386">
        <f t="shared" si="35"/>
        <v>0.77429999999999999</v>
      </c>
      <c r="L119" s="3386">
        <f t="shared" si="35"/>
        <v>0.77429999999999999</v>
      </c>
      <c r="M119" s="3409">
        <f t="shared" si="35"/>
        <v>0.77429999999999999</v>
      </c>
      <c r="N119" s="3396"/>
    </row>
    <row r="120" spans="1:14">
      <c r="A120" s="3408" t="s">
        <v>3333</v>
      </c>
      <c r="B120" s="3386">
        <f>ROUND(0.9448-0.0115*B116,4)</f>
        <v>0.90459999999999996</v>
      </c>
      <c r="C120" s="3386">
        <f>B120</f>
        <v>0.90459999999999996</v>
      </c>
      <c r="D120" s="3386">
        <f>ROUND(0.937-0.0145*B116,4)</f>
        <v>0.88629999999999998</v>
      </c>
      <c r="E120" s="3386">
        <f t="shared" si="36"/>
        <v>0.88629999999999998</v>
      </c>
      <c r="F120" s="3386">
        <f t="shared" si="36"/>
        <v>0.88629999999999998</v>
      </c>
      <c r="G120" s="3386">
        <f t="shared" si="36"/>
        <v>0.88629999999999998</v>
      </c>
      <c r="H120" s="3386">
        <f t="shared" si="36"/>
        <v>0.88629999999999998</v>
      </c>
      <c r="I120" s="3386">
        <f>ROUND(0.7965-0.0185*B116,4)</f>
        <v>0.73180000000000001</v>
      </c>
      <c r="J120" s="3386">
        <f t="shared" si="35"/>
        <v>0.73180000000000001</v>
      </c>
      <c r="K120" s="3386">
        <f t="shared" si="35"/>
        <v>0.73180000000000001</v>
      </c>
      <c r="L120" s="3386">
        <f t="shared" si="35"/>
        <v>0.73180000000000001</v>
      </c>
      <c r="M120" s="3409">
        <f t="shared" si="35"/>
        <v>0.73180000000000001</v>
      </c>
      <c r="N120" s="3396"/>
    </row>
    <row r="121" spans="1:14" ht="13.5" thickBot="1">
      <c r="A121" s="3410" t="s">
        <v>3334</v>
      </c>
      <c r="B121" s="3411">
        <f>ROUND(0.7836-0.012*B116,4)</f>
        <v>0.74160000000000004</v>
      </c>
      <c r="C121" s="3411">
        <f>B121</f>
        <v>0.74160000000000004</v>
      </c>
      <c r="D121" s="3411">
        <f>ROUND(0.753-0.015*B116,4)</f>
        <v>0.70050000000000001</v>
      </c>
      <c r="E121" s="3411">
        <f>D121</f>
        <v>0.70050000000000001</v>
      </c>
      <c r="F121" s="3411">
        <f>E121</f>
        <v>0.70050000000000001</v>
      </c>
      <c r="G121" s="3411">
        <f>ROUND(0.6612-0.018*B116,4)</f>
        <v>0.59819999999999995</v>
      </c>
      <c r="H121" s="3411">
        <f>G121</f>
        <v>0.59819999999999995</v>
      </c>
      <c r="I121" s="3411">
        <f>ROUND(0.5905-0.019*B116,4)</f>
        <v>0.52400000000000002</v>
      </c>
      <c r="J121" s="3411">
        <f t="shared" si="35"/>
        <v>0.52400000000000002</v>
      </c>
      <c r="K121" s="3411">
        <f t="shared" si="35"/>
        <v>0.52400000000000002</v>
      </c>
      <c r="L121" s="3411">
        <f t="shared" si="35"/>
        <v>0.52400000000000002</v>
      </c>
      <c r="M121" s="3412">
        <f t="shared" si="35"/>
        <v>0.52400000000000002</v>
      </c>
      <c r="N121" s="3396"/>
    </row>
    <row r="122" spans="1:14">
      <c r="A122" s="3413" t="s">
        <v>2609</v>
      </c>
      <c r="B122" s="3386">
        <f>ROUND(0.9404-0.0106*B116,4)</f>
        <v>0.90329999999999999</v>
      </c>
      <c r="C122" s="3386">
        <f>B122</f>
        <v>0.90329999999999999</v>
      </c>
      <c r="D122" s="3386">
        <f>ROUND(0.8955-0.0135*B116,4)</f>
        <v>0.84830000000000005</v>
      </c>
      <c r="E122" s="3386">
        <f t="shared" ref="E122:H122" si="37">D122</f>
        <v>0.84830000000000005</v>
      </c>
      <c r="F122" s="3386">
        <f t="shared" si="37"/>
        <v>0.84830000000000005</v>
      </c>
      <c r="G122" s="3386">
        <f t="shared" si="37"/>
        <v>0.84830000000000005</v>
      </c>
      <c r="H122" s="3386">
        <f t="shared" si="37"/>
        <v>0.84830000000000005</v>
      </c>
      <c r="I122" s="3386">
        <f>ROUND(0.7632-0.0166*B116,4)</f>
        <v>0.70509999999999995</v>
      </c>
      <c r="J122" s="3386">
        <f t="shared" si="35"/>
        <v>0.70509999999999995</v>
      </c>
      <c r="K122" s="3386">
        <f t="shared" si="35"/>
        <v>0.70509999999999995</v>
      </c>
      <c r="L122" s="3386">
        <f t="shared" si="35"/>
        <v>0.70509999999999995</v>
      </c>
      <c r="M122" s="3409">
        <f t="shared" si="35"/>
        <v>0.70509999999999995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28.85</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606.73239999999998</v>
      </c>
      <c r="C2" s="1387" t="s">
        <v>879</v>
      </c>
      <c r="D2" s="1471">
        <f ca="1">C40+J29+L46</f>
        <v>6067324</v>
      </c>
      <c r="E2" s="1388" t="s">
        <v>880</v>
      </c>
      <c r="F2" s="1389"/>
      <c r="G2" s="2702"/>
      <c r="H2" s="2691"/>
      <c r="I2" s="2691"/>
      <c r="J2" s="2691"/>
      <c r="K2" s="2692"/>
      <c r="L2" s="2691"/>
      <c r="M2" s="2691"/>
    </row>
    <row r="3" spans="1:37" ht="18" customHeight="1" thickBot="1">
      <c r="A3" s="1390" t="s">
        <v>881</v>
      </c>
      <c r="B3" s="1391">
        <f ca="1">IF(ISERROR(D2/F43),0,ROUND(D2/F43,0))</f>
        <v>23389</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341291</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340865</v>
      </c>
      <c r="D6" s="155" t="s">
        <v>2104</v>
      </c>
      <c r="E6" s="302" t="s">
        <v>696</v>
      </c>
      <c r="F6" s="303">
        <f ca="1">INDIRECT("'数据-取费表'!u"&amp;$G$1)</f>
        <v>4</v>
      </c>
      <c r="G6" s="1384"/>
      <c r="H6" s="1069" t="s">
        <v>398</v>
      </c>
      <c r="I6" s="3645" t="s">
        <v>694</v>
      </c>
      <c r="J6" s="301">
        <f ca="1">ROUND(M6*M8*M7*(1-M9),0)</f>
        <v>0</v>
      </c>
      <c r="K6" s="1376" t="s">
        <v>2105</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259.41000000000003</v>
      </c>
      <c r="G7" s="1384"/>
      <c r="H7" s="304"/>
      <c r="I7" s="3646"/>
      <c r="J7" s="306"/>
      <c r="K7" s="307"/>
      <c r="L7" s="302" t="s">
        <v>697</v>
      </c>
      <c r="M7" s="303">
        <f ca="1">F7</f>
        <v>259.41000000000003</v>
      </c>
    </row>
    <row r="8" spans="1:37" ht="18" customHeight="1">
      <c r="A8" s="304"/>
      <c r="B8" s="3646"/>
      <c r="C8" s="306"/>
      <c r="D8" s="307"/>
      <c r="E8" s="302" t="s">
        <v>698</v>
      </c>
      <c r="F8" s="303">
        <f ca="1">INDIRECT("'数据-取费表'!ai"&amp;$G$1)</f>
        <v>365</v>
      </c>
      <c r="G8" s="1384"/>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426</v>
      </c>
      <c r="D10" s="1366" t="s">
        <v>2114</v>
      </c>
      <c r="E10" s="313" t="s">
        <v>701</v>
      </c>
      <c r="F10" s="1116" t="s">
        <v>3383</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1395147</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1037640</v>
      </c>
      <c r="D14" s="1345" t="s">
        <v>708</v>
      </c>
      <c r="E14" s="1342"/>
      <c r="F14" s="319"/>
      <c r="G14" s="1384"/>
      <c r="H14" s="982" t="s">
        <v>398</v>
      </c>
      <c r="I14" s="302" t="s">
        <v>709</v>
      </c>
      <c r="J14" s="21">
        <f ca="1">C29</f>
        <v>1641349</v>
      </c>
      <c r="K14" s="12"/>
      <c r="L14" s="807"/>
      <c r="M14" s="808"/>
    </row>
    <row r="15" spans="1:37" s="1397" customFormat="1" ht="18" customHeight="1" thickBot="1">
      <c r="A15" s="982" t="s">
        <v>399</v>
      </c>
      <c r="B15" s="302" t="s">
        <v>710</v>
      </c>
      <c r="C15" s="21">
        <f ca="1">ROUND(C14*F15,0)</f>
        <v>51882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13131</v>
      </c>
      <c r="K16" s="1087" t="s">
        <v>715</v>
      </c>
      <c r="L16" s="1088"/>
      <c r="M16" s="1072"/>
    </row>
    <row r="17" spans="1:37" s="1397" customFormat="1" ht="18" customHeight="1">
      <c r="A17" s="982" t="s">
        <v>681</v>
      </c>
      <c r="B17" s="302" t="s">
        <v>716</v>
      </c>
      <c r="C17" s="21">
        <f ca="1">ROUND(F17*(F43+INDIRECT("'数据-取费表'!S"&amp;$G$1)),0)</f>
        <v>51882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15565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1156969</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34709</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13131</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62136</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-13131</v>
      </c>
      <c r="K25" s="1095" t="s">
        <v>753</v>
      </c>
      <c r="L25" s="1096"/>
      <c r="M25" s="1097"/>
    </row>
    <row r="26" spans="1:37" ht="18" customHeight="1">
      <c r="A26" s="982" t="s">
        <v>397</v>
      </c>
      <c r="B26" s="302" t="s">
        <v>754</v>
      </c>
      <c r="C26" s="21">
        <f ca="1">ROUND((C19+C20)*F26,0)</f>
        <v>238336</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1641349</v>
      </c>
      <c r="D29" s="1092"/>
      <c r="E29" s="1090"/>
      <c r="F29" s="1093"/>
      <c r="G29" s="1396"/>
      <c r="H29" s="334" t="s">
        <v>396</v>
      </c>
      <c r="I29" s="335" t="s">
        <v>768</v>
      </c>
      <c r="J29" s="336">
        <f ca="1">ROUND(J26/(1+F40)^F41,0)</f>
        <v>0</v>
      </c>
      <c r="K29" s="337" t="s">
        <v>769</v>
      </c>
      <c r="L29" s="338"/>
      <c r="M29" s="339">
        <f ca="1">INDIRECT("'数据-取费表'!k"&amp;$G$1)</f>
        <v>259.41000000000003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40663</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ROUND(IF(AND(项目基本情况!B11="自然人",项目基本情况!B10="北京市"),C6*F31/(1+'数据-取费表'!C42),C32+C33+C34),0)</f>
        <v>22724</v>
      </c>
      <c r="D31" s="1345" t="s">
        <v>720</v>
      </c>
      <c r="E31" s="1344" t="s">
        <v>770</v>
      </c>
      <c r="F31" s="2315">
        <f ca="1">IF(项目基本情况!B11="企业","——",IF(M47="住宅",IF(F6*F7*F8/12/(1+'数据-取费表'!F30)&gt;100000,4%,2.5%),IF(F6*F7*F8/12/(1+'数据-取费表'!F30)&gt;100000,12%,7%)))</f>
        <v>7.0000000000000007E-2</v>
      </c>
      <c r="G31" s="1384"/>
      <c r="H31" s="2804" t="s">
        <v>2304</v>
      </c>
      <c r="I31" s="1398"/>
      <c r="J31" s="1399"/>
      <c r="K31" s="2472"/>
      <c r="L31" s="2694"/>
      <c r="M31" s="2695"/>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IF(项目基本情况!B11="自然人","——",ROUND(F34*F35,0))</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13131</v>
      </c>
      <c r="D36" s="1344" t="s">
        <v>771</v>
      </c>
      <c r="E36" s="302" t="s">
        <v>712</v>
      </c>
      <c r="F36" s="328">
        <f ca="1">INDIRECT("'数据-取费表'!Ak"&amp;$G$1)</f>
        <v>8.0000000000000002E-3</v>
      </c>
      <c r="G36" s="1384"/>
      <c r="H36" s="2696"/>
      <c r="I36" s="1398"/>
      <c r="J36" s="1399"/>
      <c r="K36" s="2541"/>
      <c r="L36" s="2696"/>
      <c r="M36" s="2696"/>
    </row>
    <row r="37" spans="1:18" ht="18" customHeight="1">
      <c r="A37" s="982" t="s">
        <v>437</v>
      </c>
      <c r="B37" s="302" t="s">
        <v>742</v>
      </c>
      <c r="C37" s="21">
        <f ca="1">ROUND(C13*F37,0)</f>
        <v>1395</v>
      </c>
      <c r="D37" s="1344" t="s">
        <v>743</v>
      </c>
      <c r="E37" s="302" t="s">
        <v>744</v>
      </c>
      <c r="F37" s="330">
        <f ca="1">INDIRECT("'数据-取费表'!Al"&amp;$G$1)</f>
        <v>1E-3</v>
      </c>
      <c r="G37" s="1384"/>
      <c r="H37" s="2696"/>
      <c r="I37" s="1398"/>
      <c r="J37" s="1399"/>
      <c r="K37" s="2541"/>
      <c r="L37" s="2696"/>
      <c r="M37" s="2696"/>
    </row>
    <row r="38" spans="1:18" ht="18" customHeight="1" thickBot="1">
      <c r="A38" s="1089" t="s">
        <v>684</v>
      </c>
      <c r="B38" s="1090" t="s">
        <v>728</v>
      </c>
      <c r="C38" s="1091">
        <f ca="1">ROUND(C5*F38,0)</f>
        <v>3413</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300628</v>
      </c>
      <c r="D39" s="1095" t="s">
        <v>773</v>
      </c>
      <c r="E39" s="1096"/>
      <c r="F39" s="1097"/>
      <c r="G39" s="1384"/>
      <c r="H39" s="2696"/>
      <c r="I39" s="1398"/>
      <c r="J39" s="1399"/>
      <c r="K39" s="2700"/>
      <c r="L39" s="2696"/>
      <c r="M39" s="2696"/>
    </row>
    <row r="40" spans="1:18" ht="18" customHeight="1">
      <c r="A40" s="299" t="s">
        <v>395</v>
      </c>
      <c r="B40" s="300" t="s">
        <v>774</v>
      </c>
      <c r="C40" s="301">
        <f ca="1">ROUND(C39*(1-((1+F42)/(1+F40))^F41)/(F40-F42),0)</f>
        <v>6004934</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28.85</v>
      </c>
      <c r="G41" s="1384"/>
      <c r="H41" s="1191"/>
      <c r="I41" s="1398"/>
      <c r="J41" s="1399"/>
      <c r="K41" s="2541"/>
      <c r="L41" s="1191"/>
      <c r="M41" s="1191"/>
    </row>
    <row r="42" spans="1:18" ht="18" customHeight="1">
      <c r="A42" s="308"/>
      <c r="B42" s="309"/>
      <c r="C42" s="310"/>
      <c r="D42" s="327"/>
      <c r="E42" s="302" t="s">
        <v>766</v>
      </c>
      <c r="F42" s="312">
        <f ca="1">INDIRECT("'数据-取费表'!v"&amp;$G$1)</f>
        <v>0.03</v>
      </c>
      <c r="G42" s="1384"/>
      <c r="H42" s="1191"/>
      <c r="I42" s="1398"/>
      <c r="J42" s="1399"/>
      <c r="K42" s="2541"/>
      <c r="L42" s="1191"/>
      <c r="M42" s="1191"/>
    </row>
    <row r="43" spans="1:18" ht="18" customHeight="1" thickBot="1">
      <c r="A43" s="334" t="s">
        <v>396</v>
      </c>
      <c r="B43" s="335" t="s">
        <v>776</v>
      </c>
      <c r="C43" s="336">
        <f ca="1">ROUND(C40/F43,0)</f>
        <v>23148</v>
      </c>
      <c r="D43" s="337" t="s">
        <v>777</v>
      </c>
      <c r="E43" s="338" t="s">
        <v>778</v>
      </c>
      <c r="F43" s="339">
        <f ca="1">INDIRECT("'数据-取费表'!k"&amp;$G$1)</f>
        <v>259.41000000000003</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9" t="s">
        <v>3355</v>
      </c>
      <c r="B45" s="1400"/>
      <c r="C45" s="1472">
        <f ca="1">ROUND((C68-C40)/10000,4)</f>
        <v>-621.26859999999999</v>
      </c>
      <c r="D45" s="3430" t="s">
        <v>3356</v>
      </c>
      <c r="E45" s="1400"/>
      <c r="F45" s="1400"/>
      <c r="O45" s="1403" t="s">
        <v>808</v>
      </c>
      <c r="P45" s="1461"/>
      <c r="Q45" s="1461"/>
      <c r="R45" s="1461"/>
    </row>
    <row r="46" spans="1:18" s="1384" customFormat="1" ht="13.5" thickBot="1">
      <c r="A46" s="1404" t="s">
        <v>809</v>
      </c>
      <c r="C46" s="1405">
        <f ca="1">ROUND(C45,0)</f>
        <v>-621</v>
      </c>
      <c r="D46" s="1406" t="str">
        <f>C2</f>
        <v>万元</v>
      </c>
      <c r="I46" s="1407" t="s">
        <v>810</v>
      </c>
      <c r="J46" s="1408"/>
      <c r="K46" s="1409"/>
      <c r="L46" s="1410">
        <f ca="1">IF(M47="住宅",0,IF(L48&gt;J51,L60,J60))</f>
        <v>62390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3384</v>
      </c>
      <c r="K47" s="1416" t="s">
        <v>816</v>
      </c>
      <c r="L47" s="1417">
        <f ca="1">INDIRECT("'数据-取费表'!d"&amp;$G$1)</f>
        <v>50</v>
      </c>
      <c r="M47" s="1380" t="str">
        <f>IF(ISNUMBER(FIND("住宅",C1)),"住宅","非住宅")</f>
        <v>非住宅</v>
      </c>
      <c r="O47" s="1418" t="s">
        <v>403</v>
      </c>
      <c r="P47" s="1419" t="s">
        <v>817</v>
      </c>
      <c r="Q47" s="1420">
        <f ca="1">C40+J29</f>
        <v>6004934</v>
      </c>
      <c r="R47" s="1420" t="s">
        <v>818</v>
      </c>
    </row>
    <row r="48" spans="1:18" s="1384" customFormat="1" ht="28.5" thickBot="1">
      <c r="A48" s="1110" t="s">
        <v>438</v>
      </c>
      <c r="B48" s="300" t="s">
        <v>692</v>
      </c>
      <c r="C48" s="1359">
        <f ca="1">C49+C53+C55</f>
        <v>0</v>
      </c>
      <c r="D48" s="1112"/>
      <c r="E48" s="1113"/>
      <c r="F48" s="962"/>
      <c r="G48" s="722"/>
      <c r="H48" s="723"/>
      <c r="I48" s="1421" t="s">
        <v>819</v>
      </c>
      <c r="J48" s="1422" t="s">
        <v>3385</v>
      </c>
      <c r="K48" s="1423" t="s">
        <v>820</v>
      </c>
      <c r="L48" s="1424">
        <f ca="1">INDIRECT("'数据-取费表'!f"&amp;$G$1)</f>
        <v>28.85</v>
      </c>
      <c r="O48" s="1418" t="s">
        <v>404</v>
      </c>
      <c r="P48" s="1419" t="s">
        <v>821</v>
      </c>
      <c r="Q48" s="1420">
        <f ca="1">J60</f>
        <v>62390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2007</v>
      </c>
      <c r="K49" s="1423" t="s">
        <v>824</v>
      </c>
      <c r="L49" s="1427"/>
      <c r="O49" s="1428" t="s">
        <v>405</v>
      </c>
      <c r="P49" s="1419" t="s">
        <v>825</v>
      </c>
      <c r="Q49" s="1420">
        <f ca="1">C29</f>
        <v>1641349</v>
      </c>
      <c r="R49" s="1420" t="s">
        <v>818</v>
      </c>
    </row>
    <row r="50" spans="1:18" s="1384" customFormat="1" ht="13.5" thickBot="1">
      <c r="A50" s="976"/>
      <c r="B50" s="979"/>
      <c r="C50" s="980"/>
      <c r="D50" s="953"/>
      <c r="E50" s="1056" t="s">
        <v>697</v>
      </c>
      <c r="F50" s="1057">
        <f ca="1">F7</f>
        <v>259.41000000000003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3338551</v>
      </c>
      <c r="M51" s="1436"/>
      <c r="O51" s="1428" t="s">
        <v>407</v>
      </c>
      <c r="P51" s="1419" t="s">
        <v>831</v>
      </c>
      <c r="Q51" s="1431">
        <f>J52</f>
        <v>8.5000000000000006E-2</v>
      </c>
      <c r="R51" s="1420"/>
    </row>
    <row r="52" spans="1:18" s="1384" customFormat="1" ht="13.5" thickBot="1">
      <c r="A52" s="977"/>
      <c r="B52" s="979"/>
      <c r="C52" s="980"/>
      <c r="D52" s="953"/>
      <c r="E52" s="981" t="s">
        <v>699</v>
      </c>
      <c r="F52" s="1054"/>
      <c r="I52" s="1437" t="s">
        <v>832</v>
      </c>
      <c r="J52" s="1438">
        <v>8.5000000000000006E-2</v>
      </c>
      <c r="K52" s="1437" t="s">
        <v>833</v>
      </c>
      <c r="L52" s="1438"/>
      <c r="O52" s="1428" t="s">
        <v>408</v>
      </c>
      <c r="P52" s="1419" t="s">
        <v>834</v>
      </c>
      <c r="Q52" s="1420">
        <f ca="1">J53</f>
        <v>28.85</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28.85</v>
      </c>
      <c r="K53" s="3643" t="s">
        <v>837</v>
      </c>
      <c r="L53" s="3644"/>
      <c r="O53" s="1418" t="s">
        <v>409</v>
      </c>
      <c r="P53" s="1419" t="s">
        <v>838</v>
      </c>
      <c r="Q53" s="1420">
        <f ca="1">Q47+Q48</f>
        <v>6067324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1395147</v>
      </c>
      <c r="D56" s="1447"/>
      <c r="E56" s="1448"/>
      <c r="F56" s="1440"/>
      <c r="I56" s="1449" t="s">
        <v>842</v>
      </c>
      <c r="J56" s="1450" t="s">
        <v>3420</v>
      </c>
      <c r="K56" s="1421" t="s">
        <v>843</v>
      </c>
      <c r="L56" s="1424" t="str">
        <f ca="1">IF(L48&lt;J51,"——",L48-J51)</f>
        <v>——</v>
      </c>
      <c r="O56" s="1418" t="s">
        <v>403</v>
      </c>
      <c r="P56" s="1419" t="s">
        <v>817</v>
      </c>
      <c r="Q56" s="1420">
        <f ca="1">C40+J29</f>
        <v>6004934</v>
      </c>
      <c r="R56" s="1420" t="s">
        <v>818</v>
      </c>
    </row>
    <row r="57" spans="1:18" s="1384" customFormat="1" ht="24.75" thickBot="1">
      <c r="A57" s="1451"/>
      <c r="B57" s="950" t="s">
        <v>767</v>
      </c>
      <c r="C57" s="238">
        <f ca="1">C29</f>
        <v>1641349</v>
      </c>
      <c r="D57" s="1452"/>
      <c r="E57" s="1453"/>
      <c r="F57" s="1454"/>
      <c r="I57" s="1455" t="s">
        <v>844</v>
      </c>
      <c r="J57" s="1456">
        <f ca="1">IF(OR(M47="住宅",J51&lt;L48,J56="是"),"——",J51-L48)</f>
        <v>15.149999999999999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14526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656540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62390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6004934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13131</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1395</v>
      </c>
      <c r="D65" s="964" t="s">
        <v>743</v>
      </c>
      <c r="E65" s="950" t="s">
        <v>744</v>
      </c>
      <c r="F65" s="330">
        <f t="shared" ca="1" si="0"/>
        <v>1E-3</v>
      </c>
      <c r="I65" s="1462" t="s">
        <v>867</v>
      </c>
      <c r="J65" s="1463">
        <v>40</v>
      </c>
      <c r="K65" s="1463">
        <v>30</v>
      </c>
      <c r="L65" s="1463">
        <v>50</v>
      </c>
      <c r="M65" s="1465">
        <v>0.02</v>
      </c>
      <c r="O65" s="1418" t="s">
        <v>403</v>
      </c>
      <c r="P65" s="1419" t="s">
        <v>868</v>
      </c>
      <c r="Q65" s="1420">
        <f ca="1">C40+J29</f>
        <v>6004934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-14526</v>
      </c>
      <c r="D67" s="963" t="s">
        <v>753</v>
      </c>
      <c r="E67" s="968"/>
      <c r="F67" s="969"/>
      <c r="O67" s="1428" t="s">
        <v>405</v>
      </c>
      <c r="P67" s="1419" t="s">
        <v>850</v>
      </c>
      <c r="Q67" s="1466">
        <f ca="1">L51</f>
        <v>3338551</v>
      </c>
      <c r="R67" s="1420" t="s">
        <v>870</v>
      </c>
    </row>
    <row r="68" spans="1:18" s="1384" customFormat="1" ht="16.5" thickBot="1">
      <c r="A68" s="947" t="s">
        <v>395</v>
      </c>
      <c r="B68" s="948" t="s">
        <v>774</v>
      </c>
      <c r="C68" s="301">
        <f ca="1">ROUND(C67*(1-((1+F70)/(1+F68))^F69)/(F68-F70),0)</f>
        <v>-207752</v>
      </c>
      <c r="D68" s="965" t="s">
        <v>758</v>
      </c>
      <c r="E68" s="950" t="s">
        <v>759</v>
      </c>
      <c r="F68" s="312">
        <f ca="1">F40</f>
        <v>5.5E-2</v>
      </c>
      <c r="O68" s="1428" t="s">
        <v>406</v>
      </c>
      <c r="P68" s="1467" t="s">
        <v>871</v>
      </c>
      <c r="Q68" s="1420">
        <f ca="1">ROUND(Q69-Q70*Q71,0)</f>
        <v>189016</v>
      </c>
      <c r="R68" s="1420" t="s">
        <v>414</v>
      </c>
    </row>
    <row r="69" spans="1:18" s="1384" customFormat="1" ht="13.5" thickBot="1">
      <c r="A69" s="951"/>
      <c r="B69" s="952"/>
      <c r="C69" s="306"/>
      <c r="D69" s="970" t="s">
        <v>762</v>
      </c>
      <c r="E69" s="950" t="s">
        <v>763</v>
      </c>
      <c r="F69" s="333">
        <f ca="1">F41</f>
        <v>28.85</v>
      </c>
      <c r="O69" s="1428" t="s">
        <v>411</v>
      </c>
      <c r="P69" s="1467" t="s">
        <v>872</v>
      </c>
      <c r="Q69" s="1420">
        <f ca="1">C39</f>
        <v>300628</v>
      </c>
      <c r="R69" s="1420" t="s">
        <v>818</v>
      </c>
    </row>
    <row r="70" spans="1:18" s="1384" customFormat="1" ht="13.5" thickBot="1">
      <c r="A70" s="954"/>
      <c r="B70" s="955"/>
      <c r="C70" s="310"/>
      <c r="D70" s="966"/>
      <c r="E70" s="950" t="s">
        <v>766</v>
      </c>
      <c r="F70" s="1054"/>
      <c r="O70" s="1428" t="s">
        <v>412</v>
      </c>
      <c r="P70" s="1467" t="s">
        <v>873</v>
      </c>
      <c r="Q70" s="1420">
        <f ca="1">C13</f>
        <v>1395147</v>
      </c>
      <c r="R70" s="1420" t="s">
        <v>818</v>
      </c>
    </row>
    <row r="71" spans="1:18" s="1384" customFormat="1" ht="13.5" thickBot="1">
      <c r="A71" s="971" t="s">
        <v>396</v>
      </c>
      <c r="B71" s="972" t="s">
        <v>776</v>
      </c>
      <c r="C71" s="336">
        <f ca="1">ROUND(C68/F71,0)</f>
        <v>-801</v>
      </c>
      <c r="D71" s="973" t="s">
        <v>777</v>
      </c>
      <c r="E71" s="974" t="s">
        <v>778</v>
      </c>
      <c r="F71" s="339">
        <f ca="1">F43</f>
        <v>259.41000000000003</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111612</v>
      </c>
      <c r="D75" s="1384"/>
      <c r="E75" s="1384"/>
      <c r="F75" s="1384"/>
      <c r="K75" s="1402"/>
      <c r="L75" s="1384"/>
      <c r="O75" s="1418" t="s">
        <v>409</v>
      </c>
      <c r="P75" s="1419" t="s">
        <v>838</v>
      </c>
      <c r="Q75" s="1420">
        <f ca="1">Q65+Q66</f>
        <v>6004934</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0.629</v>
      </c>
    </row>
    <row r="80" spans="1:18">
      <c r="B80" s="340" t="s">
        <v>800</v>
      </c>
      <c r="C80" s="274">
        <f ca="1">ROUND(C75/C39,3)</f>
        <v>0.371</v>
      </c>
    </row>
    <row r="81" spans="2:3">
      <c r="B81" s="270" t="s">
        <v>801</v>
      </c>
      <c r="C81" s="238"/>
    </row>
    <row r="82" spans="2:3">
      <c r="B82" s="273" t="s">
        <v>802</v>
      </c>
      <c r="C82" s="275">
        <f ca="1">1-C83</f>
        <v>0.76800000000000002</v>
      </c>
    </row>
    <row r="83" spans="2:3">
      <c r="B83" s="273" t="s">
        <v>803</v>
      </c>
      <c r="C83" s="274">
        <f ca="1">ROUND(C13/C40,3)</f>
        <v>0.23200000000000001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C1" zoomScale="90" zoomScaleNormal="90" workbookViewId="0">
      <selection activeCell="T57" sqref="T57"/>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2432</v>
      </c>
      <c r="B1" s="2828"/>
      <c r="C1" s="2840"/>
      <c r="D1" s="2840"/>
      <c r="E1" s="2829"/>
      <c r="F1" s="2830"/>
      <c r="G1" s="2831"/>
      <c r="J1" s="2834" t="s">
        <v>2311</v>
      </c>
      <c r="K1" s="2835"/>
      <c r="L1" s="2835"/>
      <c r="M1" s="2835"/>
      <c r="N1" s="2835"/>
      <c r="O1" s="2835"/>
      <c r="P1" s="2835"/>
      <c r="Q1" s="2835"/>
      <c r="R1" s="2836"/>
      <c r="S1" s="2837"/>
      <c r="T1" s="2837"/>
      <c r="U1" s="2837"/>
    </row>
    <row r="2" spans="1:22" s="2849" customFormat="1" ht="13.15" customHeight="1">
      <c r="A2" s="1385" t="s">
        <v>2312</v>
      </c>
      <c r="B2" s="2839" t="e">
        <f>IF(D2="——",C40,C40+E2)</f>
        <v>#DIV/0!</v>
      </c>
      <c r="C2" s="2840" t="s">
        <v>2313</v>
      </c>
      <c r="D2" s="3441" t="s">
        <v>3364</v>
      </c>
      <c r="E2" s="3442"/>
      <c r="F2" s="2842"/>
      <c r="G2" s="2843"/>
      <c r="H2" s="2844"/>
      <c r="I2" s="2845"/>
      <c r="J2" s="3673" t="s">
        <v>2314</v>
      </c>
      <c r="K2" s="3674"/>
      <c r="L2" s="2846" t="s">
        <v>2315</v>
      </c>
      <c r="M2" s="2846" t="s">
        <v>2316</v>
      </c>
      <c r="N2" s="2846" t="s">
        <v>2317</v>
      </c>
      <c r="O2" s="2846" t="s">
        <v>2318</v>
      </c>
      <c r="P2" s="2846" t="s">
        <v>2319</v>
      </c>
      <c r="Q2" s="2847" t="s">
        <v>2320</v>
      </c>
      <c r="R2" s="2848" t="s">
        <v>2321</v>
      </c>
      <c r="S2" s="2837"/>
      <c r="T2" s="2837"/>
      <c r="U2" s="2837"/>
      <c r="V2" s="2845"/>
    </row>
    <row r="3" spans="1:22" s="2849" customFormat="1" ht="13.15" customHeight="1">
      <c r="A3" s="2850" t="s">
        <v>2322</v>
      </c>
      <c r="B3" s="2851" t="e">
        <f>ROUND(B2*10000/B4,0)</f>
        <v>#DIV/0!</v>
      </c>
      <c r="C3" s="2840" t="s">
        <v>2323</v>
      </c>
      <c r="D3" s="2840"/>
      <c r="E3" s="2841"/>
      <c r="F3" s="2842"/>
      <c r="G3" s="2843"/>
      <c r="H3" s="2844"/>
      <c r="I3" s="2845"/>
      <c r="J3" s="3675" t="s">
        <v>2324</v>
      </c>
      <c r="K3" s="3676"/>
      <c r="L3" s="2852"/>
      <c r="M3" s="2852"/>
      <c r="N3" s="2852"/>
      <c r="O3" s="2852"/>
      <c r="P3" s="2852"/>
      <c r="Q3" s="2853"/>
      <c r="R3" s="2854">
        <f>SUM(L3:Q3)</f>
        <v>0</v>
      </c>
      <c r="S3" s="2837"/>
      <c r="T3" s="2837"/>
      <c r="U3" s="2837"/>
      <c r="V3" s="2845"/>
    </row>
    <row r="4" spans="1:22" s="2849" customFormat="1" ht="13.15" customHeight="1">
      <c r="A4" s="2855" t="s">
        <v>2325</v>
      </c>
      <c r="B4" s="2856"/>
      <c r="C4" s="2840"/>
      <c r="D4" s="2840"/>
      <c r="E4" s="2841"/>
      <c r="F4" s="2842"/>
      <c r="G4" s="2843"/>
      <c r="H4" s="2844"/>
      <c r="I4" s="2845"/>
      <c r="J4" s="3675" t="s">
        <v>2326</v>
      </c>
      <c r="K4" s="3676"/>
      <c r="L4" s="2857"/>
      <c r="M4" s="2857"/>
      <c r="N4" s="2857"/>
      <c r="O4" s="2857"/>
      <c r="P4" s="2857"/>
      <c r="Q4" s="2858"/>
      <c r="R4" s="2859">
        <f>SUM(L4:Q4)</f>
        <v>0</v>
      </c>
      <c r="S4" s="2837"/>
      <c r="T4" s="2837"/>
      <c r="U4" s="2837"/>
      <c r="V4" s="2845"/>
    </row>
    <row r="5" spans="1:22" s="2849" customFormat="1" ht="13.15" customHeight="1" thickBot="1">
      <c r="A5" s="2860" t="s">
        <v>2327</v>
      </c>
      <c r="B5" s="2861"/>
      <c r="C5" s="2840"/>
      <c r="D5" s="2862"/>
      <c r="E5" s="2842"/>
      <c r="F5" s="2842"/>
      <c r="G5" s="2843"/>
      <c r="H5" s="2844"/>
      <c r="I5" s="2845"/>
      <c r="J5" s="2863" t="s">
        <v>2328</v>
      </c>
      <c r="K5" s="2864"/>
      <c r="L5" s="2864"/>
      <c r="M5" s="2865"/>
      <c r="N5" s="2865"/>
      <c r="O5" s="2865"/>
      <c r="P5" s="2865"/>
      <c r="Q5" s="2865"/>
      <c r="R5" s="2848">
        <f>SUM(R14,R19,R24,R25,R27,R28)</f>
        <v>0</v>
      </c>
      <c r="S5" s="2837"/>
      <c r="T5" s="2837" t="s">
        <v>2329</v>
      </c>
      <c r="U5" s="2837" t="e">
        <f>ROUND(R5*10000/365/R3,1)</f>
        <v>#DIV/0!</v>
      </c>
      <c r="V5" s="2845"/>
    </row>
    <row r="6" spans="1:22" s="2849" customFormat="1" ht="13.15" customHeight="1" thickBot="1">
      <c r="A6" s="3681" t="s">
        <v>2330</v>
      </c>
      <c r="B6" s="3682"/>
      <c r="C6" s="3683"/>
      <c r="D6" s="2866"/>
      <c r="E6" s="2867"/>
      <c r="F6" s="2868"/>
      <c r="G6" s="2869"/>
      <c r="H6" s="2844"/>
      <c r="I6" s="2845"/>
      <c r="J6" s="3667">
        <v>1</v>
      </c>
      <c r="K6" s="3668" t="s">
        <v>2331</v>
      </c>
      <c r="L6" s="2870" t="s">
        <v>2332</v>
      </c>
      <c r="M6" s="2871" t="s">
        <v>2333</v>
      </c>
      <c r="N6" s="2871" t="s">
        <v>2334</v>
      </c>
      <c r="O6" s="2871" t="s">
        <v>2335</v>
      </c>
      <c r="P6" s="2871" t="s">
        <v>2336</v>
      </c>
      <c r="Q6" s="2871" t="s">
        <v>2337</v>
      </c>
      <c r="R6" s="2854" t="s">
        <v>2338</v>
      </c>
      <c r="S6" s="2837"/>
      <c r="T6" s="2837" t="s">
        <v>2339</v>
      </c>
      <c r="U6" s="2837"/>
      <c r="V6" s="2845"/>
    </row>
    <row r="7" spans="1:22" s="2849" customFormat="1" ht="13.15" customHeight="1">
      <c r="A7" s="2872" t="s">
        <v>2340</v>
      </c>
      <c r="B7" s="2873"/>
      <c r="C7" s="2874"/>
      <c r="D7" s="2875">
        <f>SUM(D9,D10,D11,D17,0)</f>
        <v>0</v>
      </c>
      <c r="E7" s="2876" t="e">
        <f>E9+E10+E11+E17</f>
        <v>#DIV/0!</v>
      </c>
      <c r="F7" s="2877"/>
      <c r="G7" s="2878"/>
      <c r="H7" s="2844"/>
      <c r="I7" s="2845"/>
      <c r="J7" s="3667"/>
      <c r="K7" s="3669"/>
      <c r="L7" s="2879" t="s">
        <v>2341</v>
      </c>
      <c r="M7" s="2880"/>
      <c r="N7" s="2856"/>
      <c r="O7" s="2881"/>
      <c r="P7" s="2881"/>
      <c r="Q7" s="2882">
        <v>365</v>
      </c>
      <c r="R7" s="2883">
        <f>ROUND(M7*N7*O7*P7*Q7/10000,0)</f>
        <v>0</v>
      </c>
      <c r="S7" s="2837"/>
      <c r="T7" s="2837" t="s">
        <v>2342</v>
      </c>
      <c r="U7" s="2837"/>
      <c r="V7" s="2845"/>
    </row>
    <row r="8" spans="1:22" s="2849" customFormat="1" ht="13.15" customHeight="1">
      <c r="A8" s="2884" t="s">
        <v>2343</v>
      </c>
      <c r="B8" s="3684" t="s">
        <v>2344</v>
      </c>
      <c r="C8" s="3685"/>
      <c r="D8" s="2885" t="s">
        <v>2345</v>
      </c>
      <c r="E8" s="2886" t="s">
        <v>2346</v>
      </c>
      <c r="F8" s="2887" t="s">
        <v>2347</v>
      </c>
      <c r="G8" s="2888"/>
      <c r="H8" s="2844"/>
      <c r="I8" s="2845"/>
      <c r="J8" s="3667"/>
      <c r="K8" s="3669"/>
      <c r="L8" s="2879" t="s">
        <v>2348</v>
      </c>
      <c r="M8" s="2880"/>
      <c r="N8" s="2856"/>
      <c r="O8" s="2881"/>
      <c r="P8" s="2881"/>
      <c r="Q8" s="2882">
        <v>365</v>
      </c>
      <c r="R8" s="2883">
        <f t="shared" ref="R8:R13" si="0">ROUND(M8*N8*O8*P8*Q8/10000,0)</f>
        <v>0</v>
      </c>
      <c r="S8" s="2837"/>
      <c r="T8" s="2837" t="s">
        <v>2349</v>
      </c>
      <c r="U8" s="2837"/>
      <c r="V8" s="2845"/>
    </row>
    <row r="9" spans="1:22" s="2849" customFormat="1" ht="13.15" customHeight="1">
      <c r="A9" s="2884">
        <v>1</v>
      </c>
      <c r="B9" s="3684" t="s">
        <v>2350</v>
      </c>
      <c r="C9" s="3685"/>
      <c r="D9" s="2885">
        <f>ROUND(D6*E9,0)</f>
        <v>0</v>
      </c>
      <c r="E9" s="2889"/>
      <c r="F9" s="2890" t="s">
        <v>2351</v>
      </c>
      <c r="G9" s="2869"/>
      <c r="H9" s="2844"/>
      <c r="I9" s="2845"/>
      <c r="J9" s="3667"/>
      <c r="K9" s="3669"/>
      <c r="L9" s="2879" t="s">
        <v>2352</v>
      </c>
      <c r="M9" s="2880"/>
      <c r="N9" s="2856"/>
      <c r="O9" s="2881"/>
      <c r="P9" s="2881"/>
      <c r="Q9" s="2882">
        <v>365</v>
      </c>
      <c r="R9" s="2883">
        <f t="shared" si="0"/>
        <v>0</v>
      </c>
      <c r="S9" s="2837"/>
      <c r="T9" s="2837"/>
      <c r="U9" s="2837"/>
      <c r="V9" s="2845"/>
    </row>
    <row r="10" spans="1:22" s="2849" customFormat="1" ht="13.15" customHeight="1">
      <c r="A10" s="2884">
        <v>2</v>
      </c>
      <c r="B10" s="3684" t="s">
        <v>2353</v>
      </c>
      <c r="C10" s="3685"/>
      <c r="D10" s="2885">
        <f>ROUND(D6*E10,0)</f>
        <v>0</v>
      </c>
      <c r="E10" s="2889"/>
      <c r="F10" s="2890" t="s">
        <v>2354</v>
      </c>
      <c r="G10" s="2869"/>
      <c r="H10" s="2844"/>
      <c r="I10" s="2845"/>
      <c r="J10" s="3667"/>
      <c r="K10" s="3669"/>
      <c r="L10" s="2879" t="s">
        <v>2355</v>
      </c>
      <c r="M10" s="2880"/>
      <c r="N10" s="2856"/>
      <c r="O10" s="2881"/>
      <c r="P10" s="2881"/>
      <c r="Q10" s="2882">
        <v>365</v>
      </c>
      <c r="R10" s="2883">
        <f t="shared" si="0"/>
        <v>0</v>
      </c>
      <c r="S10" s="2837"/>
      <c r="T10" s="2837"/>
      <c r="U10" s="2837"/>
      <c r="V10" s="2845"/>
    </row>
    <row r="11" spans="1:22" s="2849" customFormat="1" ht="13.15" customHeight="1">
      <c r="A11" s="2884">
        <v>3</v>
      </c>
      <c r="B11" s="3684" t="s">
        <v>2356</v>
      </c>
      <c r="C11" s="3685"/>
      <c r="D11" s="2885">
        <f>D12+D14+D15+D16</f>
        <v>0</v>
      </c>
      <c r="E11" s="2891" t="e">
        <f>D11/D6</f>
        <v>#DIV/0!</v>
      </c>
      <c r="F11" s="2887"/>
      <c r="G11" s="2888"/>
      <c r="H11" s="2844"/>
      <c r="I11" s="2845"/>
      <c r="J11" s="3667"/>
      <c r="K11" s="3669"/>
      <c r="L11" s="2879" t="s">
        <v>2357</v>
      </c>
      <c r="M11" s="2880"/>
      <c r="N11" s="2856"/>
      <c r="O11" s="2881"/>
      <c r="P11" s="2881"/>
      <c r="Q11" s="2882">
        <v>365</v>
      </c>
      <c r="R11" s="2883">
        <f t="shared" si="0"/>
        <v>0</v>
      </c>
      <c r="S11" s="2837"/>
      <c r="T11" s="2837"/>
      <c r="U11" s="2837"/>
      <c r="V11" s="2845"/>
    </row>
    <row r="12" spans="1:22" s="2849" customFormat="1" ht="13.15" customHeight="1">
      <c r="A12" s="2892" t="s">
        <v>2358</v>
      </c>
      <c r="B12" s="3677" t="s">
        <v>2359</v>
      </c>
      <c r="C12" s="3678"/>
      <c r="D12" s="2893">
        <f>ROUND(D13*1.2%*(1-30%),0)</f>
        <v>0</v>
      </c>
      <c r="E12" s="2894">
        <v>1.2E-2</v>
      </c>
      <c r="F12" s="2887" t="s">
        <v>2360</v>
      </c>
      <c r="G12" s="2888"/>
      <c r="H12" s="2844"/>
      <c r="I12" s="2845"/>
      <c r="J12" s="3667"/>
      <c r="K12" s="3669"/>
      <c r="L12" s="2879" t="s">
        <v>2361</v>
      </c>
      <c r="M12" s="2880"/>
      <c r="N12" s="2856"/>
      <c r="O12" s="2881"/>
      <c r="P12" s="2881"/>
      <c r="Q12" s="2882">
        <v>365</v>
      </c>
      <c r="R12" s="2883">
        <f t="shared" si="0"/>
        <v>0</v>
      </c>
      <c r="S12" s="2837"/>
      <c r="T12" s="2837"/>
      <c r="U12" s="2837"/>
      <c r="V12" s="2845"/>
    </row>
    <row r="13" spans="1:22" s="2849" customFormat="1" ht="13.15" customHeight="1">
      <c r="A13" s="2892"/>
      <c r="B13" s="2895"/>
      <c r="C13" s="2896" t="s">
        <v>2362</v>
      </c>
      <c r="D13" s="2897"/>
      <c r="E13" s="2898"/>
      <c r="F13" s="2887"/>
      <c r="G13" s="2888"/>
      <c r="H13" s="2844"/>
      <c r="I13" s="2845"/>
      <c r="J13" s="3667"/>
      <c r="K13" s="3669"/>
      <c r="L13" s="2879" t="s">
        <v>2363</v>
      </c>
      <c r="M13" s="2880"/>
      <c r="N13" s="2856"/>
      <c r="O13" s="2881"/>
      <c r="P13" s="2881"/>
      <c r="Q13" s="2882">
        <v>365</v>
      </c>
      <c r="R13" s="2883">
        <f t="shared" si="0"/>
        <v>0</v>
      </c>
      <c r="S13" s="2837"/>
      <c r="T13" s="2837"/>
      <c r="U13" s="2837"/>
      <c r="V13" s="2845"/>
    </row>
    <row r="14" spans="1:22" s="2849" customFormat="1" ht="13.15" customHeight="1">
      <c r="A14" s="2892" t="s">
        <v>2364</v>
      </c>
      <c r="B14" s="3677" t="s">
        <v>2365</v>
      </c>
      <c r="C14" s="3678"/>
      <c r="D14" s="2893">
        <f>ROUND(E14*B5/10000,0)</f>
        <v>0</v>
      </c>
      <c r="E14" s="2882"/>
      <c r="F14" s="2887" t="s">
        <v>2366</v>
      </c>
      <c r="G14" s="2888"/>
      <c r="H14" s="2844"/>
      <c r="I14" s="2845"/>
      <c r="J14" s="3667"/>
      <c r="K14" s="3670"/>
      <c r="L14" s="2899" t="s">
        <v>2367</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2368</v>
      </c>
      <c r="B15" s="3677" t="s">
        <v>2369</v>
      </c>
      <c r="C15" s="3678"/>
      <c r="D15" s="2893">
        <f>ROUND(D6*E15,0)</f>
        <v>0</v>
      </c>
      <c r="E15" s="2894">
        <v>5.5E-2</v>
      </c>
      <c r="F15" s="2887" t="s">
        <v>2370</v>
      </c>
      <c r="G15" s="2869"/>
      <c r="H15" s="2844"/>
      <c r="I15" s="2845"/>
      <c r="J15" s="3667">
        <v>2</v>
      </c>
      <c r="K15" s="3668" t="s">
        <v>2371</v>
      </c>
      <c r="L15" s="2879" t="s">
        <v>2372</v>
      </c>
      <c r="M15" s="2880" t="s">
        <v>2373</v>
      </c>
      <c r="N15" s="2880" t="s">
        <v>2374</v>
      </c>
      <c r="O15" s="2881" t="s">
        <v>2375</v>
      </c>
      <c r="P15" s="2881" t="s">
        <v>2337</v>
      </c>
      <c r="Q15" s="2856" t="s">
        <v>2376</v>
      </c>
      <c r="R15" s="2903" t="s">
        <v>2338</v>
      </c>
      <c r="S15" s="2837"/>
      <c r="T15" s="2837"/>
      <c r="U15" s="2837"/>
      <c r="V15" s="2845"/>
    </row>
    <row r="16" spans="1:22" s="2849" customFormat="1" ht="13.15" customHeight="1">
      <c r="A16" s="2892" t="s">
        <v>2377</v>
      </c>
      <c r="B16" s="3677" t="s">
        <v>2378</v>
      </c>
      <c r="C16" s="3678"/>
      <c r="D16" s="2904">
        <f>D6*E16</f>
        <v>0</v>
      </c>
      <c r="E16" s="2905"/>
      <c r="F16" s="2890" t="s">
        <v>2379</v>
      </c>
      <c r="G16" s="2869"/>
      <c r="H16" s="2844"/>
      <c r="I16" s="2845"/>
      <c r="J16" s="3667"/>
      <c r="K16" s="3669"/>
      <c r="L16" s="2879" t="s">
        <v>2380</v>
      </c>
      <c r="M16" s="2880"/>
      <c r="N16" s="2880"/>
      <c r="O16" s="2881"/>
      <c r="P16" s="2882">
        <v>365</v>
      </c>
      <c r="Q16" s="2856"/>
      <c r="R16" s="2903">
        <f>ROUND(M16*N16*O16*P16/10000,0)</f>
        <v>0</v>
      </c>
      <c r="S16" s="2837"/>
      <c r="T16" s="2837"/>
      <c r="U16" s="2837"/>
      <c r="V16" s="2845"/>
    </row>
    <row r="17" spans="1:22" s="2849" customFormat="1" ht="13.15" customHeight="1" thickBot="1">
      <c r="A17" s="2906">
        <v>4</v>
      </c>
      <c r="B17" s="3679" t="s">
        <v>2381</v>
      </c>
      <c r="C17" s="3680"/>
      <c r="D17" s="2907">
        <f>ROUND(D6*E17,0)</f>
        <v>0</v>
      </c>
      <c r="E17" s="2908"/>
      <c r="F17" s="2909" t="s">
        <v>2382</v>
      </c>
      <c r="G17" s="2869"/>
      <c r="H17" s="2844"/>
      <c r="I17" s="2845"/>
      <c r="J17" s="3667"/>
      <c r="K17" s="3669"/>
      <c r="L17" s="2879" t="s">
        <v>2383</v>
      </c>
      <c r="M17" s="2880"/>
      <c r="N17" s="2880"/>
      <c r="O17" s="2881"/>
      <c r="P17" s="2882">
        <v>365</v>
      </c>
      <c r="Q17" s="2856"/>
      <c r="R17" s="2903">
        <f>ROUND(M17*N17*O17*P17/10000,0)</f>
        <v>0</v>
      </c>
      <c r="S17" s="2837"/>
      <c r="T17" s="2837"/>
      <c r="U17" s="2837"/>
      <c r="V17" s="2845"/>
    </row>
    <row r="18" spans="1:22" s="2849" customFormat="1" ht="13.15" customHeight="1" thickBot="1">
      <c r="A18" s="2872" t="s">
        <v>2384</v>
      </c>
      <c r="B18" s="2873"/>
      <c r="C18" s="2873"/>
      <c r="D18" s="2910">
        <f>ROUND(D6*E18,0)</f>
        <v>0</v>
      </c>
      <c r="E18" s="2911"/>
      <c r="F18" s="2912" t="s">
        <v>2385</v>
      </c>
      <c r="G18" s="2869"/>
      <c r="H18" s="2844"/>
      <c r="I18" s="2845"/>
      <c r="J18" s="3667"/>
      <c r="K18" s="3669"/>
      <c r="L18" s="2879" t="s">
        <v>2386</v>
      </c>
      <c r="M18" s="2880"/>
      <c r="N18" s="2880"/>
      <c r="O18" s="2881"/>
      <c r="P18" s="2882">
        <v>365</v>
      </c>
      <c r="Q18" s="2856"/>
      <c r="R18" s="2903">
        <f>ROUND(M18*N18*O18*P18/10000,0)</f>
        <v>0</v>
      </c>
      <c r="S18" s="2837"/>
      <c r="T18" s="2837"/>
      <c r="U18" s="2837"/>
      <c r="V18" s="2845"/>
    </row>
    <row r="19" spans="1:22" s="2849" customFormat="1" ht="13.15" customHeight="1" thickBot="1">
      <c r="A19" s="2913" t="s">
        <v>2387</v>
      </c>
      <c r="B19" s="2867"/>
      <c r="C19" s="2867"/>
      <c r="D19" s="2867"/>
      <c r="E19" s="2867"/>
      <c r="F19" s="2868"/>
      <c r="G19" s="2888"/>
      <c r="H19" s="2844"/>
      <c r="I19" s="2845"/>
      <c r="J19" s="3667"/>
      <c r="K19" s="3670"/>
      <c r="L19" s="2899" t="s">
        <v>2367</v>
      </c>
      <c r="M19" s="2900"/>
      <c r="N19" s="2900">
        <f>SUM(N16:N18)</f>
        <v>0</v>
      </c>
      <c r="O19" s="2901"/>
      <c r="P19" s="2914" t="s">
        <v>2431</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67">
        <v>3</v>
      </c>
      <c r="K20" s="3668" t="s">
        <v>2388</v>
      </c>
      <c r="L20" s="2879" t="s">
        <v>2389</v>
      </c>
      <c r="M20" s="2880" t="s">
        <v>2390</v>
      </c>
      <c r="N20" s="2917" t="s">
        <v>2391</v>
      </c>
      <c r="O20" s="2881" t="s">
        <v>2392</v>
      </c>
      <c r="P20" s="2882" t="s">
        <v>2393</v>
      </c>
      <c r="Q20" s="2856" t="s">
        <v>2394</v>
      </c>
      <c r="R20" s="2903" t="s">
        <v>2395</v>
      </c>
      <c r="S20" s="2918"/>
      <c r="T20" s="2918"/>
      <c r="U20" s="2918"/>
      <c r="V20" s="2845"/>
    </row>
    <row r="21" spans="1:22" s="2849" customFormat="1" ht="13.15" customHeight="1">
      <c r="A21" s="2872"/>
      <c r="B21" s="2873"/>
      <c r="C21" s="2919" t="s">
        <v>2396</v>
      </c>
      <c r="D21" s="2920" t="s">
        <v>2397</v>
      </c>
      <c r="E21" s="2921" t="s">
        <v>2398</v>
      </c>
      <c r="F21" s="2916"/>
      <c r="G21" s="2888"/>
      <c r="H21" s="2844"/>
      <c r="I21" s="2845"/>
      <c r="J21" s="3667"/>
      <c r="K21" s="3669"/>
      <c r="L21" s="2879" t="s">
        <v>2399</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2400</v>
      </c>
      <c r="D22" s="2924" t="s">
        <v>2401</v>
      </c>
      <c r="E22" s="2925" t="s">
        <v>2402</v>
      </c>
      <c r="F22" s="2916"/>
      <c r="G22" s="2926"/>
      <c r="H22" s="2844"/>
      <c r="I22" s="2845"/>
      <c r="J22" s="3667"/>
      <c r="K22" s="3669"/>
      <c r="L22" s="2879" t="s">
        <v>2403</v>
      </c>
      <c r="M22" s="2880"/>
      <c r="N22" s="2880"/>
      <c r="O22" s="2881"/>
      <c r="P22" s="2882">
        <v>365</v>
      </c>
      <c r="Q22" s="2856"/>
      <c r="R22" s="2922">
        <f>ROUND(M22*N22*O22*P22/10000,0)</f>
        <v>0</v>
      </c>
      <c r="S22" s="2918"/>
      <c r="T22" s="2918"/>
      <c r="U22" s="2918"/>
      <c r="V22" s="2845"/>
    </row>
    <row r="23" spans="1:22" s="2849" customFormat="1" ht="13.15" customHeight="1">
      <c r="A23" s="2927">
        <v>1</v>
      </c>
      <c r="B23" s="2928" t="s">
        <v>2404</v>
      </c>
      <c r="C23" s="2929">
        <f>D6</f>
        <v>0</v>
      </c>
      <c r="D23" s="2930">
        <f>C23*(1+D24)</f>
        <v>0</v>
      </c>
      <c r="E23" s="2931">
        <f>D23*(1+E24)</f>
        <v>0</v>
      </c>
      <c r="F23" s="2932"/>
      <c r="G23" s="2933"/>
      <c r="H23" s="2844"/>
      <c r="I23" s="2845"/>
      <c r="J23" s="3667"/>
      <c r="K23" s="3669"/>
      <c r="L23" s="2879" t="s">
        <v>2405</v>
      </c>
      <c r="M23" s="2880"/>
      <c r="N23" s="2880"/>
      <c r="O23" s="2881"/>
      <c r="P23" s="2882">
        <v>365</v>
      </c>
      <c r="Q23" s="2856"/>
      <c r="R23" s="2922">
        <f>ROUND(M23*N23*O23*P23/10000,0)</f>
        <v>0</v>
      </c>
      <c r="S23" s="2837"/>
      <c r="T23" s="2837"/>
      <c r="U23" s="2837"/>
      <c r="V23" s="2845"/>
    </row>
    <row r="24" spans="1:22" s="2849" customFormat="1" ht="13.15" customHeight="1">
      <c r="A24" s="2934"/>
      <c r="B24" s="2935" t="s">
        <v>2406</v>
      </c>
      <c r="C24" s="2936"/>
      <c r="D24" s="2937"/>
      <c r="E24" s="2938"/>
      <c r="F24" s="2939"/>
      <c r="G24" s="2933"/>
      <c r="H24" s="2844"/>
      <c r="I24" s="2845"/>
      <c r="J24" s="3667"/>
      <c r="K24" s="3670"/>
      <c r="L24" s="2899" t="s">
        <v>2367</v>
      </c>
      <c r="M24" s="2900">
        <f>SUM(M21:M23)</f>
        <v>0</v>
      </c>
      <c r="N24" s="2900"/>
      <c r="O24" s="2901"/>
      <c r="P24" s="2914" t="s">
        <v>2431</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2407</v>
      </c>
      <c r="L25" s="2942"/>
      <c r="M25" s="2942"/>
      <c r="N25" s="2942"/>
      <c r="O25" s="2942"/>
      <c r="P25" s="2943"/>
      <c r="Q25" s="2944">
        <v>0</v>
      </c>
      <c r="R25" s="2915">
        <f>ROUND(R14*Q25,0)</f>
        <v>0</v>
      </c>
      <c r="S25" s="2837"/>
      <c r="T25" s="2837"/>
      <c r="U25" s="2837"/>
      <c r="V25" s="2945"/>
    </row>
    <row r="26" spans="1:22" s="2946" customFormat="1" ht="13.15" customHeight="1">
      <c r="A26" s="2927">
        <v>2</v>
      </c>
      <c r="B26" s="2928" t="s">
        <v>2408</v>
      </c>
      <c r="C26" s="2929">
        <f>D7</f>
        <v>0</v>
      </c>
      <c r="D26" s="2930">
        <f>D23*D27</f>
        <v>0</v>
      </c>
      <c r="E26" s="2931">
        <f>E23*E27</f>
        <v>0</v>
      </c>
      <c r="F26" s="2932"/>
      <c r="G26" s="2933"/>
      <c r="H26" s="2844"/>
      <c r="I26" s="2845"/>
      <c r="J26" s="3671">
        <v>5</v>
      </c>
      <c r="K26" s="2947" t="s">
        <v>2409</v>
      </c>
      <c r="L26" s="2948"/>
      <c r="M26" s="2949"/>
      <c r="N26" s="2950" t="s">
        <v>2410</v>
      </c>
      <c r="O26" s="2950" t="s">
        <v>2411</v>
      </c>
      <c r="P26" s="2951" t="s">
        <v>2412</v>
      </c>
      <c r="Q26" s="2951" t="s">
        <v>2413</v>
      </c>
      <c r="R26" s="2854" t="s">
        <v>2338</v>
      </c>
      <c r="S26" s="2952"/>
      <c r="T26" s="2952"/>
      <c r="U26" s="2952"/>
      <c r="V26" s="2945"/>
    </row>
    <row r="27" spans="1:22" s="2849" customFormat="1" ht="13.15" customHeight="1">
      <c r="A27" s="2934"/>
      <c r="B27" s="2935" t="s">
        <v>2414</v>
      </c>
      <c r="C27" s="2953" t="e">
        <f>E7</f>
        <v>#DIV/0!</v>
      </c>
      <c r="D27" s="2937"/>
      <c r="E27" s="2938"/>
      <c r="F27" s="2939"/>
      <c r="G27" s="2933"/>
      <c r="H27" s="2954"/>
      <c r="I27" s="2945"/>
      <c r="J27" s="367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2415</v>
      </c>
      <c r="F28" s="2939"/>
      <c r="G28" s="2926"/>
      <c r="H28" s="2954"/>
      <c r="I28" s="2945"/>
      <c r="J28" s="2960">
        <v>6</v>
      </c>
      <c r="K28" s="2961" t="s">
        <v>2416</v>
      </c>
      <c r="L28" s="2962" t="s">
        <v>2417</v>
      </c>
      <c r="M28" s="2963"/>
      <c r="N28" s="2962" t="s">
        <v>2418</v>
      </c>
      <c r="O28" s="2964"/>
      <c r="P28" s="2962" t="s">
        <v>2419</v>
      </c>
      <c r="Q28" s="2965">
        <v>1.4999999999999999E-2</v>
      </c>
      <c r="R28" s="2966"/>
      <c r="S28" s="2918"/>
      <c r="T28" s="2918"/>
      <c r="U28" s="2918"/>
      <c r="V28" s="2945"/>
    </row>
    <row r="29" spans="1:22" s="2946" customFormat="1" ht="13.15" customHeight="1">
      <c r="A29" s="2927">
        <v>3</v>
      </c>
      <c r="B29" s="2928" t="s">
        <v>2420</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2414</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2421</v>
      </c>
      <c r="K31" s="2835"/>
      <c r="L31" s="2835"/>
      <c r="M31" s="2835"/>
      <c r="N31" s="2835"/>
      <c r="O31" s="2835"/>
      <c r="P31" s="2835"/>
      <c r="Q31" s="2835"/>
      <c r="R31" s="2836"/>
      <c r="S31" s="2918"/>
      <c r="T31" s="2837"/>
      <c r="U31" s="2837"/>
      <c r="V31" s="2945"/>
    </row>
    <row r="32" spans="1:22" s="2946" customFormat="1" ht="13.15" customHeight="1">
      <c r="A32" s="2927">
        <v>4</v>
      </c>
      <c r="B32" s="2928" t="s">
        <v>2422</v>
      </c>
      <c r="C32" s="2929">
        <f>C23-C26-C29</f>
        <v>0</v>
      </c>
      <c r="D32" s="2930">
        <f>D23-D26-D29</f>
        <v>0</v>
      </c>
      <c r="E32" s="2931">
        <f>E23-E26-E29</f>
        <v>0</v>
      </c>
      <c r="F32" s="2932"/>
      <c r="G32" s="2926"/>
      <c r="H32" s="2844"/>
      <c r="I32" s="2845"/>
      <c r="J32" s="3673" t="s">
        <v>2314</v>
      </c>
      <c r="K32" s="3674"/>
      <c r="L32" s="2846" t="s">
        <v>2315</v>
      </c>
      <c r="M32" s="2846" t="s">
        <v>2316</v>
      </c>
      <c r="N32" s="2846" t="s">
        <v>2317</v>
      </c>
      <c r="O32" s="2846" t="s">
        <v>2318</v>
      </c>
      <c r="P32" s="2846" t="s">
        <v>2319</v>
      </c>
      <c r="Q32" s="2847" t="s">
        <v>2320</v>
      </c>
      <c r="R32" s="2969" t="s">
        <v>2321</v>
      </c>
      <c r="S32" s="2918"/>
      <c r="T32" s="2837"/>
      <c r="U32" s="2837"/>
      <c r="V32" s="2945"/>
    </row>
    <row r="33" spans="1:23" s="2849" customFormat="1" ht="13.15" customHeight="1">
      <c r="A33" s="2927"/>
      <c r="B33" s="2928"/>
      <c r="C33" s="2929"/>
      <c r="D33" s="2970"/>
      <c r="E33" s="2971"/>
      <c r="F33" s="2932"/>
      <c r="G33" s="2926"/>
      <c r="H33" s="2954"/>
      <c r="I33" s="2945"/>
      <c r="J33" s="3675" t="s">
        <v>2324</v>
      </c>
      <c r="K33" s="3676"/>
      <c r="L33" s="2852"/>
      <c r="M33" s="2852"/>
      <c r="N33" s="2852"/>
      <c r="O33" s="2852"/>
      <c r="P33" s="2852"/>
      <c r="Q33" s="2853"/>
      <c r="R33" s="2972">
        <f>SUM(L33:Q33)</f>
        <v>0</v>
      </c>
      <c r="S33" s="2918"/>
      <c r="T33" s="2837"/>
      <c r="U33" s="2837"/>
      <c r="V33" s="2845"/>
    </row>
    <row r="34" spans="1:23" s="2849" customFormat="1" ht="13.15" customHeight="1">
      <c r="A34" s="2927">
        <v>5</v>
      </c>
      <c r="B34" s="2928" t="s">
        <v>2423</v>
      </c>
      <c r="C34" s="2973"/>
      <c r="D34" s="2974"/>
      <c r="E34" s="2975"/>
      <c r="F34" s="2932"/>
      <c r="G34" s="2926"/>
      <c r="H34" s="2954"/>
      <c r="I34" s="2945"/>
      <c r="J34" s="3675" t="s">
        <v>2326</v>
      </c>
      <c r="K34" s="3676"/>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2424</v>
      </c>
      <c r="C35" s="2977"/>
      <c r="D35" s="2978"/>
      <c r="E35" s="2979"/>
      <c r="F35" s="2932"/>
      <c r="G35" s="2980"/>
      <c r="H35" s="2844"/>
      <c r="I35" s="2945"/>
      <c r="J35" s="2863" t="s">
        <v>2328</v>
      </c>
      <c r="K35" s="2864"/>
      <c r="L35" s="2864"/>
      <c r="M35" s="2865"/>
      <c r="N35" s="2865"/>
      <c r="O35" s="2865"/>
      <c r="P35" s="2865"/>
      <c r="Q35" s="2865"/>
      <c r="R35" s="2981">
        <f>R40+R41+R43</f>
        <v>0</v>
      </c>
      <c r="S35" s="2918"/>
      <c r="T35" s="2837" t="s">
        <v>2329</v>
      </c>
      <c r="U35" s="2837"/>
      <c r="V35" s="2845"/>
    </row>
    <row r="36" spans="1:23" s="2849" customFormat="1" ht="13.15" customHeight="1" thickBot="1">
      <c r="A36" s="2927">
        <v>7</v>
      </c>
      <c r="B36" s="2982" t="s">
        <v>2425</v>
      </c>
      <c r="C36" s="2983"/>
      <c r="D36" s="2984"/>
      <c r="E36" s="2985"/>
      <c r="F36" s="2986">
        <f>C36+D36+E36</f>
        <v>0</v>
      </c>
      <c r="G36" s="2926"/>
      <c r="H36" s="2844"/>
      <c r="I36" s="2845"/>
      <c r="J36" s="3667">
        <v>1</v>
      </c>
      <c r="K36" s="3668" t="s">
        <v>2426</v>
      </c>
      <c r="L36" s="2870"/>
      <c r="M36" s="2871"/>
      <c r="N36" s="2871"/>
      <c r="O36" s="2871"/>
      <c r="P36" s="2871"/>
      <c r="Q36" s="2871"/>
      <c r="R36" s="2854" t="s">
        <v>2338</v>
      </c>
      <c r="S36" s="2918"/>
      <c r="T36" s="2837" t="s">
        <v>2339</v>
      </c>
      <c r="U36" s="2837"/>
      <c r="V36" s="2845"/>
    </row>
    <row r="37" spans="1:23" s="2849" customFormat="1" ht="13.15" customHeight="1">
      <c r="A37" s="2927"/>
      <c r="B37" s="2928"/>
      <c r="C37" s="2928"/>
      <c r="D37" s="2928"/>
      <c r="E37" s="2928"/>
      <c r="F37" s="2932"/>
      <c r="G37" s="2926"/>
      <c r="H37" s="2844"/>
      <c r="I37" s="2845"/>
      <c r="J37" s="3667"/>
      <c r="K37" s="3669"/>
      <c r="L37" s="2879"/>
      <c r="M37" s="2880"/>
      <c r="N37" s="2856"/>
      <c r="O37" s="2881"/>
      <c r="P37" s="2881"/>
      <c r="Q37" s="2882"/>
      <c r="R37" s="2883"/>
      <c r="S37" s="2918"/>
      <c r="T37" s="2837" t="s">
        <v>2342</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67"/>
      <c r="K38" s="3669"/>
      <c r="L38" s="2879"/>
      <c r="M38" s="2880"/>
      <c r="N38" s="2856"/>
      <c r="O38" s="2881"/>
      <c r="P38" s="2881"/>
      <c r="Q38" s="2882"/>
      <c r="R38" s="2883"/>
      <c r="S38" s="2918"/>
      <c r="T38" s="2837" t="s">
        <v>2349</v>
      </c>
      <c r="U38" s="2837"/>
      <c r="V38" s="2845"/>
    </row>
    <row r="39" spans="1:23" s="2849" customFormat="1" ht="13.15" customHeight="1">
      <c r="A39" s="2927">
        <v>9</v>
      </c>
      <c r="B39" s="2928" t="s">
        <v>2427</v>
      </c>
      <c r="C39" s="2893" t="e">
        <f>C38</f>
        <v>#DIV/0!</v>
      </c>
      <c r="D39" s="2928">
        <f>D38/(1+D34)^C36</f>
        <v>0</v>
      </c>
      <c r="E39" s="2928">
        <f>E38/(1+E34)^(C36+D36)</f>
        <v>0</v>
      </c>
      <c r="F39" s="2932"/>
      <c r="G39" s="2987"/>
      <c r="H39" s="2844"/>
      <c r="I39" s="2845"/>
      <c r="J39" s="3667"/>
      <c r="K39" s="3669"/>
      <c r="L39" s="2879"/>
      <c r="M39" s="2880"/>
      <c r="N39" s="2856"/>
      <c r="O39" s="2881"/>
      <c r="P39" s="2881"/>
      <c r="Q39" s="2882"/>
      <c r="R39" s="2883"/>
      <c r="S39" s="2918"/>
      <c r="T39" s="2837"/>
      <c r="U39" s="2837"/>
      <c r="V39" s="2845"/>
    </row>
    <row r="40" spans="1:23" s="2849" customFormat="1" ht="13.15" customHeight="1">
      <c r="A40" s="2988">
        <v>10</v>
      </c>
      <c r="B40" s="2928" t="s">
        <v>2428</v>
      </c>
      <c r="C40" s="2989" t="e">
        <f>C39+D39+E39</f>
        <v>#DIV/0!</v>
      </c>
      <c r="D40" s="2990"/>
      <c r="E40" s="2990"/>
      <c r="F40" s="2991"/>
      <c r="G40" s="2926"/>
      <c r="H40" s="2844"/>
      <c r="I40" s="2845"/>
      <c r="J40" s="3667"/>
      <c r="K40" s="3670"/>
      <c r="L40" s="2899" t="s">
        <v>2367</v>
      </c>
      <c r="M40" s="2900"/>
      <c r="N40" s="2900"/>
      <c r="O40" s="2901"/>
      <c r="P40" s="2901"/>
      <c r="Q40" s="2902"/>
      <c r="R40" s="2848">
        <f>SUM(R37:R39)</f>
        <v>0</v>
      </c>
      <c r="S40" s="2918"/>
      <c r="T40" s="2837"/>
      <c r="U40" s="2837"/>
      <c r="V40" s="2845"/>
    </row>
    <row r="41" spans="1:23" s="2849" customFormat="1" ht="13.15" customHeight="1" thickBot="1">
      <c r="A41" s="2992">
        <v>11</v>
      </c>
      <c r="B41" s="2993" t="s">
        <v>2429</v>
      </c>
      <c r="C41" s="2993" t="e">
        <f>ROUND(C40*10000/B4,0)</f>
        <v>#DIV/0!</v>
      </c>
      <c r="D41" s="2994"/>
      <c r="E41" s="2994"/>
      <c r="F41" s="2995"/>
      <c r="G41" s="2996"/>
      <c r="H41" s="2844"/>
      <c r="I41" s="2845"/>
      <c r="J41" s="2940">
        <v>2</v>
      </c>
      <c r="K41" s="2941" t="s">
        <v>2407</v>
      </c>
      <c r="L41" s="2942"/>
      <c r="M41" s="2942"/>
      <c r="N41" s="2942"/>
      <c r="O41" s="2942"/>
      <c r="P41" s="2943"/>
      <c r="Q41" s="2944"/>
      <c r="R41" s="2915">
        <f>ROUND(R40*Q41,0)</f>
        <v>0</v>
      </c>
      <c r="S41" s="2918"/>
      <c r="T41" s="2837"/>
      <c r="U41" s="2952"/>
      <c r="V41" s="2845"/>
    </row>
    <row r="42" spans="1:23" s="2849" customFormat="1" ht="13.15" customHeight="1">
      <c r="G42" s="2996"/>
      <c r="H42" s="2844"/>
      <c r="I42" s="2845"/>
      <c r="J42" s="3671">
        <v>3</v>
      </c>
      <c r="K42" s="2947" t="s">
        <v>2409</v>
      </c>
      <c r="L42" s="2948"/>
      <c r="M42" s="2949"/>
      <c r="N42" s="2950" t="s">
        <v>2410</v>
      </c>
      <c r="O42" s="2950" t="s">
        <v>2411</v>
      </c>
      <c r="P42" s="2951" t="s">
        <v>2412</v>
      </c>
      <c r="Q42" s="2951" t="s">
        <v>2413</v>
      </c>
      <c r="R42" s="2854" t="s">
        <v>2338</v>
      </c>
      <c r="S42" s="2952"/>
      <c r="T42" s="2952"/>
      <c r="U42" s="2837"/>
      <c r="V42" s="2845"/>
    </row>
    <row r="43" spans="1:23" ht="13.15" customHeight="1">
      <c r="A43" s="2849"/>
      <c r="B43" s="2849"/>
      <c r="C43" s="2849"/>
      <c r="D43" s="2849"/>
      <c r="E43" s="2849"/>
      <c r="F43" s="2849"/>
      <c r="I43" s="2832"/>
      <c r="J43" s="367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2416</v>
      </c>
      <c r="L44" s="3000" t="s">
        <v>2417</v>
      </c>
      <c r="M44" s="2963"/>
      <c r="N44" s="3000" t="s">
        <v>2418</v>
      </c>
      <c r="O44" s="2963"/>
      <c r="P44" s="3000" t="s">
        <v>2419</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90" zoomScaleNormal="100" zoomScaleSheetLayoutView="90" workbookViewId="0">
      <selection activeCell="T57" sqref="T57"/>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606.73239999999998</v>
      </c>
      <c r="C2" s="1872" t="s">
        <v>1651</v>
      </c>
      <c r="D2" s="1873" t="s">
        <v>1652</v>
      </c>
      <c r="E2" s="2604">
        <f>SUM(E6:E13)</f>
        <v>259.41000000000003</v>
      </c>
      <c r="F2" s="2703"/>
      <c r="G2" s="1489"/>
      <c r="H2" s="1489"/>
      <c r="I2" s="1489"/>
      <c r="J2" s="1489"/>
      <c r="K2" s="1489"/>
      <c r="L2" s="1489"/>
      <c r="M2" s="1489"/>
      <c r="N2" s="1489"/>
      <c r="O2" s="1489"/>
      <c r="P2" s="1489"/>
      <c r="Q2" s="1489"/>
      <c r="R2" s="1489"/>
      <c r="S2" s="1489"/>
    </row>
    <row r="3" spans="1:22" ht="15.75">
      <c r="A3" s="1870" t="s">
        <v>686</v>
      </c>
      <c r="B3" s="2598">
        <f ca="1">ROUND(B2*10000/E2,0)</f>
        <v>23389</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600" t="s">
        <v>1653</v>
      </c>
      <c r="B5" s="3686" t="s">
        <v>1654</v>
      </c>
      <c r="C5" s="3687"/>
      <c r="D5" s="2704"/>
      <c r="E5" s="1874" t="s">
        <v>1655</v>
      </c>
      <c r="F5" s="1875" t="s">
        <v>1656</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606.73239999999998</v>
      </c>
      <c r="C6" s="1872" t="s">
        <v>1651</v>
      </c>
      <c r="D6" s="2705"/>
      <c r="E6" s="2603">
        <f>IF(OR(A6=0,F6="否"),0,'数据-取费表'!K6+'数据-取费表'!S6)</f>
        <v>259.41000000000003</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5"/>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5"/>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5"/>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5"/>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5"/>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5"/>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6"/>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259.41000000000003</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706" t="s">
        <v>1667</v>
      </c>
      <c r="D4" s="3707"/>
      <c r="E4" s="3708" t="s">
        <v>1668</v>
      </c>
      <c r="F4" s="3709"/>
      <c r="G4" s="3706" t="s">
        <v>1669</v>
      </c>
      <c r="H4" s="3707"/>
      <c r="I4" s="3706" t="s">
        <v>1670</v>
      </c>
      <c r="J4" s="3707"/>
      <c r="K4" s="1889" t="s">
        <v>1671</v>
      </c>
      <c r="L4" s="2711"/>
      <c r="M4" s="2712"/>
      <c r="N4" s="2712"/>
      <c r="O4" s="2712"/>
      <c r="P4" s="3710" t="s">
        <v>1672</v>
      </c>
      <c r="Q4" s="3711"/>
      <c r="R4" s="3716" t="s">
        <v>1668</v>
      </c>
      <c r="S4" s="3717"/>
      <c r="T4" s="3716" t="s">
        <v>1669</v>
      </c>
      <c r="U4" s="3717"/>
      <c r="V4" s="3722" t="s">
        <v>1670</v>
      </c>
      <c r="W4" s="3722"/>
      <c r="X4" s="1355"/>
      <c r="Y4" s="3716" t="s">
        <v>1672</v>
      </c>
      <c r="Z4" s="3717"/>
      <c r="AA4" s="3703" t="s">
        <v>1668</v>
      </c>
      <c r="AB4" s="3703" t="s">
        <v>1669</v>
      </c>
      <c r="AC4" s="3703" t="s">
        <v>1670</v>
      </c>
    </row>
    <row r="5" spans="1:29" ht="15">
      <c r="A5" s="358"/>
      <c r="B5" s="359"/>
      <c r="C5" s="3725" t="s">
        <v>1673</v>
      </c>
      <c r="D5" s="3726"/>
      <c r="E5" s="3732" t="s">
        <v>1674</v>
      </c>
      <c r="F5" s="3733"/>
      <c r="G5" s="3725" t="s">
        <v>1675</v>
      </c>
      <c r="H5" s="3726"/>
      <c r="I5" s="3725" t="s">
        <v>1676</v>
      </c>
      <c r="J5" s="3726"/>
      <c r="K5" s="1890"/>
      <c r="L5" s="2711"/>
      <c r="M5" s="2712"/>
      <c r="N5" s="2712"/>
      <c r="O5" s="2712"/>
      <c r="P5" s="3712"/>
      <c r="Q5" s="3713"/>
      <c r="R5" s="3718"/>
      <c r="S5" s="3719"/>
      <c r="T5" s="3718"/>
      <c r="U5" s="3719"/>
      <c r="V5" s="3722"/>
      <c r="W5" s="3722"/>
      <c r="X5" s="1355"/>
      <c r="Y5" s="3718"/>
      <c r="Z5" s="3719"/>
      <c r="AA5" s="3704"/>
      <c r="AB5" s="3704"/>
      <c r="AC5" s="3704"/>
    </row>
    <row r="6" spans="1:29" ht="15.75" thickBot="1">
      <c r="A6" s="360"/>
      <c r="B6" s="361"/>
      <c r="C6" s="3723" t="s">
        <v>1677</v>
      </c>
      <c r="D6" s="3724"/>
      <c r="E6" s="3730" t="s">
        <v>1677</v>
      </c>
      <c r="F6" s="3731"/>
      <c r="G6" s="3723" t="s">
        <v>1677</v>
      </c>
      <c r="H6" s="3724"/>
      <c r="I6" s="3723" t="s">
        <v>1677</v>
      </c>
      <c r="J6" s="3724"/>
      <c r="K6" s="1890" t="s">
        <v>1678</v>
      </c>
      <c r="L6" s="2711"/>
      <c r="M6" s="2712"/>
      <c r="N6" s="2712"/>
      <c r="O6" s="2712"/>
      <c r="P6" s="3714"/>
      <c r="Q6" s="3715"/>
      <c r="R6" s="3718"/>
      <c r="S6" s="3719"/>
      <c r="T6" s="3720"/>
      <c r="U6" s="3721"/>
      <c r="V6" s="3722"/>
      <c r="W6" s="3722"/>
      <c r="X6" s="1355"/>
      <c r="Y6" s="3720"/>
      <c r="Z6" s="3721"/>
      <c r="AA6" s="3705"/>
      <c r="AB6" s="3705"/>
      <c r="AC6" s="3705"/>
    </row>
    <row r="7" spans="1:29" s="108" customFormat="1" ht="15.75" thickBot="1">
      <c r="A7" s="362" t="s">
        <v>1679</v>
      </c>
      <c r="B7" s="363"/>
      <c r="C7" s="364">
        <f>'数据-取费表'!B2</f>
        <v>44931</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727" t="s">
        <v>1680</v>
      </c>
      <c r="Q7" s="3729"/>
      <c r="R7" s="701" t="s">
        <v>20</v>
      </c>
      <c r="S7" s="702">
        <f t="shared" ref="S7:S15" si="0">F7</f>
        <v>0</v>
      </c>
      <c r="T7" s="701" t="s">
        <v>20</v>
      </c>
      <c r="U7" s="702">
        <f t="shared" ref="U7:U15" si="1">H7</f>
        <v>0</v>
      </c>
      <c r="V7" s="701" t="s">
        <v>20</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727" t="s">
        <v>1683</v>
      </c>
      <c r="Q8" s="3728"/>
      <c r="R8" s="701" t="s">
        <v>20</v>
      </c>
      <c r="S8" s="702">
        <f t="shared" si="0"/>
        <v>100</v>
      </c>
      <c r="T8" s="701" t="s">
        <v>20</v>
      </c>
      <c r="U8" s="702">
        <f t="shared" si="1"/>
        <v>100</v>
      </c>
      <c r="V8" s="701" t="s">
        <v>20</v>
      </c>
      <c r="W8" s="702">
        <f t="shared" si="2"/>
        <v>100</v>
      </c>
      <c r="X8" s="703"/>
      <c r="Y8" s="3727" t="s">
        <v>1683</v>
      </c>
      <c r="Z8" s="372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70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5"/>
      <c r="M10" s="2716"/>
      <c r="N10" s="2716"/>
      <c r="O10" s="2716"/>
      <c r="P10" s="370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02"/>
      <c r="Q11" s="1343" t="str">
        <f t="shared" si="6"/>
        <v>容积率</v>
      </c>
      <c r="R11" s="701" t="s">
        <v>18</v>
      </c>
      <c r="S11" s="702" t="e">
        <f t="shared" si="0"/>
        <v>#N/A</v>
      </c>
      <c r="T11" s="701" t="s">
        <v>18</v>
      </c>
      <c r="U11" s="702" t="e">
        <f t="shared" si="1"/>
        <v>#N/A</v>
      </c>
      <c r="V11" s="701" t="s">
        <v>18</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702"/>
      <c r="Q12" s="1343">
        <f t="shared" si="6"/>
        <v>111</v>
      </c>
      <c r="R12" s="701" t="s">
        <v>18</v>
      </c>
      <c r="S12" s="702">
        <f t="shared" si="0"/>
        <v>100</v>
      </c>
      <c r="T12" s="701" t="s">
        <v>18</v>
      </c>
      <c r="U12" s="702">
        <f t="shared" si="1"/>
        <v>100</v>
      </c>
      <c r="V12" s="701" t="s">
        <v>18</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702"/>
      <c r="Q13" s="1343">
        <f t="shared" si="6"/>
        <v>111</v>
      </c>
      <c r="R13" s="701" t="s">
        <v>18</v>
      </c>
      <c r="S13" s="702">
        <f t="shared" si="0"/>
        <v>100</v>
      </c>
      <c r="T13" s="701" t="s">
        <v>18</v>
      </c>
      <c r="U13" s="702">
        <f t="shared" si="1"/>
        <v>100</v>
      </c>
      <c r="V13" s="701" t="s">
        <v>18</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702"/>
      <c r="Q14" s="1343">
        <f t="shared" si="6"/>
        <v>111</v>
      </c>
      <c r="R14" s="701" t="s">
        <v>18</v>
      </c>
      <c r="S14" s="702">
        <f t="shared" si="0"/>
        <v>100</v>
      </c>
      <c r="T14" s="701" t="s">
        <v>18</v>
      </c>
      <c r="U14" s="702">
        <f t="shared" si="1"/>
        <v>100</v>
      </c>
      <c r="V14" s="701" t="s">
        <v>18</v>
      </c>
      <c r="W14" s="702">
        <f t="shared" si="2"/>
        <v>100</v>
      </c>
      <c r="X14" s="703"/>
      <c r="Y14" s="3547"/>
      <c r="Z14" s="52">
        <f t="shared" si="7"/>
        <v>111</v>
      </c>
      <c r="AA14" s="704">
        <f t="shared" si="3"/>
        <v>1</v>
      </c>
      <c r="AB14" s="704">
        <f t="shared" si="4"/>
        <v>1</v>
      </c>
      <c r="AC14" s="704">
        <f t="shared" si="5"/>
        <v>1</v>
      </c>
    </row>
    <row r="15" spans="1:29" ht="15">
      <c r="A15" s="391" t="s">
        <v>1690</v>
      </c>
      <c r="B15" s="61" t="s">
        <v>1257</v>
      </c>
      <c r="C15" s="1896"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00" t="s">
        <v>1691</v>
      </c>
      <c r="Q15" s="1352" t="str">
        <f t="shared" si="6"/>
        <v>居住社区成熟度</v>
      </c>
      <c r="R15" s="705" t="s">
        <v>18</v>
      </c>
      <c r="S15" s="706">
        <f t="shared" si="0"/>
        <v>100</v>
      </c>
      <c r="T15" s="705" t="s">
        <v>18</v>
      </c>
      <c r="U15" s="706">
        <f t="shared" si="1"/>
        <v>100</v>
      </c>
      <c r="V15" s="705" t="s">
        <v>18</v>
      </c>
      <c r="W15" s="706">
        <f t="shared" si="2"/>
        <v>100</v>
      </c>
      <c r="X15" s="1355"/>
      <c r="Y15" s="369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701"/>
      <c r="Q16" s="1352"/>
      <c r="R16" s="705"/>
      <c r="S16" s="706"/>
      <c r="T16" s="705"/>
      <c r="U16" s="706"/>
      <c r="V16" s="705"/>
      <c r="W16" s="706"/>
      <c r="X16" s="1355"/>
      <c r="Y16" s="3694"/>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01"/>
      <c r="Q17" s="1352" t="str">
        <f>B17</f>
        <v>交通便捷度</v>
      </c>
      <c r="R17" s="705" t="s">
        <v>18</v>
      </c>
      <c r="S17" s="706">
        <f>F17</f>
        <v>100</v>
      </c>
      <c r="T17" s="705" t="s">
        <v>18</v>
      </c>
      <c r="U17" s="706">
        <f>H17</f>
        <v>100</v>
      </c>
      <c r="V17" s="705" t="s">
        <v>18</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701"/>
      <c r="Q18" s="1352"/>
      <c r="R18" s="705"/>
      <c r="S18" s="706"/>
      <c r="T18" s="705"/>
      <c r="U18" s="706"/>
      <c r="V18" s="705"/>
      <c r="W18" s="706"/>
      <c r="X18" s="1355"/>
      <c r="Y18" s="3694"/>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01"/>
      <c r="Q19" s="1352" t="str">
        <f>B19</f>
        <v>公共配套设施</v>
      </c>
      <c r="R19" s="705" t="s">
        <v>18</v>
      </c>
      <c r="S19" s="706">
        <f>F19</f>
        <v>100</v>
      </c>
      <c r="T19" s="705" t="s">
        <v>18</v>
      </c>
      <c r="U19" s="706">
        <f>H19</f>
        <v>100</v>
      </c>
      <c r="V19" s="705" t="s">
        <v>18</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701"/>
      <c r="Q20" s="1352"/>
      <c r="R20" s="705"/>
      <c r="S20" s="706"/>
      <c r="T20" s="705"/>
      <c r="U20" s="706"/>
      <c r="V20" s="705"/>
      <c r="W20" s="706"/>
      <c r="X20" s="1355"/>
      <c r="Y20" s="3694"/>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701"/>
      <c r="Q22" s="1352"/>
      <c r="R22" s="705"/>
      <c r="S22" s="706"/>
      <c r="T22" s="705"/>
      <c r="U22" s="706"/>
      <c r="V22" s="705"/>
      <c r="W22" s="706"/>
      <c r="X22" s="1355"/>
      <c r="Y22" s="3694"/>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01"/>
      <c r="Q23" s="1352" t="str">
        <f>B23</f>
        <v>自然及人文环境</v>
      </c>
      <c r="R23" s="705" t="s">
        <v>18</v>
      </c>
      <c r="S23" s="706">
        <f>F23</f>
        <v>100</v>
      </c>
      <c r="T23" s="705" t="s">
        <v>18</v>
      </c>
      <c r="U23" s="706">
        <f>H23</f>
        <v>100</v>
      </c>
      <c r="V23" s="705" t="s">
        <v>18</v>
      </c>
      <c r="W23" s="706">
        <f>J23</f>
        <v>100</v>
      </c>
      <c r="X23" s="1355"/>
      <c r="Y23" s="369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701"/>
      <c r="Q24" s="1352"/>
      <c r="R24" s="705"/>
      <c r="S24" s="706"/>
      <c r="T24" s="705"/>
      <c r="U24" s="706"/>
      <c r="V24" s="705"/>
      <c r="W24" s="706"/>
      <c r="X24" s="1355"/>
      <c r="Y24" s="369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70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701"/>
      <c r="Q26" s="1352" t="str">
        <f t="shared" si="11"/>
        <v>朝向</v>
      </c>
      <c r="R26" s="705" t="s">
        <v>18</v>
      </c>
      <c r="S26" s="706">
        <f t="shared" si="12"/>
        <v>100</v>
      </c>
      <c r="T26" s="705" t="s">
        <v>18</v>
      </c>
      <c r="U26" s="706">
        <f t="shared" si="13"/>
        <v>100</v>
      </c>
      <c r="V26" s="705" t="s">
        <v>18</v>
      </c>
      <c r="W26" s="706">
        <f t="shared" si="14"/>
        <v>100</v>
      </c>
      <c r="X26" s="1355"/>
      <c r="Y26" s="369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701"/>
      <c r="Q27" s="1343">
        <f t="shared" si="11"/>
        <v>111</v>
      </c>
      <c r="R27" s="701" t="s">
        <v>18</v>
      </c>
      <c r="S27" s="702">
        <f t="shared" si="12"/>
        <v>100</v>
      </c>
      <c r="T27" s="701" t="s">
        <v>18</v>
      </c>
      <c r="U27" s="702">
        <f t="shared" si="13"/>
        <v>100</v>
      </c>
      <c r="V27" s="701" t="s">
        <v>18</v>
      </c>
      <c r="W27" s="702">
        <f t="shared" si="14"/>
        <v>100</v>
      </c>
      <c r="X27" s="703"/>
      <c r="Y27" s="369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701"/>
      <c r="Q28" s="1352">
        <f t="shared" si="11"/>
        <v>111</v>
      </c>
      <c r="R28" s="705" t="s">
        <v>18</v>
      </c>
      <c r="S28" s="706">
        <f t="shared" si="12"/>
        <v>100</v>
      </c>
      <c r="T28" s="705" t="s">
        <v>18</v>
      </c>
      <c r="U28" s="706">
        <f t="shared" si="13"/>
        <v>100</v>
      </c>
      <c r="V28" s="705" t="s">
        <v>18</v>
      </c>
      <c r="W28" s="706">
        <f t="shared" si="14"/>
        <v>100</v>
      </c>
      <c r="X28" s="1355"/>
      <c r="Y28" s="369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701"/>
      <c r="Q29" s="1352">
        <f t="shared" si="11"/>
        <v>111</v>
      </c>
      <c r="R29" s="705" t="s">
        <v>18</v>
      </c>
      <c r="S29" s="706">
        <f t="shared" si="12"/>
        <v>100</v>
      </c>
      <c r="T29" s="705" t="s">
        <v>18</v>
      </c>
      <c r="U29" s="706">
        <f t="shared" si="13"/>
        <v>100</v>
      </c>
      <c r="V29" s="705" t="s">
        <v>18</v>
      </c>
      <c r="W29" s="706">
        <f t="shared" si="14"/>
        <v>100</v>
      </c>
      <c r="X29" s="1355"/>
      <c r="Y29" s="369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701"/>
      <c r="Q30" s="1352">
        <f t="shared" si="11"/>
        <v>111</v>
      </c>
      <c r="R30" s="705" t="s">
        <v>18</v>
      </c>
      <c r="S30" s="706">
        <f t="shared" si="12"/>
        <v>100</v>
      </c>
      <c r="T30" s="705" t="s">
        <v>18</v>
      </c>
      <c r="U30" s="706">
        <f t="shared" si="13"/>
        <v>100</v>
      </c>
      <c r="V30" s="705" t="s">
        <v>18</v>
      </c>
      <c r="W30" s="706">
        <f t="shared" si="14"/>
        <v>100</v>
      </c>
      <c r="X30" s="1355"/>
      <c r="Y30" s="369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701"/>
      <c r="Q31" s="1352">
        <f t="shared" si="11"/>
        <v>111</v>
      </c>
      <c r="R31" s="705" t="s">
        <v>18</v>
      </c>
      <c r="S31" s="706">
        <f t="shared" si="12"/>
        <v>100</v>
      </c>
      <c r="T31" s="705" t="s">
        <v>18</v>
      </c>
      <c r="U31" s="706">
        <f t="shared" si="13"/>
        <v>100</v>
      </c>
      <c r="V31" s="705" t="s">
        <v>18</v>
      </c>
      <c r="W31" s="706">
        <f t="shared" si="14"/>
        <v>100</v>
      </c>
      <c r="X31" s="1355"/>
      <c r="Y31" s="369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695" t="s">
        <v>1696</v>
      </c>
      <c r="Q32" s="1352" t="str">
        <f t="shared" si="11"/>
        <v>建筑类型</v>
      </c>
      <c r="R32" s="705" t="s">
        <v>18</v>
      </c>
      <c r="S32" s="706">
        <f t="shared" si="12"/>
        <v>100</v>
      </c>
      <c r="T32" s="705" t="s">
        <v>18</v>
      </c>
      <c r="U32" s="706">
        <f t="shared" si="13"/>
        <v>100</v>
      </c>
      <c r="V32" s="705" t="s">
        <v>18</v>
      </c>
      <c r="W32" s="706">
        <f t="shared" si="14"/>
        <v>100</v>
      </c>
      <c r="X32" s="1355"/>
      <c r="Y32" s="369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696"/>
      <c r="Q33" s="707" t="str">
        <f t="shared" si="11"/>
        <v>项目建筑规模</v>
      </c>
      <c r="R33" s="708" t="s">
        <v>18</v>
      </c>
      <c r="S33" s="709" t="e">
        <f t="shared" si="12"/>
        <v>#N/A</v>
      </c>
      <c r="T33" s="708" t="s">
        <v>18</v>
      </c>
      <c r="U33" s="709" t="e">
        <f t="shared" si="13"/>
        <v>#N/A</v>
      </c>
      <c r="V33" s="708" t="s">
        <v>18</v>
      </c>
      <c r="W33" s="709" t="e">
        <f t="shared" si="14"/>
        <v>#N/A</v>
      </c>
      <c r="X33" s="710"/>
      <c r="Y33" s="369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696"/>
      <c r="Q34" s="1352" t="str">
        <f t="shared" si="11"/>
        <v>建筑结构</v>
      </c>
      <c r="R34" s="705" t="s">
        <v>18</v>
      </c>
      <c r="S34" s="706">
        <f t="shared" si="12"/>
        <v>100</v>
      </c>
      <c r="T34" s="705" t="s">
        <v>18</v>
      </c>
      <c r="U34" s="706">
        <f t="shared" si="13"/>
        <v>100</v>
      </c>
      <c r="V34" s="705" t="s">
        <v>18</v>
      </c>
      <c r="W34" s="706">
        <f t="shared" si="14"/>
        <v>100</v>
      </c>
      <c r="X34" s="1355"/>
      <c r="Y34" s="369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696"/>
      <c r="Q35" s="1352" t="str">
        <f t="shared" si="11"/>
        <v>建筑品质</v>
      </c>
      <c r="R35" s="705" t="s">
        <v>18</v>
      </c>
      <c r="S35" s="706">
        <f t="shared" si="12"/>
        <v>100</v>
      </c>
      <c r="T35" s="705" t="s">
        <v>18</v>
      </c>
      <c r="U35" s="706">
        <f t="shared" si="13"/>
        <v>100</v>
      </c>
      <c r="V35" s="705" t="s">
        <v>18</v>
      </c>
      <c r="W35" s="706">
        <f t="shared" si="14"/>
        <v>100</v>
      </c>
      <c r="X35" s="1355"/>
      <c r="Y35" s="369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696"/>
      <c r="Q36" s="1352" t="str">
        <f t="shared" si="11"/>
        <v>公共部分装修</v>
      </c>
      <c r="R36" s="705" t="s">
        <v>18</v>
      </c>
      <c r="S36" s="706">
        <f t="shared" si="12"/>
        <v>100</v>
      </c>
      <c r="T36" s="705" t="s">
        <v>18</v>
      </c>
      <c r="U36" s="706">
        <f t="shared" si="13"/>
        <v>100</v>
      </c>
      <c r="V36" s="705" t="s">
        <v>18</v>
      </c>
      <c r="W36" s="706">
        <f t="shared" si="14"/>
        <v>100</v>
      </c>
      <c r="X36" s="1355"/>
      <c r="Y36" s="369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96"/>
      <c r="Q37" s="1343" t="str">
        <f t="shared" si="11"/>
        <v>成新度</v>
      </c>
      <c r="R37" s="701" t="s">
        <v>18</v>
      </c>
      <c r="S37" s="702" t="e">
        <f t="shared" si="12"/>
        <v>#N/A</v>
      </c>
      <c r="T37" s="701" t="s">
        <v>18</v>
      </c>
      <c r="U37" s="702" t="e">
        <f t="shared" si="13"/>
        <v>#N/A</v>
      </c>
      <c r="V37" s="701" t="s">
        <v>18</v>
      </c>
      <c r="W37" s="702" t="e">
        <f t="shared" si="14"/>
        <v>#N/A</v>
      </c>
      <c r="X37" s="703"/>
      <c r="Y37" s="369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696" t="s">
        <v>1696</v>
      </c>
      <c r="Q38" s="1352" t="str">
        <f t="shared" si="11"/>
        <v>物业管理</v>
      </c>
      <c r="R38" s="705" t="s">
        <v>18</v>
      </c>
      <c r="S38" s="706">
        <f t="shared" si="12"/>
        <v>100</v>
      </c>
      <c r="T38" s="705" t="s">
        <v>18</v>
      </c>
      <c r="U38" s="706">
        <f t="shared" si="13"/>
        <v>100</v>
      </c>
      <c r="V38" s="705" t="s">
        <v>18</v>
      </c>
      <c r="W38" s="706">
        <f t="shared" si="14"/>
        <v>100</v>
      </c>
      <c r="X38" s="1355"/>
      <c r="Y38" s="369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696"/>
      <c r="Q39" s="1352" t="str">
        <f t="shared" si="11"/>
        <v>市政基础设施</v>
      </c>
      <c r="R39" s="705" t="s">
        <v>18</v>
      </c>
      <c r="S39" s="706">
        <f t="shared" si="12"/>
        <v>100</v>
      </c>
      <c r="T39" s="705" t="s">
        <v>18</v>
      </c>
      <c r="U39" s="706">
        <f t="shared" si="13"/>
        <v>100</v>
      </c>
      <c r="V39" s="705" t="s">
        <v>18</v>
      </c>
      <c r="W39" s="706">
        <f t="shared" si="14"/>
        <v>100</v>
      </c>
      <c r="X39" s="1355"/>
      <c r="Y39" s="369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696"/>
      <c r="Q40" s="1352" t="str">
        <f t="shared" si="11"/>
        <v>房型</v>
      </c>
      <c r="R40" s="705" t="s">
        <v>18</v>
      </c>
      <c r="S40" s="706">
        <f t="shared" si="12"/>
        <v>100</v>
      </c>
      <c r="T40" s="705" t="s">
        <v>18</v>
      </c>
      <c r="U40" s="706">
        <f t="shared" si="13"/>
        <v>100</v>
      </c>
      <c r="V40" s="705" t="s">
        <v>18</v>
      </c>
      <c r="W40" s="706">
        <f t="shared" si="14"/>
        <v>100</v>
      </c>
      <c r="X40" s="1355"/>
      <c r="Y40" s="369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696"/>
      <c r="Q41" s="707" t="str">
        <f t="shared" si="11"/>
        <v>单套/主力户型建筑面积</v>
      </c>
      <c r="R41" s="708" t="s">
        <v>18</v>
      </c>
      <c r="S41" s="709">
        <f t="shared" si="12"/>
        <v>100</v>
      </c>
      <c r="T41" s="708" t="s">
        <v>18</v>
      </c>
      <c r="U41" s="709">
        <f t="shared" si="13"/>
        <v>100</v>
      </c>
      <c r="V41" s="708" t="s">
        <v>18</v>
      </c>
      <c r="W41" s="709">
        <f t="shared" si="14"/>
        <v>100</v>
      </c>
      <c r="X41" s="710"/>
      <c r="Y41" s="369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696"/>
      <c r="Q42" s="1352" t="str">
        <f t="shared" si="11"/>
        <v>内部装修</v>
      </c>
      <c r="R42" s="705" t="s">
        <v>18</v>
      </c>
      <c r="S42" s="706">
        <f t="shared" si="12"/>
        <v>100</v>
      </c>
      <c r="T42" s="705" t="s">
        <v>18</v>
      </c>
      <c r="U42" s="706">
        <f t="shared" si="13"/>
        <v>100</v>
      </c>
      <c r="V42" s="705" t="s">
        <v>18</v>
      </c>
      <c r="W42" s="706">
        <f t="shared" si="14"/>
        <v>100</v>
      </c>
      <c r="X42" s="1355"/>
      <c r="Y42" s="369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696"/>
      <c r="Q43" s="1352" t="str">
        <f t="shared" si="11"/>
        <v>内部装修维护情况</v>
      </c>
      <c r="R43" s="705" t="s">
        <v>18</v>
      </c>
      <c r="S43" s="706">
        <f t="shared" si="12"/>
        <v>100</v>
      </c>
      <c r="T43" s="705" t="s">
        <v>18</v>
      </c>
      <c r="U43" s="706">
        <f t="shared" si="13"/>
        <v>100</v>
      </c>
      <c r="V43" s="705" t="s">
        <v>18</v>
      </c>
      <c r="W43" s="706">
        <f t="shared" si="14"/>
        <v>100</v>
      </c>
      <c r="X43" s="1355"/>
      <c r="Y43" s="369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696"/>
      <c r="Q44" s="1343">
        <f t="shared" si="11"/>
        <v>111</v>
      </c>
      <c r="R44" s="701" t="s">
        <v>18</v>
      </c>
      <c r="S44" s="702">
        <f t="shared" si="12"/>
        <v>100</v>
      </c>
      <c r="T44" s="701" t="s">
        <v>18</v>
      </c>
      <c r="U44" s="702">
        <f t="shared" si="13"/>
        <v>100</v>
      </c>
      <c r="V44" s="701" t="s">
        <v>18</v>
      </c>
      <c r="W44" s="702">
        <f t="shared" si="14"/>
        <v>100</v>
      </c>
      <c r="X44" s="703"/>
      <c r="Y44" s="369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696"/>
      <c r="Q45" s="1352">
        <f t="shared" si="11"/>
        <v>111</v>
      </c>
      <c r="R45" s="705" t="s">
        <v>18</v>
      </c>
      <c r="S45" s="706">
        <f t="shared" si="12"/>
        <v>100</v>
      </c>
      <c r="T45" s="705" t="s">
        <v>18</v>
      </c>
      <c r="U45" s="706">
        <f t="shared" si="13"/>
        <v>100</v>
      </c>
      <c r="V45" s="705" t="s">
        <v>18</v>
      </c>
      <c r="W45" s="706">
        <f t="shared" si="14"/>
        <v>100</v>
      </c>
      <c r="X45" s="1355"/>
      <c r="Y45" s="369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697"/>
      <c r="Q46" s="1352">
        <f t="shared" si="11"/>
        <v>111</v>
      </c>
      <c r="R46" s="705" t="s">
        <v>17</v>
      </c>
      <c r="S46" s="706">
        <f t="shared" si="12"/>
        <v>100</v>
      </c>
      <c r="T46" s="705" t="s">
        <v>17</v>
      </c>
      <c r="U46" s="706">
        <f t="shared" si="13"/>
        <v>100</v>
      </c>
      <c r="V46" s="705" t="s">
        <v>17</v>
      </c>
      <c r="W46" s="706">
        <f t="shared" si="14"/>
        <v>100</v>
      </c>
      <c r="X46" s="1355"/>
      <c r="Y46" s="369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691" t="str">
        <f>A47</f>
        <v>成交单价（元/平方米）</v>
      </c>
      <c r="Q47" s="3691"/>
      <c r="R47" s="3692">
        <f>E47</f>
        <v>0</v>
      </c>
      <c r="S47" s="3692"/>
      <c r="T47" s="3692">
        <f>G47</f>
        <v>0</v>
      </c>
      <c r="U47" s="3692"/>
      <c r="V47" s="3692">
        <f>I47</f>
        <v>0</v>
      </c>
      <c r="W47" s="3692"/>
      <c r="X47" s="690"/>
      <c r="Y47" s="712"/>
      <c r="Z47" s="690"/>
      <c r="AA47" s="690"/>
      <c r="AB47" s="690"/>
      <c r="AC47" s="690"/>
    </row>
    <row r="48" spans="1:29" ht="15.75" thickBot="1">
      <c r="A48" s="437" t="s">
        <v>1709</v>
      </c>
      <c r="B48" s="438"/>
      <c r="C48" s="1160" t="e">
        <f>R49</f>
        <v>#DIV/0!</v>
      </c>
      <c r="D48" s="2317" t="s">
        <v>2136</v>
      </c>
      <c r="E48" s="1161" t="e">
        <f>R48</f>
        <v>#DIV/0!</v>
      </c>
      <c r="F48" s="2318"/>
      <c r="G48" s="1160" t="e">
        <f>T48</f>
        <v>#DIV/0!</v>
      </c>
      <c r="H48" s="2318"/>
      <c r="I48" s="1161" t="e">
        <f>V48</f>
        <v>#DIV/0!</v>
      </c>
      <c r="J48" s="2318"/>
      <c r="K48" s="2319">
        <f>F48+H48+J48</f>
        <v>0</v>
      </c>
      <c r="L48" s="2720"/>
      <c r="M48" s="2721"/>
      <c r="N48" s="2721"/>
      <c r="O48" s="2721"/>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259.41000000000003</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706" t="s">
        <v>1770</v>
      </c>
      <c r="D4" s="3707"/>
      <c r="E4" s="3708" t="s">
        <v>1771</v>
      </c>
      <c r="F4" s="3709"/>
      <c r="G4" s="3706" t="s">
        <v>1772</v>
      </c>
      <c r="H4" s="3707"/>
      <c r="I4" s="3706" t="s">
        <v>1773</v>
      </c>
      <c r="J4" s="3707"/>
      <c r="K4" s="559" t="s">
        <v>1774</v>
      </c>
      <c r="L4" s="2711"/>
      <c r="M4" s="2712"/>
      <c r="N4" s="2712"/>
      <c r="O4" s="2712"/>
      <c r="P4" s="3710" t="s">
        <v>1775</v>
      </c>
      <c r="Q4" s="3711"/>
      <c r="R4" s="3716" t="s">
        <v>1771</v>
      </c>
      <c r="S4" s="3717"/>
      <c r="T4" s="3716" t="s">
        <v>1772</v>
      </c>
      <c r="U4" s="3717"/>
      <c r="V4" s="3722" t="s">
        <v>1773</v>
      </c>
      <c r="W4" s="3722"/>
      <c r="X4" s="1355"/>
      <c r="Y4" s="3716" t="s">
        <v>1775</v>
      </c>
      <c r="Z4" s="3717"/>
      <c r="AA4" s="3703" t="s">
        <v>1771</v>
      </c>
      <c r="AB4" s="3722" t="s">
        <v>1772</v>
      </c>
      <c r="AC4" s="3703" t="s">
        <v>1773</v>
      </c>
    </row>
    <row r="5" spans="1:29" ht="15">
      <c r="A5" s="358"/>
      <c r="B5" s="359"/>
      <c r="C5" s="3725" t="s">
        <v>1673</v>
      </c>
      <c r="D5" s="3726"/>
      <c r="E5" s="3732" t="s">
        <v>1674</v>
      </c>
      <c r="F5" s="3733"/>
      <c r="G5" s="3725" t="s">
        <v>1675</v>
      </c>
      <c r="H5" s="3726"/>
      <c r="I5" s="3725" t="s">
        <v>1676</v>
      </c>
      <c r="J5" s="3726"/>
      <c r="K5" s="559"/>
      <c r="L5" s="2711"/>
      <c r="M5" s="2712"/>
      <c r="N5" s="2712"/>
      <c r="O5" s="2712"/>
      <c r="P5" s="3712"/>
      <c r="Q5" s="3713"/>
      <c r="R5" s="3718"/>
      <c r="S5" s="3719"/>
      <c r="T5" s="3718"/>
      <c r="U5" s="3719"/>
      <c r="V5" s="3722"/>
      <c r="W5" s="3722"/>
      <c r="X5" s="1355"/>
      <c r="Y5" s="3718"/>
      <c r="Z5" s="3719"/>
      <c r="AA5" s="3704"/>
      <c r="AB5" s="3722"/>
      <c r="AC5" s="3704"/>
    </row>
    <row r="6" spans="1:29" ht="15.75" thickBot="1">
      <c r="A6" s="360"/>
      <c r="B6" s="361"/>
      <c r="C6" s="3723" t="s">
        <v>1677</v>
      </c>
      <c r="D6" s="3724"/>
      <c r="E6" s="3730" t="s">
        <v>1677</v>
      </c>
      <c r="F6" s="3731"/>
      <c r="G6" s="3723" t="s">
        <v>1677</v>
      </c>
      <c r="H6" s="3724"/>
      <c r="I6" s="3723" t="s">
        <v>1677</v>
      </c>
      <c r="J6" s="3724"/>
      <c r="K6" s="559" t="s">
        <v>1678</v>
      </c>
      <c r="L6" s="2711"/>
      <c r="M6" s="2712"/>
      <c r="N6" s="2712"/>
      <c r="O6" s="2712"/>
      <c r="P6" s="3714"/>
      <c r="Q6" s="3715"/>
      <c r="R6" s="3718"/>
      <c r="S6" s="3719"/>
      <c r="T6" s="3720"/>
      <c r="U6" s="3721"/>
      <c r="V6" s="3722"/>
      <c r="W6" s="3722"/>
      <c r="X6" s="1355"/>
      <c r="Y6" s="3720"/>
      <c r="Z6" s="3721"/>
      <c r="AA6" s="3705"/>
      <c r="AB6" s="3722"/>
      <c r="AC6" s="3705"/>
    </row>
    <row r="7" spans="1:29" s="108" customFormat="1" ht="15.75" thickBot="1">
      <c r="A7" s="362" t="s">
        <v>1679</v>
      </c>
      <c r="B7" s="363"/>
      <c r="C7" s="364">
        <f>'数据-取费表'!B2</f>
        <v>44931</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27" t="s">
        <v>1683</v>
      </c>
      <c r="Q8" s="3728"/>
      <c r="R8" s="701" t="s">
        <v>14</v>
      </c>
      <c r="S8" s="702">
        <f t="shared" si="0"/>
        <v>100</v>
      </c>
      <c r="T8" s="701" t="s">
        <v>14</v>
      </c>
      <c r="U8" s="702">
        <f t="shared" si="1"/>
        <v>100</v>
      </c>
      <c r="V8" s="701" t="s">
        <v>14</v>
      </c>
      <c r="W8" s="702">
        <f t="shared" si="2"/>
        <v>100</v>
      </c>
      <c r="X8" s="703"/>
      <c r="Y8" s="3727" t="s">
        <v>1683</v>
      </c>
      <c r="Z8" s="372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0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5"/>
      <c r="M10" s="2716"/>
      <c r="N10" s="2716"/>
      <c r="O10" s="2716"/>
      <c r="P10" s="370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02"/>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0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0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02"/>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15">
      <c r="A15" s="391" t="s">
        <v>1690</v>
      </c>
      <c r="B15" s="61" t="s">
        <v>1777</v>
      </c>
      <c r="C15" s="1896" t="str">
        <f>估价对象房地状况!C4</f>
        <v xml:space="preserve"> </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00" t="s">
        <v>1691</v>
      </c>
      <c r="Q15" s="1352" t="str">
        <f t="shared" si="6"/>
        <v>商业繁华度</v>
      </c>
      <c r="R15" s="705" t="s">
        <v>14</v>
      </c>
      <c r="S15" s="706">
        <f t="shared" si="0"/>
        <v>100</v>
      </c>
      <c r="T15" s="705" t="s">
        <v>14</v>
      </c>
      <c r="U15" s="706">
        <f t="shared" si="1"/>
        <v>100</v>
      </c>
      <c r="V15" s="705" t="s">
        <v>14</v>
      </c>
      <c r="W15" s="706">
        <f t="shared" si="2"/>
        <v>100</v>
      </c>
      <c r="X15" s="1355"/>
      <c r="Y15" s="369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701"/>
      <c r="Q16" s="1352"/>
      <c r="R16" s="705"/>
      <c r="S16" s="706"/>
      <c r="T16" s="705"/>
      <c r="U16" s="706"/>
      <c r="V16" s="705"/>
      <c r="W16" s="706"/>
      <c r="X16" s="1355"/>
      <c r="Y16" s="3694"/>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01"/>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701"/>
      <c r="Q18" s="1352"/>
      <c r="R18" s="705"/>
      <c r="S18" s="706"/>
      <c r="T18" s="705"/>
      <c r="U18" s="706"/>
      <c r="V18" s="705"/>
      <c r="W18" s="706"/>
      <c r="X18" s="1355"/>
      <c r="Y18" s="3694"/>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01"/>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701"/>
      <c r="Q20" s="1352"/>
      <c r="R20" s="705"/>
      <c r="S20" s="706"/>
      <c r="T20" s="705"/>
      <c r="U20" s="706"/>
      <c r="V20" s="705"/>
      <c r="W20" s="706"/>
      <c r="X20" s="1355"/>
      <c r="Y20" s="3694"/>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701"/>
      <c r="Q22" s="1352"/>
      <c r="R22" s="705"/>
      <c r="S22" s="706"/>
      <c r="T22" s="705"/>
      <c r="U22" s="706"/>
      <c r="V22" s="705"/>
      <c r="W22" s="706"/>
      <c r="X22" s="1355"/>
      <c r="Y22" s="3694"/>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01"/>
      <c r="Q23" s="1352" t="str">
        <f>B23</f>
        <v>自然及人文环境</v>
      </c>
      <c r="R23" s="705" t="s">
        <v>14</v>
      </c>
      <c r="S23" s="706">
        <f>F23</f>
        <v>100</v>
      </c>
      <c r="T23" s="705" t="s">
        <v>14</v>
      </c>
      <c r="U23" s="706">
        <f>H23</f>
        <v>100</v>
      </c>
      <c r="V23" s="705" t="s">
        <v>14</v>
      </c>
      <c r="W23" s="706">
        <f>J23</f>
        <v>100</v>
      </c>
      <c r="X23" s="1355"/>
      <c r="Y23" s="369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701"/>
      <c r="Q24" s="1352"/>
      <c r="R24" s="705"/>
      <c r="S24" s="706"/>
      <c r="T24" s="705"/>
      <c r="U24" s="706"/>
      <c r="V24" s="705"/>
      <c r="W24" s="706"/>
      <c r="X24" s="1355"/>
      <c r="Y24" s="369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01"/>
      <c r="Q25" s="1352" t="str">
        <f t="shared" ref="Q25:Q46" si="11">B25</f>
        <v>临街状况</v>
      </c>
      <c r="R25" s="705" t="s">
        <v>14</v>
      </c>
      <c r="S25" s="706">
        <f>F25</f>
        <v>100</v>
      </c>
      <c r="T25" s="705" t="s">
        <v>14</v>
      </c>
      <c r="U25" s="706">
        <f>H25</f>
        <v>100</v>
      </c>
      <c r="V25" s="705" t="s">
        <v>14</v>
      </c>
      <c r="W25" s="706">
        <f>J25</f>
        <v>100</v>
      </c>
      <c r="X25" s="1355"/>
      <c r="Y25" s="369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01"/>
      <c r="Q26" s="1352" t="str">
        <f t="shared" si="11"/>
        <v>平面位置/可视性</v>
      </c>
      <c r="R26" s="705" t="s">
        <v>14</v>
      </c>
      <c r="S26" s="706">
        <f>F26</f>
        <v>100</v>
      </c>
      <c r="T26" s="705" t="s">
        <v>14</v>
      </c>
      <c r="U26" s="706">
        <f>H26</f>
        <v>100</v>
      </c>
      <c r="V26" s="705" t="s">
        <v>14</v>
      </c>
      <c r="W26" s="706">
        <f>J26</f>
        <v>100</v>
      </c>
      <c r="X26" s="1355"/>
      <c r="Y26" s="369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701"/>
      <c r="Q27" s="1343" t="str">
        <f t="shared" si="11"/>
        <v>人流量</v>
      </c>
      <c r="R27" s="701" t="s">
        <v>14</v>
      </c>
      <c r="S27" s="702">
        <f>F27</f>
        <v>100</v>
      </c>
      <c r="T27" s="701" t="s">
        <v>14</v>
      </c>
      <c r="U27" s="702">
        <f>H27</f>
        <v>100</v>
      </c>
      <c r="V27" s="701" t="s">
        <v>14</v>
      </c>
      <c r="W27" s="702">
        <f>J27</f>
        <v>100</v>
      </c>
      <c r="X27" s="703"/>
      <c r="Y27" s="369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0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01"/>
      <c r="Q29" s="1352">
        <f t="shared" si="11"/>
        <v>111</v>
      </c>
      <c r="R29" s="705" t="s">
        <v>14</v>
      </c>
      <c r="S29" s="706">
        <f t="shared" si="12"/>
        <v>100</v>
      </c>
      <c r="T29" s="705" t="s">
        <v>14</v>
      </c>
      <c r="U29" s="706">
        <f t="shared" si="13"/>
        <v>100</v>
      </c>
      <c r="V29" s="705" t="s">
        <v>14</v>
      </c>
      <c r="W29" s="706">
        <f t="shared" si="14"/>
        <v>100</v>
      </c>
      <c r="X29" s="1355"/>
      <c r="Y29" s="369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01"/>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01"/>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695" t="s">
        <v>1696</v>
      </c>
      <c r="Q32" s="1352" t="str">
        <f t="shared" si="11"/>
        <v>商业类型</v>
      </c>
      <c r="R32" s="705" t="s">
        <v>14</v>
      </c>
      <c r="S32" s="706">
        <f t="shared" si="12"/>
        <v>100</v>
      </c>
      <c r="T32" s="705" t="s">
        <v>14</v>
      </c>
      <c r="U32" s="706">
        <f t="shared" si="13"/>
        <v>100</v>
      </c>
      <c r="V32" s="705" t="s">
        <v>14</v>
      </c>
      <c r="W32" s="706">
        <f t="shared" si="14"/>
        <v>100</v>
      </c>
      <c r="X32" s="1355"/>
      <c r="Y32" s="369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96"/>
      <c r="Q33" s="707" t="str">
        <f t="shared" si="11"/>
        <v>项目建筑规模</v>
      </c>
      <c r="R33" s="708" t="s">
        <v>14</v>
      </c>
      <c r="S33" s="709" t="e">
        <f t="shared" si="12"/>
        <v>#N/A</v>
      </c>
      <c r="T33" s="708" t="s">
        <v>14</v>
      </c>
      <c r="U33" s="709" t="e">
        <f t="shared" si="13"/>
        <v>#N/A</v>
      </c>
      <c r="V33" s="708" t="s">
        <v>14</v>
      </c>
      <c r="W33" s="709" t="e">
        <f t="shared" si="14"/>
        <v>#N/A</v>
      </c>
      <c r="X33" s="710"/>
      <c r="Y33" s="369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696"/>
      <c r="Q34" s="1352" t="str">
        <f t="shared" si="11"/>
        <v>建筑结构</v>
      </c>
      <c r="R34" s="705" t="s">
        <v>14</v>
      </c>
      <c r="S34" s="706">
        <f t="shared" si="12"/>
        <v>100</v>
      </c>
      <c r="T34" s="705" t="s">
        <v>14</v>
      </c>
      <c r="U34" s="706">
        <f t="shared" si="13"/>
        <v>100</v>
      </c>
      <c r="V34" s="705" t="s">
        <v>14</v>
      </c>
      <c r="W34" s="706">
        <f t="shared" si="14"/>
        <v>100</v>
      </c>
      <c r="X34" s="1355"/>
      <c r="Y34" s="369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696"/>
      <c r="Q35" s="1352" t="str">
        <f t="shared" si="11"/>
        <v>公共部分装修</v>
      </c>
      <c r="R35" s="705" t="s">
        <v>14</v>
      </c>
      <c r="S35" s="706">
        <f t="shared" si="12"/>
        <v>100</v>
      </c>
      <c r="T35" s="705" t="s">
        <v>14</v>
      </c>
      <c r="U35" s="706">
        <f t="shared" si="13"/>
        <v>100</v>
      </c>
      <c r="V35" s="705" t="s">
        <v>14</v>
      </c>
      <c r="W35" s="706">
        <f t="shared" si="14"/>
        <v>100</v>
      </c>
      <c r="X35" s="1355"/>
      <c r="Y35" s="369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96"/>
      <c r="Q36" s="1352" t="str">
        <f t="shared" si="11"/>
        <v>成新度</v>
      </c>
      <c r="R36" s="705" t="s">
        <v>14</v>
      </c>
      <c r="S36" s="706" t="e">
        <f t="shared" si="12"/>
        <v>#N/A</v>
      </c>
      <c r="T36" s="705" t="s">
        <v>14</v>
      </c>
      <c r="U36" s="706" t="e">
        <f t="shared" si="13"/>
        <v>#N/A</v>
      </c>
      <c r="V36" s="705" t="s">
        <v>14</v>
      </c>
      <c r="W36" s="706" t="e">
        <f t="shared" si="14"/>
        <v>#N/A</v>
      </c>
      <c r="X36" s="1355"/>
      <c r="Y36" s="369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696"/>
      <c r="Q37" s="1343" t="str">
        <f t="shared" si="11"/>
        <v>市政基础设施</v>
      </c>
      <c r="R37" s="701" t="s">
        <v>14</v>
      </c>
      <c r="S37" s="702">
        <f t="shared" si="12"/>
        <v>100</v>
      </c>
      <c r="T37" s="701" t="s">
        <v>14</v>
      </c>
      <c r="U37" s="702">
        <f t="shared" si="13"/>
        <v>100</v>
      </c>
      <c r="V37" s="701" t="s">
        <v>14</v>
      </c>
      <c r="W37" s="702">
        <f t="shared" si="14"/>
        <v>100</v>
      </c>
      <c r="X37" s="703"/>
      <c r="Y37" s="369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696" t="s">
        <v>1696</v>
      </c>
      <c r="Q38" s="1352" t="str">
        <f t="shared" si="11"/>
        <v>业态</v>
      </c>
      <c r="R38" s="705" t="s">
        <v>14</v>
      </c>
      <c r="S38" s="706">
        <f t="shared" si="12"/>
        <v>100</v>
      </c>
      <c r="T38" s="705" t="s">
        <v>14</v>
      </c>
      <c r="U38" s="706">
        <f t="shared" si="13"/>
        <v>100</v>
      </c>
      <c r="V38" s="705" t="s">
        <v>14</v>
      </c>
      <c r="W38" s="706">
        <f t="shared" si="14"/>
        <v>100</v>
      </c>
      <c r="X38" s="1355"/>
      <c r="Y38" s="369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696"/>
      <c r="Q39" s="1352" t="str">
        <f t="shared" si="11"/>
        <v>层高</v>
      </c>
      <c r="R39" s="705" t="s">
        <v>14</v>
      </c>
      <c r="S39" s="706">
        <f t="shared" si="12"/>
        <v>100</v>
      </c>
      <c r="T39" s="705" t="s">
        <v>14</v>
      </c>
      <c r="U39" s="706">
        <f t="shared" si="13"/>
        <v>100</v>
      </c>
      <c r="V39" s="705" t="s">
        <v>14</v>
      </c>
      <c r="W39" s="706">
        <f t="shared" si="14"/>
        <v>100</v>
      </c>
      <c r="X39" s="1355"/>
      <c r="Y39" s="369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96"/>
      <c r="Q40" s="1352" t="str">
        <f t="shared" si="11"/>
        <v>单套建筑面积</v>
      </c>
      <c r="R40" s="705" t="s">
        <v>14</v>
      </c>
      <c r="S40" s="706">
        <f t="shared" si="12"/>
        <v>100</v>
      </c>
      <c r="T40" s="705" t="s">
        <v>14</v>
      </c>
      <c r="U40" s="706">
        <f t="shared" si="13"/>
        <v>100</v>
      </c>
      <c r="V40" s="705" t="s">
        <v>14</v>
      </c>
      <c r="W40" s="706">
        <f t="shared" si="14"/>
        <v>100</v>
      </c>
      <c r="X40" s="1355"/>
      <c r="Y40" s="369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96"/>
      <c r="Q41" s="707" t="str">
        <f t="shared" si="11"/>
        <v>进深比</v>
      </c>
      <c r="R41" s="708" t="s">
        <v>14</v>
      </c>
      <c r="S41" s="709">
        <f t="shared" si="12"/>
        <v>100</v>
      </c>
      <c r="T41" s="708" t="s">
        <v>14</v>
      </c>
      <c r="U41" s="709">
        <f t="shared" si="13"/>
        <v>100</v>
      </c>
      <c r="V41" s="708" t="s">
        <v>14</v>
      </c>
      <c r="W41" s="709">
        <f t="shared" si="14"/>
        <v>100</v>
      </c>
      <c r="X41" s="710"/>
      <c r="Y41" s="369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696"/>
      <c r="Q42" s="1352" t="str">
        <f t="shared" si="11"/>
        <v>内部装修</v>
      </c>
      <c r="R42" s="705" t="s">
        <v>14</v>
      </c>
      <c r="S42" s="706">
        <f t="shared" si="12"/>
        <v>100</v>
      </c>
      <c r="T42" s="705" t="s">
        <v>14</v>
      </c>
      <c r="U42" s="706">
        <f t="shared" si="13"/>
        <v>100</v>
      </c>
      <c r="V42" s="705" t="s">
        <v>14</v>
      </c>
      <c r="W42" s="706">
        <f t="shared" si="14"/>
        <v>100</v>
      </c>
      <c r="X42" s="1355"/>
      <c r="Y42" s="369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696"/>
      <c r="Q43" s="1352" t="str">
        <f t="shared" si="11"/>
        <v>内部装修维护情况</v>
      </c>
      <c r="R43" s="705" t="s">
        <v>14</v>
      </c>
      <c r="S43" s="706">
        <f t="shared" si="12"/>
        <v>100</v>
      </c>
      <c r="T43" s="705" t="s">
        <v>14</v>
      </c>
      <c r="U43" s="706">
        <f t="shared" si="13"/>
        <v>100</v>
      </c>
      <c r="V43" s="705" t="s">
        <v>14</v>
      </c>
      <c r="W43" s="706">
        <f t="shared" si="14"/>
        <v>100</v>
      </c>
      <c r="X43" s="1355"/>
      <c r="Y43" s="369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96"/>
      <c r="Q44" s="1343">
        <f t="shared" si="11"/>
        <v>111</v>
      </c>
      <c r="R44" s="701" t="s">
        <v>14</v>
      </c>
      <c r="S44" s="702">
        <f t="shared" si="12"/>
        <v>100</v>
      </c>
      <c r="T44" s="701" t="s">
        <v>14</v>
      </c>
      <c r="U44" s="702">
        <f t="shared" si="13"/>
        <v>100</v>
      </c>
      <c r="V44" s="701" t="s">
        <v>14</v>
      </c>
      <c r="W44" s="702">
        <f t="shared" si="14"/>
        <v>100</v>
      </c>
      <c r="X44" s="703"/>
      <c r="Y44" s="369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96"/>
      <c r="Q45" s="1352">
        <f t="shared" si="11"/>
        <v>111</v>
      </c>
      <c r="R45" s="705" t="s">
        <v>14</v>
      </c>
      <c r="S45" s="706">
        <f t="shared" si="12"/>
        <v>100</v>
      </c>
      <c r="T45" s="705" t="s">
        <v>14</v>
      </c>
      <c r="U45" s="706">
        <f t="shared" si="13"/>
        <v>100</v>
      </c>
      <c r="V45" s="705" t="s">
        <v>14</v>
      </c>
      <c r="W45" s="706">
        <f t="shared" si="14"/>
        <v>100</v>
      </c>
      <c r="X45" s="1355"/>
      <c r="Y45" s="369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97"/>
      <c r="Q46" s="1352">
        <f t="shared" si="11"/>
        <v>111</v>
      </c>
      <c r="R46" s="705" t="s">
        <v>14</v>
      </c>
      <c r="S46" s="706">
        <f t="shared" si="12"/>
        <v>100</v>
      </c>
      <c r="T46" s="705" t="s">
        <v>14</v>
      </c>
      <c r="U46" s="706">
        <f t="shared" si="13"/>
        <v>100</v>
      </c>
      <c r="V46" s="705" t="s">
        <v>14</v>
      </c>
      <c r="W46" s="706">
        <f t="shared" si="14"/>
        <v>100</v>
      </c>
      <c r="X46" s="1355"/>
      <c r="Y46" s="369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691" t="str">
        <f>A47</f>
        <v>成交单价（元/平方米）</v>
      </c>
      <c r="Q47" s="3691"/>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7" t="s">
        <v>2136</v>
      </c>
      <c r="E48" s="1161" t="e">
        <f>R48</f>
        <v>#DIV/0!</v>
      </c>
      <c r="F48" s="2318"/>
      <c r="G48" s="1160" t="e">
        <f>T48</f>
        <v>#DIV/0!</v>
      </c>
      <c r="H48" s="2318"/>
      <c r="I48" s="1161" t="e">
        <f>V48</f>
        <v>#DIV/0!</v>
      </c>
      <c r="J48" s="2318"/>
      <c r="K48" s="2320">
        <f>F48+H48+J48</f>
        <v>0</v>
      </c>
      <c r="L48" s="2720"/>
      <c r="M48" s="2721"/>
      <c r="N48" s="2712"/>
      <c r="O48" s="2721"/>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259.41000000000003</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06" t="s">
        <v>1770</v>
      </c>
      <c r="D4" s="3707"/>
      <c r="E4" s="3708" t="s">
        <v>1771</v>
      </c>
      <c r="F4" s="3709"/>
      <c r="G4" s="3706" t="s">
        <v>1772</v>
      </c>
      <c r="H4" s="3707"/>
      <c r="I4" s="3706" t="s">
        <v>1773</v>
      </c>
      <c r="J4" s="3707"/>
      <c r="K4" s="559" t="s">
        <v>1774</v>
      </c>
      <c r="L4" s="2711"/>
      <c r="M4" s="2712"/>
      <c r="N4" s="2712"/>
      <c r="O4" s="2712"/>
      <c r="P4" s="3740" t="s">
        <v>1775</v>
      </c>
      <c r="Q4" s="3741"/>
      <c r="R4" s="3744" t="s">
        <v>1771</v>
      </c>
      <c r="S4" s="3745"/>
      <c r="T4" s="3744" t="s">
        <v>1772</v>
      </c>
      <c r="U4" s="3745"/>
      <c r="V4" s="3746" t="s">
        <v>1773</v>
      </c>
      <c r="W4" s="3746"/>
      <c r="X4" s="1958"/>
      <c r="Y4" s="3744" t="s">
        <v>1775</v>
      </c>
      <c r="Z4" s="3745"/>
      <c r="AA4" s="3748" t="s">
        <v>1771</v>
      </c>
      <c r="AB4" s="3748" t="s">
        <v>1772</v>
      </c>
      <c r="AC4" s="3737" t="s">
        <v>1773</v>
      </c>
    </row>
    <row r="5" spans="1:29" ht="15">
      <c r="A5" s="358"/>
      <c r="B5" s="359"/>
      <c r="C5" s="3725" t="s">
        <v>1673</v>
      </c>
      <c r="D5" s="3726"/>
      <c r="E5" s="3732" t="s">
        <v>1674</v>
      </c>
      <c r="F5" s="3733"/>
      <c r="G5" s="3725" t="s">
        <v>1675</v>
      </c>
      <c r="H5" s="3726"/>
      <c r="I5" s="3725" t="s">
        <v>1676</v>
      </c>
      <c r="J5" s="3726"/>
      <c r="K5" s="559"/>
      <c r="L5" s="2711"/>
      <c r="M5" s="2712"/>
      <c r="N5" s="2712"/>
      <c r="O5" s="2712"/>
      <c r="P5" s="3742"/>
      <c r="Q5" s="3713"/>
      <c r="R5" s="3718"/>
      <c r="S5" s="3719"/>
      <c r="T5" s="3718"/>
      <c r="U5" s="3719"/>
      <c r="V5" s="3722"/>
      <c r="W5" s="3722"/>
      <c r="X5" s="1355"/>
      <c r="Y5" s="3718"/>
      <c r="Z5" s="3719"/>
      <c r="AA5" s="3704"/>
      <c r="AB5" s="3704"/>
      <c r="AC5" s="3738"/>
    </row>
    <row r="6" spans="1:29" ht="15.75" thickBot="1">
      <c r="A6" s="360"/>
      <c r="B6" s="361"/>
      <c r="C6" s="3723" t="s">
        <v>1677</v>
      </c>
      <c r="D6" s="3724"/>
      <c r="E6" s="3730" t="s">
        <v>1677</v>
      </c>
      <c r="F6" s="3731"/>
      <c r="G6" s="3723" t="s">
        <v>1677</v>
      </c>
      <c r="H6" s="3724"/>
      <c r="I6" s="3723" t="s">
        <v>1677</v>
      </c>
      <c r="J6" s="3724"/>
      <c r="K6" s="559" t="s">
        <v>1678</v>
      </c>
      <c r="L6" s="2711"/>
      <c r="M6" s="2712"/>
      <c r="N6" s="2712"/>
      <c r="O6" s="2712"/>
      <c r="P6" s="3743"/>
      <c r="Q6" s="3715"/>
      <c r="R6" s="3718"/>
      <c r="S6" s="3719"/>
      <c r="T6" s="3720"/>
      <c r="U6" s="3721"/>
      <c r="V6" s="3722"/>
      <c r="W6" s="3722"/>
      <c r="X6" s="1355"/>
      <c r="Y6" s="3720"/>
      <c r="Z6" s="3721"/>
      <c r="AA6" s="3705"/>
      <c r="AB6" s="3705"/>
      <c r="AC6" s="3739"/>
    </row>
    <row r="7" spans="1:29" s="108" customFormat="1" ht="15.75" thickBot="1">
      <c r="A7" s="362" t="s">
        <v>1679</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4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47" t="s">
        <v>1683</v>
      </c>
      <c r="Q8" s="3728"/>
      <c r="R8" s="701" t="s">
        <v>14</v>
      </c>
      <c r="S8" s="702">
        <f t="shared" si="0"/>
        <v>100</v>
      </c>
      <c r="T8" s="701" t="s">
        <v>14</v>
      </c>
      <c r="U8" s="702">
        <f t="shared" si="1"/>
        <v>100</v>
      </c>
      <c r="V8" s="701" t="s">
        <v>14</v>
      </c>
      <c r="W8" s="702">
        <f t="shared" si="2"/>
        <v>100</v>
      </c>
      <c r="X8" s="703"/>
      <c r="Y8" s="3727" t="s">
        <v>1683</v>
      </c>
      <c r="Z8" s="372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0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5"/>
      <c r="M10" s="2716"/>
      <c r="N10" s="2716"/>
      <c r="O10" s="2716"/>
      <c r="P10" s="370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02"/>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70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70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702"/>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00" t="s">
        <v>1691</v>
      </c>
      <c r="Q15" s="1352" t="str">
        <f t="shared" si="6"/>
        <v>办公集聚程度</v>
      </c>
      <c r="R15" s="705" t="s">
        <v>14</v>
      </c>
      <c r="S15" s="706">
        <f t="shared" si="0"/>
        <v>100</v>
      </c>
      <c r="T15" s="705" t="s">
        <v>14</v>
      </c>
      <c r="U15" s="706">
        <f t="shared" si="1"/>
        <v>100</v>
      </c>
      <c r="V15" s="705" t="s">
        <v>14</v>
      </c>
      <c r="W15" s="706">
        <f t="shared" si="2"/>
        <v>100</v>
      </c>
      <c r="X15" s="1355"/>
      <c r="Y15" s="369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701"/>
      <c r="Q16" s="1352"/>
      <c r="R16" s="705"/>
      <c r="S16" s="706"/>
      <c r="T16" s="705"/>
      <c r="U16" s="706"/>
      <c r="V16" s="705"/>
      <c r="W16" s="706"/>
      <c r="X16" s="1355"/>
      <c r="Y16" s="3694"/>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01"/>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701"/>
      <c r="Q18" s="1352"/>
      <c r="R18" s="705"/>
      <c r="S18" s="706"/>
      <c r="T18" s="705"/>
      <c r="U18" s="706"/>
      <c r="V18" s="705"/>
      <c r="W18" s="706"/>
      <c r="X18" s="1355"/>
      <c r="Y18" s="3694"/>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01"/>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701"/>
      <c r="Q20" s="1352"/>
      <c r="R20" s="705"/>
      <c r="S20" s="706"/>
      <c r="T20" s="705"/>
      <c r="U20" s="706"/>
      <c r="V20" s="705"/>
      <c r="W20" s="706"/>
      <c r="X20" s="1355"/>
      <c r="Y20" s="3694"/>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701"/>
      <c r="Q22" s="1352"/>
      <c r="R22" s="705"/>
      <c r="S22" s="706"/>
      <c r="T22" s="705"/>
      <c r="U22" s="706"/>
      <c r="V22" s="705"/>
      <c r="W22" s="706"/>
      <c r="X22" s="1355"/>
      <c r="Y22" s="3694"/>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01"/>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701"/>
      <c r="Q24" s="1352"/>
      <c r="R24" s="705"/>
      <c r="S24" s="706"/>
      <c r="T24" s="705"/>
      <c r="U24" s="706"/>
      <c r="V24" s="705"/>
      <c r="W24" s="706"/>
      <c r="X24" s="1355"/>
      <c r="Y24" s="369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01"/>
      <c r="Q25" s="1352" t="str">
        <f>B25</f>
        <v>毗邻道路的类型与等级</v>
      </c>
      <c r="R25" s="705" t="s">
        <v>14</v>
      </c>
      <c r="S25" s="706">
        <f>F25</f>
        <v>100</v>
      </c>
      <c r="T25" s="705" t="s">
        <v>14</v>
      </c>
      <c r="U25" s="706">
        <f>H25</f>
        <v>100</v>
      </c>
      <c r="V25" s="705" t="s">
        <v>14</v>
      </c>
      <c r="W25" s="706">
        <f>J25</f>
        <v>100</v>
      </c>
      <c r="X25" s="1355"/>
      <c r="Y25" s="369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701"/>
      <c r="Q26" s="1352"/>
      <c r="R26" s="705"/>
      <c r="S26" s="706"/>
      <c r="T26" s="705"/>
      <c r="U26" s="706"/>
      <c r="V26" s="705"/>
      <c r="W26" s="706"/>
      <c r="X26" s="1355"/>
      <c r="Y26" s="369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01"/>
      <c r="Q27" s="1352" t="str">
        <f t="shared" ref="Q27:Q47" si="11">B27</f>
        <v>楼层</v>
      </c>
      <c r="R27" s="705" t="s">
        <v>14</v>
      </c>
      <c r="S27" s="706">
        <f>F27</f>
        <v>100</v>
      </c>
      <c r="T27" s="705" t="s">
        <v>14</v>
      </c>
      <c r="U27" s="706">
        <f>H27</f>
        <v>100</v>
      </c>
      <c r="V27" s="705" t="s">
        <v>14</v>
      </c>
      <c r="W27" s="706">
        <f>J27</f>
        <v>100</v>
      </c>
      <c r="X27" s="1355"/>
      <c r="Y27" s="369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01"/>
      <c r="Q28" s="1343" t="str">
        <f t="shared" si="11"/>
        <v>朝向</v>
      </c>
      <c r="R28" s="701" t="s">
        <v>14</v>
      </c>
      <c r="S28" s="702">
        <f>F28</f>
        <v>100</v>
      </c>
      <c r="T28" s="701" t="s">
        <v>14</v>
      </c>
      <c r="U28" s="702">
        <f>H28</f>
        <v>100</v>
      </c>
      <c r="V28" s="701" t="s">
        <v>14</v>
      </c>
      <c r="W28" s="702">
        <f>J28</f>
        <v>100</v>
      </c>
      <c r="X28" s="703"/>
      <c r="Y28" s="369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701"/>
      <c r="Q29" s="1352">
        <f t="shared" si="11"/>
        <v>111</v>
      </c>
      <c r="R29" s="705" t="s">
        <v>14</v>
      </c>
      <c r="S29" s="706">
        <f t="shared" ref="S29:S47" si="12">F29</f>
        <v>100</v>
      </c>
      <c r="T29" s="705" t="s">
        <v>14</v>
      </c>
      <c r="U29" s="706">
        <f t="shared" ref="U29:U47" si="13">H29</f>
        <v>100</v>
      </c>
      <c r="V29" s="705" t="s">
        <v>14</v>
      </c>
      <c r="W29" s="706">
        <f t="shared" ref="W29:W47" si="14">J29</f>
        <v>100</v>
      </c>
      <c r="X29" s="1355"/>
      <c r="Y29" s="369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01"/>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01"/>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01"/>
      <c r="Q32" s="1352">
        <f t="shared" si="11"/>
        <v>111</v>
      </c>
      <c r="R32" s="705" t="s">
        <v>14</v>
      </c>
      <c r="S32" s="706">
        <f t="shared" si="12"/>
        <v>100</v>
      </c>
      <c r="T32" s="705" t="s">
        <v>14</v>
      </c>
      <c r="U32" s="706">
        <f t="shared" si="13"/>
        <v>100</v>
      </c>
      <c r="V32" s="705" t="s">
        <v>14</v>
      </c>
      <c r="W32" s="706">
        <f t="shared" si="14"/>
        <v>100</v>
      </c>
      <c r="X32" s="1355"/>
      <c r="Y32" s="369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695" t="s">
        <v>1696</v>
      </c>
      <c r="Q33" s="1352" t="str">
        <f t="shared" si="11"/>
        <v>建筑类型</v>
      </c>
      <c r="R33" s="705" t="s">
        <v>14</v>
      </c>
      <c r="S33" s="706">
        <f t="shared" si="12"/>
        <v>100</v>
      </c>
      <c r="T33" s="705" t="s">
        <v>14</v>
      </c>
      <c r="U33" s="706">
        <f t="shared" si="13"/>
        <v>100</v>
      </c>
      <c r="V33" s="705" t="s">
        <v>14</v>
      </c>
      <c r="W33" s="706">
        <f t="shared" si="14"/>
        <v>100</v>
      </c>
      <c r="X33" s="1355"/>
      <c r="Y33" s="369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96"/>
      <c r="Q34" s="707" t="str">
        <f t="shared" si="11"/>
        <v>项目建筑规模</v>
      </c>
      <c r="R34" s="708" t="s">
        <v>14</v>
      </c>
      <c r="S34" s="709" t="e">
        <f t="shared" si="12"/>
        <v>#N/A</v>
      </c>
      <c r="T34" s="708" t="s">
        <v>14</v>
      </c>
      <c r="U34" s="709" t="e">
        <f t="shared" si="13"/>
        <v>#N/A</v>
      </c>
      <c r="V34" s="708" t="s">
        <v>14</v>
      </c>
      <c r="W34" s="709" t="e">
        <f t="shared" si="14"/>
        <v>#N/A</v>
      </c>
      <c r="X34" s="710"/>
      <c r="Y34" s="369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96"/>
      <c r="Q35" s="1352" t="str">
        <f t="shared" si="11"/>
        <v>建筑结构</v>
      </c>
      <c r="R35" s="705" t="s">
        <v>14</v>
      </c>
      <c r="S35" s="706">
        <f t="shared" si="12"/>
        <v>100</v>
      </c>
      <c r="T35" s="705" t="s">
        <v>14</v>
      </c>
      <c r="U35" s="706">
        <f t="shared" si="13"/>
        <v>100</v>
      </c>
      <c r="V35" s="705" t="s">
        <v>14</v>
      </c>
      <c r="W35" s="706">
        <f t="shared" si="14"/>
        <v>100</v>
      </c>
      <c r="X35" s="1355"/>
      <c r="Y35" s="369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96"/>
      <c r="Q36" s="1352" t="str">
        <f t="shared" si="11"/>
        <v>公共部分装修</v>
      </c>
      <c r="R36" s="705" t="s">
        <v>14</v>
      </c>
      <c r="S36" s="706">
        <f t="shared" si="12"/>
        <v>100</v>
      </c>
      <c r="T36" s="705" t="s">
        <v>14</v>
      </c>
      <c r="U36" s="706">
        <f t="shared" si="13"/>
        <v>100</v>
      </c>
      <c r="V36" s="705" t="s">
        <v>14</v>
      </c>
      <c r="W36" s="706">
        <f t="shared" si="14"/>
        <v>100</v>
      </c>
      <c r="X36" s="1355"/>
      <c r="Y36" s="369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96"/>
      <c r="Q37" s="1352" t="str">
        <f t="shared" si="11"/>
        <v>成新度</v>
      </c>
      <c r="R37" s="705" t="s">
        <v>14</v>
      </c>
      <c r="S37" s="706" t="e">
        <f t="shared" si="12"/>
        <v>#N/A</v>
      </c>
      <c r="T37" s="705" t="s">
        <v>14</v>
      </c>
      <c r="U37" s="706" t="e">
        <f t="shared" si="13"/>
        <v>#N/A</v>
      </c>
      <c r="V37" s="705" t="s">
        <v>14</v>
      </c>
      <c r="W37" s="706" t="e">
        <f t="shared" si="14"/>
        <v>#N/A</v>
      </c>
      <c r="X37" s="1355"/>
      <c r="Y37" s="369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96"/>
      <c r="Q38" s="1343" t="str">
        <f t="shared" si="11"/>
        <v>写字楼等级</v>
      </c>
      <c r="R38" s="701" t="s">
        <v>14</v>
      </c>
      <c r="S38" s="702">
        <f t="shared" si="12"/>
        <v>100</v>
      </c>
      <c r="T38" s="701" t="s">
        <v>14</v>
      </c>
      <c r="U38" s="702">
        <f t="shared" si="13"/>
        <v>100</v>
      </c>
      <c r="V38" s="701" t="s">
        <v>14</v>
      </c>
      <c r="W38" s="702">
        <f t="shared" si="14"/>
        <v>100</v>
      </c>
      <c r="X38" s="703"/>
      <c r="Y38" s="369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96" t="s">
        <v>1696</v>
      </c>
      <c r="Q39" s="1352" t="str">
        <f t="shared" si="11"/>
        <v>物业管理</v>
      </c>
      <c r="R39" s="705" t="s">
        <v>14</v>
      </c>
      <c r="S39" s="706">
        <f t="shared" si="12"/>
        <v>100</v>
      </c>
      <c r="T39" s="705" t="s">
        <v>14</v>
      </c>
      <c r="U39" s="706">
        <f t="shared" si="13"/>
        <v>100</v>
      </c>
      <c r="V39" s="705" t="s">
        <v>14</v>
      </c>
      <c r="W39" s="706">
        <f t="shared" si="14"/>
        <v>100</v>
      </c>
      <c r="X39" s="1355"/>
      <c r="Y39" s="369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96"/>
      <c r="Q40" s="1352" t="str">
        <f t="shared" si="11"/>
        <v>市政基础设施</v>
      </c>
      <c r="R40" s="705" t="s">
        <v>14</v>
      </c>
      <c r="S40" s="706">
        <f t="shared" si="12"/>
        <v>100</v>
      </c>
      <c r="T40" s="705" t="s">
        <v>14</v>
      </c>
      <c r="U40" s="706">
        <f t="shared" si="13"/>
        <v>100</v>
      </c>
      <c r="V40" s="705" t="s">
        <v>14</v>
      </c>
      <c r="W40" s="706">
        <f t="shared" si="14"/>
        <v>100</v>
      </c>
      <c r="X40" s="1355"/>
      <c r="Y40" s="369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96"/>
      <c r="Q41" s="1352" t="str">
        <f t="shared" si="11"/>
        <v>层高</v>
      </c>
      <c r="R41" s="705" t="s">
        <v>14</v>
      </c>
      <c r="S41" s="706">
        <f t="shared" si="12"/>
        <v>100</v>
      </c>
      <c r="T41" s="705" t="s">
        <v>14</v>
      </c>
      <c r="U41" s="706">
        <f t="shared" si="13"/>
        <v>100</v>
      </c>
      <c r="V41" s="705" t="s">
        <v>14</v>
      </c>
      <c r="W41" s="706">
        <f t="shared" si="14"/>
        <v>100</v>
      </c>
      <c r="X41" s="1355"/>
      <c r="Y41" s="369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96"/>
      <c r="Q42" s="707" t="str">
        <f t="shared" si="11"/>
        <v>单套建筑面积</v>
      </c>
      <c r="R42" s="708" t="s">
        <v>14</v>
      </c>
      <c r="S42" s="709">
        <f t="shared" si="12"/>
        <v>100</v>
      </c>
      <c r="T42" s="708" t="s">
        <v>14</v>
      </c>
      <c r="U42" s="709">
        <f t="shared" si="13"/>
        <v>100</v>
      </c>
      <c r="V42" s="708" t="s">
        <v>14</v>
      </c>
      <c r="W42" s="709">
        <f t="shared" si="14"/>
        <v>100</v>
      </c>
      <c r="X42" s="710"/>
      <c r="Y42" s="369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96"/>
      <c r="Q43" s="1352" t="str">
        <f t="shared" si="11"/>
        <v>内部装修</v>
      </c>
      <c r="R43" s="705" t="s">
        <v>14</v>
      </c>
      <c r="S43" s="706">
        <f t="shared" si="12"/>
        <v>100</v>
      </c>
      <c r="T43" s="705" t="s">
        <v>14</v>
      </c>
      <c r="U43" s="706">
        <f t="shared" si="13"/>
        <v>100</v>
      </c>
      <c r="V43" s="705" t="s">
        <v>14</v>
      </c>
      <c r="W43" s="706">
        <f t="shared" si="14"/>
        <v>100</v>
      </c>
      <c r="X43" s="1355"/>
      <c r="Y43" s="369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696"/>
      <c r="Q44" s="1352" t="str">
        <f t="shared" si="11"/>
        <v>内部装修维护情况</v>
      </c>
      <c r="R44" s="705" t="s">
        <v>14</v>
      </c>
      <c r="S44" s="706">
        <f t="shared" si="12"/>
        <v>100</v>
      </c>
      <c r="T44" s="705" t="s">
        <v>14</v>
      </c>
      <c r="U44" s="706">
        <f t="shared" si="13"/>
        <v>100</v>
      </c>
      <c r="V44" s="705" t="s">
        <v>14</v>
      </c>
      <c r="W44" s="706">
        <f t="shared" si="14"/>
        <v>100</v>
      </c>
      <c r="X44" s="1355"/>
      <c r="Y44" s="369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96"/>
      <c r="Q45" s="1343">
        <f t="shared" si="11"/>
        <v>111</v>
      </c>
      <c r="R45" s="701" t="s">
        <v>14</v>
      </c>
      <c r="S45" s="702">
        <f t="shared" si="12"/>
        <v>100</v>
      </c>
      <c r="T45" s="701" t="s">
        <v>14</v>
      </c>
      <c r="U45" s="702">
        <f t="shared" si="13"/>
        <v>100</v>
      </c>
      <c r="V45" s="701" t="s">
        <v>14</v>
      </c>
      <c r="W45" s="702">
        <f t="shared" si="14"/>
        <v>100</v>
      </c>
      <c r="X45" s="703"/>
      <c r="Y45" s="369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96"/>
      <c r="Q46" s="1352">
        <f t="shared" si="11"/>
        <v>111</v>
      </c>
      <c r="R46" s="705" t="s">
        <v>14</v>
      </c>
      <c r="S46" s="706">
        <f t="shared" si="12"/>
        <v>100</v>
      </c>
      <c r="T46" s="705" t="s">
        <v>14</v>
      </c>
      <c r="U46" s="706">
        <f t="shared" si="13"/>
        <v>100</v>
      </c>
      <c r="V46" s="705" t="s">
        <v>14</v>
      </c>
      <c r="W46" s="706">
        <f t="shared" si="14"/>
        <v>100</v>
      </c>
      <c r="X46" s="1355"/>
      <c r="Y46" s="369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97"/>
      <c r="Q47" s="1352">
        <f t="shared" si="11"/>
        <v>111</v>
      </c>
      <c r="R47" s="705" t="s">
        <v>14</v>
      </c>
      <c r="S47" s="706">
        <f t="shared" si="12"/>
        <v>100</v>
      </c>
      <c r="T47" s="705" t="s">
        <v>14</v>
      </c>
      <c r="U47" s="706">
        <f t="shared" si="13"/>
        <v>100</v>
      </c>
      <c r="V47" s="705" t="s">
        <v>14</v>
      </c>
      <c r="W47" s="706">
        <f t="shared" si="14"/>
        <v>100</v>
      </c>
      <c r="X47" s="1355"/>
      <c r="Y47" s="369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702" t="str">
        <f>A48</f>
        <v>成交单价（元/平方米）</v>
      </c>
      <c r="Q48" s="3691"/>
      <c r="R48" s="3692">
        <f>E48</f>
        <v>0</v>
      </c>
      <c r="S48" s="3692"/>
      <c r="T48" s="3692">
        <f>G48</f>
        <v>0</v>
      </c>
      <c r="U48" s="3692"/>
      <c r="V48" s="3692">
        <f>I48</f>
        <v>0</v>
      </c>
      <c r="W48" s="3692"/>
      <c r="X48" s="397"/>
      <c r="Y48" s="712"/>
      <c r="Z48" s="397"/>
      <c r="AA48" s="397"/>
      <c r="AB48" s="397"/>
      <c r="AC48" s="578"/>
    </row>
    <row r="49" spans="1:29" ht="15.75" thickBot="1">
      <c r="A49" s="437" t="s">
        <v>1793</v>
      </c>
      <c r="B49" s="438"/>
      <c r="C49" s="1160" t="e">
        <f>R50</f>
        <v>#DIV/0!</v>
      </c>
      <c r="D49" s="2317" t="s">
        <v>2136</v>
      </c>
      <c r="E49" s="1161" t="e">
        <f>R49</f>
        <v>#DIV/0!</v>
      </c>
      <c r="F49" s="2318"/>
      <c r="G49" s="1160" t="e">
        <f>T49</f>
        <v>#DIV/0!</v>
      </c>
      <c r="H49" s="2318"/>
      <c r="I49" s="1161" t="e">
        <f>V49</f>
        <v>#DIV/0!</v>
      </c>
      <c r="J49" s="2318"/>
      <c r="K49" s="2320">
        <f>F49+H49+J49</f>
        <v>0</v>
      </c>
      <c r="L49" s="2720"/>
      <c r="M49" s="2712"/>
      <c r="N49" s="2712"/>
      <c r="O49" s="2712"/>
      <c r="P49" s="3702"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受贵公司委托，我公司对北京市朝阳区日坛北路17号院1号楼13层1301、1302号房地产市场价值进行了预评估。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估价对象为北京市朝阳区日坛北路17号院1号楼13层1301、1302号房地产，为所有。根据《国有土地使用证》[]，估价对象（分摊）出让国有建设用地使用权面积为0平方米，建筑面积为259.41平方米。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日坛北路17号院1号楼13层1301、1302号房地产,属开发建设的，该项目尚在开发建设中。根据《国有土地使用证》[]，估价对象（分摊）出让国有建设用地使用权面积为0平方米，规划建筑面积为259.41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为估价委托人在向中国银行丰台支行办理贷款手续过程中，确定房地产抵押贷款额度提供参考依据而评估房地产抵押价值。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259.41000000000003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913"/>
      <c r="M4" s="914"/>
      <c r="N4" s="914"/>
      <c r="O4" s="914"/>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913"/>
      <c r="M5" s="914"/>
      <c r="N5" s="914"/>
      <c r="O5" s="914"/>
      <c r="P5" s="3712"/>
      <c r="Q5" s="3713"/>
      <c r="R5" s="3718"/>
      <c r="S5" s="3719"/>
      <c r="T5" s="3718"/>
      <c r="U5" s="3719"/>
      <c r="V5" s="3722"/>
      <c r="W5" s="3722"/>
      <c r="X5" s="1355"/>
      <c r="Y5" s="3718"/>
      <c r="Z5" s="3719"/>
      <c r="AA5" s="3704"/>
      <c r="AB5" s="3704"/>
      <c r="AC5" s="3704"/>
    </row>
    <row r="6" spans="1:29" ht="15.75" thickBot="1">
      <c r="A6" s="360"/>
      <c r="B6" s="361"/>
      <c r="C6" s="3723" t="s">
        <v>1677</v>
      </c>
      <c r="D6" s="3724"/>
      <c r="E6" s="3730" t="s">
        <v>1677</v>
      </c>
      <c r="F6" s="3731"/>
      <c r="G6" s="3723" t="s">
        <v>1677</v>
      </c>
      <c r="H6" s="3724"/>
      <c r="I6" s="3723" t="s">
        <v>1677</v>
      </c>
      <c r="J6" s="3724"/>
      <c r="K6" s="559" t="s">
        <v>1678</v>
      </c>
      <c r="L6" s="913"/>
      <c r="M6" s="914"/>
      <c r="N6" s="914"/>
      <c r="O6" s="914"/>
      <c r="P6" s="3714"/>
      <c r="Q6" s="3715"/>
      <c r="R6" s="3718"/>
      <c r="S6" s="3719"/>
      <c r="T6" s="3720"/>
      <c r="U6" s="3721"/>
      <c r="V6" s="3722"/>
      <c r="W6" s="3722"/>
      <c r="X6" s="1355"/>
      <c r="Y6" s="3720"/>
      <c r="Z6" s="3721"/>
      <c r="AA6" s="3705"/>
      <c r="AB6" s="3705"/>
      <c r="AC6" s="3705"/>
    </row>
    <row r="7" spans="1:29" s="108" customFormat="1" ht="15.75" thickBot="1">
      <c r="A7" s="362" t="s">
        <v>1679</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7" t="s">
        <v>1683</v>
      </c>
      <c r="Q8" s="3728"/>
      <c r="R8" s="701" t="s">
        <v>14</v>
      </c>
      <c r="S8" s="702">
        <f t="shared" si="0"/>
        <v>100</v>
      </c>
      <c r="T8" s="701" t="s">
        <v>14</v>
      </c>
      <c r="U8" s="702">
        <f t="shared" si="1"/>
        <v>100</v>
      </c>
      <c r="V8" s="701" t="s">
        <v>14</v>
      </c>
      <c r="W8" s="702">
        <f t="shared" si="2"/>
        <v>100</v>
      </c>
      <c r="X8" s="703"/>
      <c r="Y8" s="3727" t="s">
        <v>1683</v>
      </c>
      <c r="Z8" s="372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1"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1"/>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1"/>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1"/>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1"/>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1"/>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3" t="s">
        <v>1691</v>
      </c>
      <c r="Q15" s="1352" t="str">
        <f t="shared" si="6"/>
        <v>产业集聚程度</v>
      </c>
      <c r="R15" s="705" t="s">
        <v>14</v>
      </c>
      <c r="S15" s="706">
        <f t="shared" si="0"/>
        <v>100</v>
      </c>
      <c r="T15" s="705" t="s">
        <v>14</v>
      </c>
      <c r="U15" s="706">
        <f t="shared" si="1"/>
        <v>100</v>
      </c>
      <c r="V15" s="705" t="s">
        <v>14</v>
      </c>
      <c r="W15" s="706">
        <f t="shared" si="2"/>
        <v>100</v>
      </c>
      <c r="X15" s="1355"/>
      <c r="Y15" s="369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4"/>
      <c r="Q16" s="1352"/>
      <c r="R16" s="705"/>
      <c r="S16" s="706"/>
      <c r="T16" s="705"/>
      <c r="U16" s="706"/>
      <c r="V16" s="705"/>
      <c r="W16" s="706"/>
      <c r="X16" s="1355"/>
      <c r="Y16" s="369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4"/>
      <c r="Q18" s="1352"/>
      <c r="R18" s="705"/>
      <c r="S18" s="706"/>
      <c r="T18" s="705"/>
      <c r="U18" s="706"/>
      <c r="V18" s="705"/>
      <c r="W18" s="706"/>
      <c r="X18" s="1355"/>
      <c r="Y18" s="369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4"/>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4"/>
      <c r="Q20" s="1352"/>
      <c r="R20" s="705"/>
      <c r="S20" s="706"/>
      <c r="T20" s="705"/>
      <c r="U20" s="706"/>
      <c r="V20" s="705"/>
      <c r="W20" s="706"/>
      <c r="X20" s="1355"/>
      <c r="Y20" s="369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4"/>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4"/>
      <c r="Q22" s="1352"/>
      <c r="R22" s="705"/>
      <c r="S22" s="706"/>
      <c r="T22" s="705"/>
      <c r="U22" s="706"/>
      <c r="V22" s="705"/>
      <c r="W22" s="706"/>
      <c r="X22" s="1355"/>
      <c r="Y22" s="369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4"/>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4"/>
      <c r="Q24" s="1352"/>
      <c r="R24" s="705"/>
      <c r="S24" s="706"/>
      <c r="T24" s="705"/>
      <c r="U24" s="706"/>
      <c r="V24" s="705"/>
      <c r="W24" s="706"/>
      <c r="X24" s="1355"/>
      <c r="Y24" s="369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4"/>
      <c r="Q25" s="1352">
        <f>B25</f>
        <v>111</v>
      </c>
      <c r="R25" s="705" t="s">
        <v>14</v>
      </c>
      <c r="S25" s="706">
        <f>F25</f>
        <v>100</v>
      </c>
      <c r="T25" s="705" t="s">
        <v>14</v>
      </c>
      <c r="U25" s="706">
        <f>H25</f>
        <v>100</v>
      </c>
      <c r="V25" s="705" t="s">
        <v>14</v>
      </c>
      <c r="W25" s="706">
        <f>J25</f>
        <v>100</v>
      </c>
      <c r="X25" s="1355"/>
      <c r="Y25" s="369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4"/>
      <c r="Q26" s="1352">
        <f t="shared" ref="Q26:Q40" si="11">B26</f>
        <v>111</v>
      </c>
      <c r="R26" s="705" t="s">
        <v>14</v>
      </c>
      <c r="S26" s="706">
        <f>F26</f>
        <v>100</v>
      </c>
      <c r="T26" s="705" t="s">
        <v>14</v>
      </c>
      <c r="U26" s="706">
        <f>H26</f>
        <v>100</v>
      </c>
      <c r="V26" s="705" t="s">
        <v>14</v>
      </c>
      <c r="W26" s="706">
        <f>J26</f>
        <v>100</v>
      </c>
      <c r="X26" s="1355"/>
      <c r="Y26" s="369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4"/>
      <c r="Q27" s="1343">
        <f t="shared" si="11"/>
        <v>111</v>
      </c>
      <c r="R27" s="701" t="s">
        <v>14</v>
      </c>
      <c r="S27" s="702">
        <f>F27</f>
        <v>100</v>
      </c>
      <c r="T27" s="701" t="s">
        <v>14</v>
      </c>
      <c r="U27" s="702">
        <f>H27</f>
        <v>100</v>
      </c>
      <c r="V27" s="701" t="s">
        <v>14</v>
      </c>
      <c r="W27" s="702">
        <f>J27</f>
        <v>100</v>
      </c>
      <c r="X27" s="703"/>
      <c r="Y27" s="369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4"/>
      <c r="Q28" s="1352">
        <f t="shared" si="11"/>
        <v>111</v>
      </c>
      <c r="R28" s="705" t="s">
        <v>14</v>
      </c>
      <c r="S28" s="706">
        <f t="shared" ref="S28:S40" si="12">F28</f>
        <v>100</v>
      </c>
      <c r="T28" s="705" t="s">
        <v>14</v>
      </c>
      <c r="U28" s="706">
        <f t="shared" ref="U28:U40" si="13">H28</f>
        <v>100</v>
      </c>
      <c r="V28" s="705" t="s">
        <v>14</v>
      </c>
      <c r="W28" s="706">
        <f t="shared" ref="W28:W40" si="14">J28</f>
        <v>100</v>
      </c>
      <c r="X28" s="1355"/>
      <c r="Y28" s="369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9" t="s">
        <v>1696</v>
      </c>
      <c r="Q29" s="1352" t="str">
        <f t="shared" si="11"/>
        <v>建筑类型</v>
      </c>
      <c r="R29" s="705" t="s">
        <v>14</v>
      </c>
      <c r="S29" s="706">
        <f t="shared" si="12"/>
        <v>100</v>
      </c>
      <c r="T29" s="705" t="s">
        <v>14</v>
      </c>
      <c r="U29" s="706">
        <f t="shared" si="13"/>
        <v>100</v>
      </c>
      <c r="V29" s="705" t="s">
        <v>14</v>
      </c>
      <c r="W29" s="706">
        <f t="shared" si="14"/>
        <v>100</v>
      </c>
      <c r="X29" s="1355"/>
      <c r="Y29" s="369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8"/>
      <c r="Q30" s="707" t="str">
        <f t="shared" si="11"/>
        <v>项目建筑规模</v>
      </c>
      <c r="R30" s="708" t="s">
        <v>14</v>
      </c>
      <c r="S30" s="709" t="e">
        <f t="shared" si="12"/>
        <v>#N/A</v>
      </c>
      <c r="T30" s="708" t="s">
        <v>14</v>
      </c>
      <c r="U30" s="709" t="e">
        <f t="shared" si="13"/>
        <v>#N/A</v>
      </c>
      <c r="V30" s="708" t="s">
        <v>14</v>
      </c>
      <c r="W30" s="709" t="e">
        <f t="shared" si="14"/>
        <v>#N/A</v>
      </c>
      <c r="X30" s="710"/>
      <c r="Y30" s="369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8"/>
      <c r="Q31" s="1352" t="str">
        <f t="shared" si="11"/>
        <v>建筑结构</v>
      </c>
      <c r="R31" s="705" t="s">
        <v>14</v>
      </c>
      <c r="S31" s="706">
        <f t="shared" si="12"/>
        <v>100</v>
      </c>
      <c r="T31" s="705" t="s">
        <v>14</v>
      </c>
      <c r="U31" s="706">
        <f t="shared" si="13"/>
        <v>100</v>
      </c>
      <c r="V31" s="705" t="s">
        <v>14</v>
      </c>
      <c r="W31" s="706">
        <f t="shared" si="14"/>
        <v>100</v>
      </c>
      <c r="X31" s="1355"/>
      <c r="Y31" s="369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8"/>
      <c r="Q32" s="1352" t="str">
        <f t="shared" si="11"/>
        <v>公共部分装修</v>
      </c>
      <c r="R32" s="705" t="s">
        <v>14</v>
      </c>
      <c r="S32" s="706">
        <f t="shared" si="12"/>
        <v>100</v>
      </c>
      <c r="T32" s="705" t="s">
        <v>14</v>
      </c>
      <c r="U32" s="706">
        <f t="shared" si="13"/>
        <v>100</v>
      </c>
      <c r="V32" s="705" t="s">
        <v>14</v>
      </c>
      <c r="W32" s="706">
        <f t="shared" si="14"/>
        <v>100</v>
      </c>
      <c r="X32" s="1355"/>
      <c r="Y32" s="369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8"/>
      <c r="Q33" s="1352" t="str">
        <f t="shared" si="11"/>
        <v>成新度</v>
      </c>
      <c r="R33" s="705" t="s">
        <v>14</v>
      </c>
      <c r="S33" s="706" t="e">
        <f t="shared" si="12"/>
        <v>#N/A</v>
      </c>
      <c r="T33" s="705" t="s">
        <v>14</v>
      </c>
      <c r="U33" s="706" t="e">
        <f t="shared" si="13"/>
        <v>#N/A</v>
      </c>
      <c r="V33" s="705" t="s">
        <v>14</v>
      </c>
      <c r="W33" s="706" t="e">
        <f t="shared" si="14"/>
        <v>#N/A</v>
      </c>
      <c r="X33" s="1355"/>
      <c r="Y33" s="369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8"/>
      <c r="Q34" s="1343" t="str">
        <f t="shared" si="11"/>
        <v>物业管理</v>
      </c>
      <c r="R34" s="701" t="s">
        <v>14</v>
      </c>
      <c r="S34" s="702">
        <f t="shared" si="12"/>
        <v>100</v>
      </c>
      <c r="T34" s="701" t="s">
        <v>14</v>
      </c>
      <c r="U34" s="702">
        <f t="shared" si="13"/>
        <v>100</v>
      </c>
      <c r="V34" s="701" t="s">
        <v>14</v>
      </c>
      <c r="W34" s="702">
        <f t="shared" si="14"/>
        <v>100</v>
      </c>
      <c r="X34" s="703"/>
      <c r="Y34" s="369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8" t="s">
        <v>1696</v>
      </c>
      <c r="Q35" s="1352" t="str">
        <f t="shared" si="11"/>
        <v>市政基础设施</v>
      </c>
      <c r="R35" s="705" t="s">
        <v>14</v>
      </c>
      <c r="S35" s="706">
        <f t="shared" si="12"/>
        <v>100</v>
      </c>
      <c r="T35" s="705" t="s">
        <v>14</v>
      </c>
      <c r="U35" s="706">
        <f t="shared" si="13"/>
        <v>100</v>
      </c>
      <c r="V35" s="705" t="s">
        <v>14</v>
      </c>
      <c r="W35" s="706">
        <f t="shared" si="14"/>
        <v>100</v>
      </c>
      <c r="X35" s="1355"/>
      <c r="Y35" s="369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8"/>
      <c r="Q36" s="1352" t="str">
        <f t="shared" si="11"/>
        <v>内部装修</v>
      </c>
      <c r="R36" s="705" t="s">
        <v>14</v>
      </c>
      <c r="S36" s="706">
        <f t="shared" si="12"/>
        <v>100</v>
      </c>
      <c r="T36" s="705" t="s">
        <v>14</v>
      </c>
      <c r="U36" s="706">
        <f t="shared" si="13"/>
        <v>100</v>
      </c>
      <c r="V36" s="705" t="s">
        <v>14</v>
      </c>
      <c r="W36" s="706">
        <f t="shared" si="14"/>
        <v>100</v>
      </c>
      <c r="X36" s="1355"/>
      <c r="Y36" s="369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8"/>
      <c r="Q37" s="1352" t="str">
        <f t="shared" si="11"/>
        <v>内部装修状况</v>
      </c>
      <c r="R37" s="705" t="s">
        <v>14</v>
      </c>
      <c r="S37" s="706">
        <f t="shared" si="12"/>
        <v>100</v>
      </c>
      <c r="T37" s="705" t="s">
        <v>14</v>
      </c>
      <c r="U37" s="706">
        <f t="shared" si="13"/>
        <v>100</v>
      </c>
      <c r="V37" s="705" t="s">
        <v>14</v>
      </c>
      <c r="W37" s="706">
        <f t="shared" si="14"/>
        <v>100</v>
      </c>
      <c r="X37" s="1355"/>
      <c r="Y37" s="369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8"/>
      <c r="Q38" s="707">
        <f t="shared" si="11"/>
        <v>111</v>
      </c>
      <c r="R38" s="708" t="s">
        <v>14</v>
      </c>
      <c r="S38" s="709">
        <f t="shared" si="12"/>
        <v>100</v>
      </c>
      <c r="T38" s="708" t="s">
        <v>14</v>
      </c>
      <c r="U38" s="709">
        <f t="shared" si="13"/>
        <v>100</v>
      </c>
      <c r="V38" s="708" t="s">
        <v>14</v>
      </c>
      <c r="W38" s="709">
        <f t="shared" si="14"/>
        <v>100</v>
      </c>
      <c r="X38" s="710"/>
      <c r="Y38" s="369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8"/>
      <c r="Q39" s="1352">
        <f t="shared" si="11"/>
        <v>111</v>
      </c>
      <c r="R39" s="705" t="s">
        <v>14</v>
      </c>
      <c r="S39" s="706">
        <f t="shared" si="12"/>
        <v>100</v>
      </c>
      <c r="T39" s="705" t="s">
        <v>14</v>
      </c>
      <c r="U39" s="706">
        <f t="shared" si="13"/>
        <v>100</v>
      </c>
      <c r="V39" s="705" t="s">
        <v>14</v>
      </c>
      <c r="W39" s="706">
        <f t="shared" si="14"/>
        <v>100</v>
      </c>
      <c r="X39" s="1355"/>
      <c r="Y39" s="369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9"/>
      <c r="Q40" s="1352">
        <f t="shared" si="11"/>
        <v>111</v>
      </c>
      <c r="R40" s="705" t="s">
        <v>14</v>
      </c>
      <c r="S40" s="706">
        <f t="shared" si="12"/>
        <v>100</v>
      </c>
      <c r="T40" s="705" t="s">
        <v>14</v>
      </c>
      <c r="U40" s="706">
        <f t="shared" si="13"/>
        <v>100</v>
      </c>
      <c r="V40" s="705" t="s">
        <v>14</v>
      </c>
      <c r="W40" s="706">
        <f t="shared" si="14"/>
        <v>100</v>
      </c>
      <c r="X40" s="1355"/>
      <c r="Y40" s="369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1" t="str">
        <f>A41</f>
        <v>成交单价（元/平方米）</v>
      </c>
      <c r="Q41" s="3691"/>
      <c r="R41" s="3692">
        <f>E41</f>
        <v>0</v>
      </c>
      <c r="S41" s="3692"/>
      <c r="T41" s="3692">
        <f>G41</f>
        <v>0</v>
      </c>
      <c r="U41" s="3692"/>
      <c r="V41" s="3692">
        <f>I41</f>
        <v>0</v>
      </c>
      <c r="W41" s="3692"/>
      <c r="X41" s="690"/>
      <c r="Y41" s="712"/>
      <c r="Z41" s="690"/>
      <c r="AA41" s="690"/>
      <c r="AB41" s="690"/>
      <c r="AC41" s="690"/>
    </row>
    <row r="42" spans="1:29" ht="15.75" thickBot="1">
      <c r="A42" s="437" t="s">
        <v>1793</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1"/>
      <c r="M4" s="2712"/>
      <c r="N4" s="2712"/>
      <c r="O4" s="2712"/>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2711"/>
      <c r="M5" s="2712"/>
      <c r="N5" s="2712"/>
      <c r="O5" s="2712"/>
      <c r="P5" s="3712"/>
      <c r="Q5" s="3713"/>
      <c r="R5" s="3718"/>
      <c r="S5" s="3719"/>
      <c r="T5" s="3718"/>
      <c r="U5" s="3719"/>
      <c r="V5" s="3722"/>
      <c r="W5" s="3722"/>
      <c r="X5" s="1355"/>
      <c r="Y5" s="3718"/>
      <c r="Z5" s="3719"/>
      <c r="AA5" s="3704"/>
      <c r="AB5" s="3704"/>
      <c r="AC5" s="3704"/>
    </row>
    <row r="6" spans="1:29" ht="15.75" thickBot="1">
      <c r="A6" s="360"/>
      <c r="B6" s="361"/>
      <c r="C6" s="3723" t="s">
        <v>1677</v>
      </c>
      <c r="D6" s="3724"/>
      <c r="E6" s="3730" t="s">
        <v>1677</v>
      </c>
      <c r="F6" s="3731"/>
      <c r="G6" s="3723" t="s">
        <v>1677</v>
      </c>
      <c r="H6" s="3724"/>
      <c r="I6" s="3723" t="s">
        <v>1677</v>
      </c>
      <c r="J6" s="3724"/>
      <c r="K6" s="559" t="s">
        <v>1678</v>
      </c>
      <c r="L6" s="2711"/>
      <c r="M6" s="2712"/>
      <c r="N6" s="2712"/>
      <c r="O6" s="2712"/>
      <c r="P6" s="3714"/>
      <c r="Q6" s="3715"/>
      <c r="R6" s="3718"/>
      <c r="S6" s="3719"/>
      <c r="T6" s="3720"/>
      <c r="U6" s="3721"/>
      <c r="V6" s="3722"/>
      <c r="W6" s="3722"/>
      <c r="X6" s="1355"/>
      <c r="Y6" s="3720"/>
      <c r="Z6" s="3721"/>
      <c r="AA6" s="3705"/>
      <c r="AB6" s="3705"/>
      <c r="AC6" s="3705"/>
    </row>
    <row r="7" spans="1:29" s="108" customFormat="1" ht="15.75" thickBot="1">
      <c r="A7" s="362" t="s">
        <v>1679</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27" t="s">
        <v>1680</v>
      </c>
      <c r="Q7" s="3729"/>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27" t="s">
        <v>1683</v>
      </c>
      <c r="Q8" s="3728"/>
      <c r="R8" s="701" t="s">
        <v>14</v>
      </c>
      <c r="S8" s="702">
        <f t="shared" si="0"/>
        <v>100</v>
      </c>
      <c r="T8" s="701" t="s">
        <v>14</v>
      </c>
      <c r="U8" s="702">
        <f t="shared" si="1"/>
        <v>100</v>
      </c>
      <c r="V8" s="701" t="s">
        <v>14</v>
      </c>
      <c r="W8" s="702">
        <f t="shared" si="2"/>
        <v>100</v>
      </c>
      <c r="X8" s="703"/>
      <c r="Y8" s="3727" t="s">
        <v>1683</v>
      </c>
      <c r="Z8" s="372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91"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5"/>
      <c r="M10" s="2716"/>
      <c r="N10" s="2716"/>
      <c r="O10" s="2716"/>
      <c r="P10" s="3691"/>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91"/>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91"/>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91"/>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93" t="s">
        <v>1691</v>
      </c>
      <c r="Q14" s="1352" t="str">
        <f t="shared" si="6"/>
        <v>交通便捷度</v>
      </c>
      <c r="R14" s="705" t="s">
        <v>14</v>
      </c>
      <c r="S14" s="706">
        <f t="shared" si="0"/>
        <v>100</v>
      </c>
      <c r="T14" s="705" t="s">
        <v>14</v>
      </c>
      <c r="U14" s="706">
        <f t="shared" si="1"/>
        <v>100</v>
      </c>
      <c r="V14" s="705" t="s">
        <v>14</v>
      </c>
      <c r="W14" s="706">
        <f t="shared" si="2"/>
        <v>100</v>
      </c>
      <c r="X14" s="1355"/>
      <c r="Y14" s="369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694"/>
      <c r="Q15" s="1352"/>
      <c r="R15" s="705"/>
      <c r="S15" s="706"/>
      <c r="T15" s="705"/>
      <c r="U15" s="706"/>
      <c r="V15" s="705"/>
      <c r="W15" s="706"/>
      <c r="X15" s="1355"/>
      <c r="Y15" s="3694"/>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694"/>
      <c r="Q17" s="1352"/>
      <c r="R17" s="705"/>
      <c r="S17" s="706"/>
      <c r="T17" s="705"/>
      <c r="U17" s="706"/>
      <c r="V17" s="705"/>
      <c r="W17" s="706"/>
      <c r="X17" s="1355"/>
      <c r="Y17" s="3694"/>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694"/>
      <c r="Q19" s="1352"/>
      <c r="R19" s="705"/>
      <c r="S19" s="706"/>
      <c r="T19" s="705"/>
      <c r="U19" s="706"/>
      <c r="V19" s="705"/>
      <c r="W19" s="706"/>
      <c r="X19" s="1355"/>
      <c r="Y19" s="3694"/>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694"/>
      <c r="Q21" s="1352"/>
      <c r="R21" s="705"/>
      <c r="S21" s="706"/>
      <c r="T21" s="705"/>
      <c r="U21" s="706"/>
      <c r="V21" s="705"/>
      <c r="W21" s="706"/>
      <c r="X21" s="1355"/>
      <c r="Y21" s="369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94"/>
      <c r="Q24" s="1352">
        <f t="shared" ref="Q24:Q36"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4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98"/>
      <c r="Q27" s="707" t="str">
        <f t="shared" si="11"/>
        <v>项目停车位配比</v>
      </c>
      <c r="R27" s="708" t="s">
        <v>14</v>
      </c>
      <c r="S27" s="709">
        <f t="shared" si="12"/>
        <v>100</v>
      </c>
      <c r="T27" s="708" t="s">
        <v>14</v>
      </c>
      <c r="U27" s="709">
        <f t="shared" si="13"/>
        <v>100</v>
      </c>
      <c r="V27" s="708" t="s">
        <v>14</v>
      </c>
      <c r="W27" s="709">
        <f t="shared" si="14"/>
        <v>100</v>
      </c>
      <c r="X27" s="710"/>
      <c r="Y27" s="369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98"/>
      <c r="Q28" s="1352" t="str">
        <f t="shared" si="11"/>
        <v>公共部分装修</v>
      </c>
      <c r="R28" s="705" t="s">
        <v>14</v>
      </c>
      <c r="S28" s="706">
        <f t="shared" si="12"/>
        <v>100</v>
      </c>
      <c r="T28" s="705" t="s">
        <v>14</v>
      </c>
      <c r="U28" s="706">
        <f t="shared" si="13"/>
        <v>100</v>
      </c>
      <c r="V28" s="705" t="s">
        <v>14</v>
      </c>
      <c r="W28" s="706">
        <f t="shared" si="14"/>
        <v>100</v>
      </c>
      <c r="X28" s="1355"/>
      <c r="Y28" s="369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98"/>
      <c r="Q29" s="1352" t="str">
        <f t="shared" si="11"/>
        <v>成新率</v>
      </c>
      <c r="R29" s="705" t="s">
        <v>14</v>
      </c>
      <c r="S29" s="706" t="e">
        <f t="shared" si="12"/>
        <v>#N/A</v>
      </c>
      <c r="T29" s="705" t="s">
        <v>14</v>
      </c>
      <c r="U29" s="706" t="e">
        <f t="shared" si="13"/>
        <v>#N/A</v>
      </c>
      <c r="V29" s="705" t="s">
        <v>14</v>
      </c>
      <c r="W29" s="706" t="e">
        <f t="shared" si="14"/>
        <v>#N/A</v>
      </c>
      <c r="X29" s="1355"/>
      <c r="Y29" s="369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98"/>
      <c r="Q30" s="1352" t="str">
        <f t="shared" si="11"/>
        <v>物业等级</v>
      </c>
      <c r="R30" s="705" t="s">
        <v>14</v>
      </c>
      <c r="S30" s="706">
        <f t="shared" si="12"/>
        <v>100</v>
      </c>
      <c r="T30" s="705" t="s">
        <v>14</v>
      </c>
      <c r="U30" s="706">
        <f t="shared" si="13"/>
        <v>100</v>
      </c>
      <c r="V30" s="705" t="s">
        <v>14</v>
      </c>
      <c r="W30" s="706">
        <f t="shared" si="14"/>
        <v>100</v>
      </c>
      <c r="X30" s="1355"/>
      <c r="Y30" s="369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98"/>
      <c r="Q31" s="1343" t="str">
        <f t="shared" si="11"/>
        <v>停车位面积</v>
      </c>
      <c r="R31" s="701" t="s">
        <v>14</v>
      </c>
      <c r="S31" s="702" t="e">
        <f t="shared" si="12"/>
        <v>#N/A</v>
      </c>
      <c r="T31" s="701" t="s">
        <v>14</v>
      </c>
      <c r="U31" s="702" t="e">
        <f t="shared" si="13"/>
        <v>#N/A</v>
      </c>
      <c r="V31" s="701" t="s">
        <v>14</v>
      </c>
      <c r="W31" s="702" t="e">
        <f t="shared" si="14"/>
        <v>#N/A</v>
      </c>
      <c r="X31" s="703"/>
      <c r="Y31" s="369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98" t="s">
        <v>1696</v>
      </c>
      <c r="Q32" s="1352" t="str">
        <f t="shared" si="11"/>
        <v>车位类型</v>
      </c>
      <c r="R32" s="705" t="s">
        <v>14</v>
      </c>
      <c r="S32" s="706">
        <f t="shared" si="12"/>
        <v>100</v>
      </c>
      <c r="T32" s="705" t="s">
        <v>14</v>
      </c>
      <c r="U32" s="706">
        <f t="shared" si="13"/>
        <v>100</v>
      </c>
      <c r="V32" s="705" t="s">
        <v>14</v>
      </c>
      <c r="W32" s="706">
        <f t="shared" si="14"/>
        <v>100</v>
      </c>
      <c r="X32" s="1355"/>
      <c r="Y32" s="369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98"/>
      <c r="Q33" s="1352" t="str">
        <f t="shared" si="11"/>
        <v>是否直接入户</v>
      </c>
      <c r="R33" s="705" t="s">
        <v>14</v>
      </c>
      <c r="S33" s="706">
        <f t="shared" si="12"/>
        <v>100</v>
      </c>
      <c r="T33" s="705" t="s">
        <v>14</v>
      </c>
      <c r="U33" s="706">
        <f t="shared" si="13"/>
        <v>100</v>
      </c>
      <c r="V33" s="705" t="s">
        <v>14</v>
      </c>
      <c r="W33" s="706">
        <f t="shared" si="14"/>
        <v>100</v>
      </c>
      <c r="X33" s="1355"/>
      <c r="Y33" s="369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98"/>
      <c r="Q35" s="707">
        <f t="shared" si="11"/>
        <v>111</v>
      </c>
      <c r="R35" s="708" t="s">
        <v>14</v>
      </c>
      <c r="S35" s="709">
        <f t="shared" si="12"/>
        <v>100</v>
      </c>
      <c r="T35" s="708" t="s">
        <v>14</v>
      </c>
      <c r="U35" s="709">
        <f t="shared" si="13"/>
        <v>100</v>
      </c>
      <c r="V35" s="708" t="s">
        <v>14</v>
      </c>
      <c r="W35" s="709">
        <f t="shared" si="14"/>
        <v>100</v>
      </c>
      <c r="X35" s="710"/>
      <c r="Y35" s="369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98"/>
      <c r="Q36" s="1352">
        <f t="shared" si="11"/>
        <v>111</v>
      </c>
      <c r="R36" s="705" t="s">
        <v>14</v>
      </c>
      <c r="S36" s="706">
        <f t="shared" si="12"/>
        <v>100</v>
      </c>
      <c r="T36" s="705" t="s">
        <v>14</v>
      </c>
      <c r="U36" s="706">
        <f t="shared" si="13"/>
        <v>100</v>
      </c>
      <c r="V36" s="705" t="s">
        <v>14</v>
      </c>
      <c r="W36" s="706">
        <f t="shared" si="14"/>
        <v>100</v>
      </c>
      <c r="X36" s="1355"/>
      <c r="Y36" s="3698"/>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0"/>
      <c r="M37" s="2721"/>
      <c r="N37" s="2712"/>
      <c r="O37" s="2721"/>
      <c r="P37" s="3691" t="str">
        <f>A37</f>
        <v>成交单价</v>
      </c>
      <c r="Q37" s="3691"/>
      <c r="R37" s="3692">
        <f>E37</f>
        <v>0</v>
      </c>
      <c r="S37" s="3692"/>
      <c r="T37" s="3692">
        <f>G37</f>
        <v>0</v>
      </c>
      <c r="U37" s="3692"/>
      <c r="V37" s="3692">
        <f>I37</f>
        <v>0</v>
      </c>
      <c r="W37" s="3692"/>
      <c r="X37" s="690"/>
      <c r="Y37" s="712"/>
      <c r="Z37" s="690"/>
      <c r="AA37" s="690"/>
      <c r="AB37" s="690"/>
      <c r="AC37" s="690"/>
    </row>
    <row r="38" spans="1:29" ht="15.75" thickBot="1">
      <c r="A38" s="437" t="s">
        <v>1845</v>
      </c>
      <c r="B38" s="438" t="str">
        <f>B37</f>
        <v>元/平方米</v>
      </c>
      <c r="C38" s="1160" t="e">
        <f>R39</f>
        <v>#DIV/0!</v>
      </c>
      <c r="D38" s="2317" t="s">
        <v>2136</v>
      </c>
      <c r="E38" s="1161" t="e">
        <f>R38</f>
        <v>#DIV/0!</v>
      </c>
      <c r="F38" s="2318"/>
      <c r="G38" s="1160" t="e">
        <f>T38</f>
        <v>#DIV/0!</v>
      </c>
      <c r="H38" s="2318"/>
      <c r="I38" s="1161" t="e">
        <f>V38</f>
        <v>#DIV/0!</v>
      </c>
      <c r="J38" s="2318"/>
      <c r="K38" s="2320">
        <f>F38+H38+J38</f>
        <v>0</v>
      </c>
      <c r="L38" s="2720"/>
      <c r="M38" s="2721"/>
      <c r="N38" s="2721"/>
      <c r="O38" s="2721"/>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688" t="str">
        <f>A39</f>
        <v>估价对象XX用房的比较价值（楼面单价，元/平方米）</v>
      </c>
      <c r="Q39" s="3689"/>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1"/>
      <c r="M4" s="2712"/>
      <c r="N4" s="2712"/>
      <c r="O4" s="2712"/>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2711"/>
      <c r="M5" s="2712"/>
      <c r="N5" s="2712"/>
      <c r="O5" s="2712"/>
      <c r="P5" s="3712"/>
      <c r="Q5" s="3713"/>
      <c r="R5" s="3718"/>
      <c r="S5" s="3719"/>
      <c r="T5" s="3718"/>
      <c r="U5" s="3719"/>
      <c r="V5" s="3722"/>
      <c r="W5" s="3722"/>
      <c r="X5" s="1355"/>
      <c r="Y5" s="3718"/>
      <c r="Z5" s="3719"/>
      <c r="AA5" s="3704"/>
      <c r="AB5" s="3704"/>
      <c r="AC5" s="3704"/>
    </row>
    <row r="6" spans="1:29" ht="15.75" thickBot="1">
      <c r="A6" s="360"/>
      <c r="B6" s="361"/>
      <c r="C6" s="3723" t="s">
        <v>1677</v>
      </c>
      <c r="D6" s="3724"/>
      <c r="E6" s="3730" t="s">
        <v>1677</v>
      </c>
      <c r="F6" s="3731"/>
      <c r="G6" s="3723" t="s">
        <v>1677</v>
      </c>
      <c r="H6" s="3724"/>
      <c r="I6" s="3723" t="s">
        <v>1677</v>
      </c>
      <c r="J6" s="3724"/>
      <c r="K6" s="559" t="s">
        <v>1678</v>
      </c>
      <c r="L6" s="2711"/>
      <c r="M6" s="2712"/>
      <c r="N6" s="2712"/>
      <c r="O6" s="2712"/>
      <c r="P6" s="3714"/>
      <c r="Q6" s="3715"/>
      <c r="R6" s="3718"/>
      <c r="S6" s="3719"/>
      <c r="T6" s="3720"/>
      <c r="U6" s="3721"/>
      <c r="V6" s="3722"/>
      <c r="W6" s="3722"/>
      <c r="X6" s="1355"/>
      <c r="Y6" s="3720"/>
      <c r="Z6" s="3721"/>
      <c r="AA6" s="3705"/>
      <c r="AB6" s="3705"/>
      <c r="AC6" s="3705"/>
    </row>
    <row r="7" spans="1:29" s="108" customFormat="1" ht="15.75" thickBot="1">
      <c r="A7" s="362" t="s">
        <v>1679</v>
      </c>
      <c r="B7" s="363"/>
      <c r="C7" s="364">
        <f>'数据-取费表'!B2</f>
        <v>44931</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727" t="s">
        <v>1680</v>
      </c>
      <c r="Q7" s="3729"/>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27" t="s">
        <v>1683</v>
      </c>
      <c r="Q8" s="3728"/>
      <c r="R8" s="701" t="s">
        <v>14</v>
      </c>
      <c r="S8" s="702">
        <f t="shared" si="0"/>
        <v>100</v>
      </c>
      <c r="T8" s="701" t="s">
        <v>14</v>
      </c>
      <c r="U8" s="702">
        <f t="shared" si="1"/>
        <v>100</v>
      </c>
      <c r="V8" s="701" t="s">
        <v>14</v>
      </c>
      <c r="W8" s="702">
        <f t="shared" si="2"/>
        <v>100</v>
      </c>
      <c r="X8" s="703"/>
      <c r="Y8" s="3727" t="s">
        <v>1683</v>
      </c>
      <c r="Z8" s="372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91"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5"/>
      <c r="M10" s="2716"/>
      <c r="N10" s="2716"/>
      <c r="O10" s="2769"/>
      <c r="P10" s="3691"/>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91"/>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91"/>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691"/>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93" t="s">
        <v>1691</v>
      </c>
      <c r="Q14" s="1352" t="str">
        <f t="shared" si="6"/>
        <v>交通便捷度</v>
      </c>
      <c r="R14" s="705" t="s">
        <v>14</v>
      </c>
      <c r="S14" s="706">
        <f t="shared" si="0"/>
        <v>100</v>
      </c>
      <c r="T14" s="705" t="s">
        <v>14</v>
      </c>
      <c r="U14" s="706">
        <f t="shared" si="1"/>
        <v>100</v>
      </c>
      <c r="V14" s="705" t="s">
        <v>14</v>
      </c>
      <c r="W14" s="706">
        <f t="shared" si="2"/>
        <v>100</v>
      </c>
      <c r="X14" s="1355"/>
      <c r="Y14" s="369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694"/>
      <c r="Q15" s="1352"/>
      <c r="R15" s="705"/>
      <c r="S15" s="706"/>
      <c r="T15" s="705"/>
      <c r="U15" s="706"/>
      <c r="V15" s="705"/>
      <c r="W15" s="706"/>
      <c r="X15" s="1355"/>
      <c r="Y15" s="3694"/>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694"/>
      <c r="Q17" s="1352"/>
      <c r="R17" s="705"/>
      <c r="S17" s="706"/>
      <c r="T17" s="705"/>
      <c r="U17" s="706"/>
      <c r="V17" s="705"/>
      <c r="W17" s="706"/>
      <c r="X17" s="1355"/>
      <c r="Y17" s="3694"/>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694"/>
      <c r="Q19" s="1352"/>
      <c r="R19" s="705"/>
      <c r="S19" s="706"/>
      <c r="T19" s="705"/>
      <c r="U19" s="706"/>
      <c r="V19" s="705"/>
      <c r="W19" s="706"/>
      <c r="X19" s="1355"/>
      <c r="Y19" s="3694"/>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694"/>
      <c r="Q21" s="1352"/>
      <c r="R21" s="705"/>
      <c r="S21" s="706"/>
      <c r="T21" s="705"/>
      <c r="U21" s="706"/>
      <c r="V21" s="705"/>
      <c r="W21" s="706"/>
      <c r="X21" s="1355"/>
      <c r="Y21" s="369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94"/>
      <c r="Q24" s="1352">
        <f t="shared" ref="Q24:Q34"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4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98"/>
      <c r="Q27" s="707" t="str">
        <f t="shared" si="11"/>
        <v>成新率</v>
      </c>
      <c r="R27" s="708" t="s">
        <v>14</v>
      </c>
      <c r="S27" s="709" t="e">
        <f t="shared" si="12"/>
        <v>#N/A</v>
      </c>
      <c r="T27" s="708" t="s">
        <v>14</v>
      </c>
      <c r="U27" s="709" t="e">
        <f t="shared" si="13"/>
        <v>#N/A</v>
      </c>
      <c r="V27" s="708" t="s">
        <v>14</v>
      </c>
      <c r="W27" s="709" t="e">
        <f t="shared" si="14"/>
        <v>#N/A</v>
      </c>
      <c r="X27" s="710"/>
      <c r="Y27" s="369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98"/>
      <c r="Q28" s="1352" t="str">
        <f t="shared" si="11"/>
        <v>物业等级</v>
      </c>
      <c r="R28" s="705" t="s">
        <v>14</v>
      </c>
      <c r="S28" s="706">
        <f t="shared" si="12"/>
        <v>100</v>
      </c>
      <c r="T28" s="705" t="s">
        <v>14</v>
      </c>
      <c r="U28" s="706">
        <f t="shared" si="13"/>
        <v>100</v>
      </c>
      <c r="V28" s="705" t="s">
        <v>14</v>
      </c>
      <c r="W28" s="706">
        <f t="shared" si="14"/>
        <v>100</v>
      </c>
      <c r="X28" s="1355"/>
      <c r="Y28" s="369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98"/>
      <c r="Q29" s="1352" t="str">
        <f t="shared" si="11"/>
        <v>有无电梯</v>
      </c>
      <c r="R29" s="705" t="s">
        <v>14</v>
      </c>
      <c r="S29" s="706">
        <f t="shared" si="12"/>
        <v>100</v>
      </c>
      <c r="T29" s="705" t="s">
        <v>14</v>
      </c>
      <c r="U29" s="706">
        <f t="shared" si="13"/>
        <v>100</v>
      </c>
      <c r="V29" s="705" t="s">
        <v>14</v>
      </c>
      <c r="W29" s="706">
        <f t="shared" si="14"/>
        <v>100</v>
      </c>
      <c r="X29" s="1355"/>
      <c r="Y29" s="369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98"/>
      <c r="Q30" s="1352" t="str">
        <f t="shared" si="11"/>
        <v>建筑面积</v>
      </c>
      <c r="R30" s="705" t="s">
        <v>14</v>
      </c>
      <c r="S30" s="706" t="e">
        <f t="shared" si="12"/>
        <v>#N/A</v>
      </c>
      <c r="T30" s="705" t="s">
        <v>14</v>
      </c>
      <c r="U30" s="706" t="e">
        <f t="shared" si="13"/>
        <v>#N/A</v>
      </c>
      <c r="V30" s="705" t="s">
        <v>14</v>
      </c>
      <c r="W30" s="706" t="e">
        <f t="shared" si="14"/>
        <v>#N/A</v>
      </c>
      <c r="X30" s="1355"/>
      <c r="Y30" s="369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98"/>
      <c r="Q31" s="1343" t="str">
        <f t="shared" si="11"/>
        <v>是否封闭</v>
      </c>
      <c r="R31" s="701" t="s">
        <v>14</v>
      </c>
      <c r="S31" s="702">
        <f t="shared" si="12"/>
        <v>100</v>
      </c>
      <c r="T31" s="701" t="s">
        <v>14</v>
      </c>
      <c r="U31" s="702">
        <f t="shared" si="13"/>
        <v>100</v>
      </c>
      <c r="V31" s="701" t="s">
        <v>14</v>
      </c>
      <c r="W31" s="702">
        <f t="shared" si="14"/>
        <v>100</v>
      </c>
      <c r="X31" s="703"/>
      <c r="Y31" s="369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98" t="s">
        <v>1696</v>
      </c>
      <c r="Q32" s="1352">
        <f t="shared" si="11"/>
        <v>111</v>
      </c>
      <c r="R32" s="705" t="s">
        <v>14</v>
      </c>
      <c r="S32" s="706">
        <f t="shared" si="12"/>
        <v>100</v>
      </c>
      <c r="T32" s="705" t="s">
        <v>14</v>
      </c>
      <c r="U32" s="706">
        <f t="shared" si="13"/>
        <v>100</v>
      </c>
      <c r="V32" s="705" t="s">
        <v>14</v>
      </c>
      <c r="W32" s="706">
        <f t="shared" si="14"/>
        <v>100</v>
      </c>
      <c r="X32" s="1355"/>
      <c r="Y32" s="369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98"/>
      <c r="Q33" s="1352">
        <f t="shared" si="11"/>
        <v>111</v>
      </c>
      <c r="R33" s="705" t="s">
        <v>14</v>
      </c>
      <c r="S33" s="706">
        <f t="shared" si="12"/>
        <v>100</v>
      </c>
      <c r="T33" s="705" t="s">
        <v>14</v>
      </c>
      <c r="U33" s="706">
        <f t="shared" si="13"/>
        <v>100</v>
      </c>
      <c r="V33" s="705" t="s">
        <v>14</v>
      </c>
      <c r="W33" s="706">
        <f t="shared" si="14"/>
        <v>100</v>
      </c>
      <c r="X33" s="1355"/>
      <c r="Y33" s="369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691" t="str">
        <f>A35</f>
        <v>成交单价（元/平方米）</v>
      </c>
      <c r="Q35" s="3691"/>
      <c r="R35" s="3692">
        <f>E35</f>
        <v>0</v>
      </c>
      <c r="S35" s="3692"/>
      <c r="T35" s="3692">
        <f>G35</f>
        <v>0</v>
      </c>
      <c r="U35" s="3692"/>
      <c r="V35" s="3692">
        <f>I35</f>
        <v>0</v>
      </c>
      <c r="W35" s="3692"/>
      <c r="X35" s="690"/>
      <c r="Y35" s="712"/>
      <c r="Z35" s="690"/>
      <c r="AA35" s="690"/>
      <c r="AB35" s="690"/>
      <c r="AC35" s="690"/>
    </row>
    <row r="36" spans="1:30" ht="15.75" thickBot="1">
      <c r="A36" s="437" t="s">
        <v>1793</v>
      </c>
      <c r="B36" s="438"/>
      <c r="C36" s="1160" t="e">
        <f>R37</f>
        <v>#DIV/0!</v>
      </c>
      <c r="D36" s="2317" t="s">
        <v>2136</v>
      </c>
      <c r="E36" s="1161" t="e">
        <f>R36</f>
        <v>#DIV/0!</v>
      </c>
      <c r="F36" s="2318"/>
      <c r="G36" s="1160" t="e">
        <f>T36</f>
        <v>#DIV/0!</v>
      </c>
      <c r="H36" s="2318"/>
      <c r="I36" s="1161" t="e">
        <f>V36</f>
        <v>#DIV/0!</v>
      </c>
      <c r="J36" s="2318"/>
      <c r="K36" s="2320">
        <f>F36+H36+J36</f>
        <v>0</v>
      </c>
      <c r="L36" s="2720"/>
      <c r="M36" s="2721"/>
      <c r="N36" s="2712"/>
      <c r="O36" s="2721"/>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688" t="str">
        <f>A37</f>
        <v>估价对象XX用房的比较价值（楼面单价，元/平方米）</v>
      </c>
      <c r="Q37" s="3689"/>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T57" sqref="T5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06" t="s">
        <v>1770</v>
      </c>
      <c r="D4" s="3707"/>
      <c r="E4" s="3708" t="s">
        <v>1771</v>
      </c>
      <c r="F4" s="3709"/>
      <c r="G4" s="3706" t="s">
        <v>1772</v>
      </c>
      <c r="H4" s="3707"/>
      <c r="I4" s="3706" t="s">
        <v>1773</v>
      </c>
      <c r="J4" s="3707"/>
      <c r="K4" s="559" t="s">
        <v>1774</v>
      </c>
      <c r="L4" s="2711"/>
      <c r="M4" s="2712"/>
      <c r="N4" s="2712"/>
      <c r="O4" s="2712"/>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30" ht="15">
      <c r="A5" s="358"/>
      <c r="B5" s="359"/>
      <c r="C5" s="3725" t="s">
        <v>1673</v>
      </c>
      <c r="D5" s="3726"/>
      <c r="E5" s="3732" t="s">
        <v>1674</v>
      </c>
      <c r="F5" s="3733"/>
      <c r="G5" s="3725" t="s">
        <v>1675</v>
      </c>
      <c r="H5" s="3726"/>
      <c r="I5" s="3725" t="s">
        <v>1676</v>
      </c>
      <c r="J5" s="3726"/>
      <c r="K5" s="559"/>
      <c r="L5" s="2711"/>
      <c r="M5" s="2712"/>
      <c r="N5" s="2712"/>
      <c r="O5" s="2712"/>
      <c r="P5" s="3712"/>
      <c r="Q5" s="3713"/>
      <c r="R5" s="3718"/>
      <c r="S5" s="3719"/>
      <c r="T5" s="3718"/>
      <c r="U5" s="3719"/>
      <c r="V5" s="3722"/>
      <c r="W5" s="3722"/>
      <c r="X5" s="1355"/>
      <c r="Y5" s="3718"/>
      <c r="Z5" s="3719"/>
      <c r="AA5" s="3704"/>
      <c r="AB5" s="3704"/>
      <c r="AC5" s="3704"/>
    </row>
    <row r="6" spans="1:30" ht="15.75" thickBot="1">
      <c r="A6" s="360"/>
      <c r="B6" s="361"/>
      <c r="C6" s="3723" t="s">
        <v>1677</v>
      </c>
      <c r="D6" s="3724"/>
      <c r="E6" s="3730" t="s">
        <v>1677</v>
      </c>
      <c r="F6" s="3731"/>
      <c r="G6" s="3723" t="s">
        <v>1677</v>
      </c>
      <c r="H6" s="3724"/>
      <c r="I6" s="3723" t="s">
        <v>1677</v>
      </c>
      <c r="J6" s="3724"/>
      <c r="K6" s="559" t="s">
        <v>1678</v>
      </c>
      <c r="L6" s="2711"/>
      <c r="M6" s="2712"/>
      <c r="N6" s="2712"/>
      <c r="O6" s="2712"/>
      <c r="P6" s="3714"/>
      <c r="Q6" s="3715"/>
      <c r="R6" s="3718"/>
      <c r="S6" s="3719"/>
      <c r="T6" s="3720"/>
      <c r="U6" s="3721"/>
      <c r="V6" s="3722"/>
      <c r="W6" s="3722"/>
      <c r="X6" s="1355"/>
      <c r="Y6" s="3720"/>
      <c r="Z6" s="3721"/>
      <c r="AA6" s="3705"/>
      <c r="AB6" s="3705"/>
      <c r="AC6" s="3705"/>
    </row>
    <row r="7" spans="1:30" s="108" customFormat="1" ht="15.75" thickBot="1">
      <c r="A7" s="362" t="s">
        <v>1679</v>
      </c>
      <c r="B7" s="363"/>
      <c r="C7" s="364">
        <f>'数据-取费表'!B2</f>
        <v>44931</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27" t="s">
        <v>1683</v>
      </c>
      <c r="Q8" s="3728"/>
      <c r="R8" s="701" t="s">
        <v>14</v>
      </c>
      <c r="S8" s="702">
        <f t="shared" si="0"/>
        <v>0</v>
      </c>
      <c r="T8" s="701" t="s">
        <v>14</v>
      </c>
      <c r="U8" s="702">
        <f t="shared" si="1"/>
        <v>0</v>
      </c>
      <c r="V8" s="701" t="s">
        <v>14</v>
      </c>
      <c r="W8" s="702">
        <f t="shared" si="2"/>
        <v>0</v>
      </c>
      <c r="X8" s="703"/>
      <c r="Y8" s="3727" t="s">
        <v>1683</v>
      </c>
      <c r="Z8" s="372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691"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5"/>
      <c r="M10" s="2716"/>
      <c r="N10" s="2716"/>
      <c r="O10" s="2769"/>
      <c r="P10" s="3691"/>
      <c r="Q10" s="1343" t="str">
        <f t="shared" si="6"/>
        <v>土地使用年限（年）</v>
      </c>
      <c r="R10" s="701" t="s">
        <v>14</v>
      </c>
      <c r="S10" s="702">
        <f t="shared" si="0"/>
        <v>121</v>
      </c>
      <c r="T10" s="701" t="s">
        <v>14</v>
      </c>
      <c r="U10" s="702">
        <f t="shared" si="1"/>
        <v>121</v>
      </c>
      <c r="V10" s="701" t="s">
        <v>14</v>
      </c>
      <c r="W10" s="702">
        <f t="shared" si="2"/>
        <v>121</v>
      </c>
      <c r="X10" s="703"/>
      <c r="Y10" s="3547"/>
      <c r="Z10" s="52" t="str">
        <f t="shared" si="7"/>
        <v>土地使用年限（年）</v>
      </c>
      <c r="AA10" s="704">
        <f t="shared" si="3"/>
        <v>0.82644628099173556</v>
      </c>
      <c r="AB10" s="704">
        <f t="shared" si="4"/>
        <v>0.82644628099173556</v>
      </c>
      <c r="AC10" s="704">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91"/>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91"/>
      <c r="Q12" s="1343" t="str">
        <f t="shared" si="6"/>
        <v>配建</v>
      </c>
      <c r="R12" s="701" t="s">
        <v>14</v>
      </c>
      <c r="S12" s="702">
        <f t="shared" si="0"/>
        <v>100</v>
      </c>
      <c r="T12" s="701" t="s">
        <v>14</v>
      </c>
      <c r="U12" s="702">
        <f t="shared" si="1"/>
        <v>100</v>
      </c>
      <c r="V12" s="701" t="s">
        <v>14</v>
      </c>
      <c r="W12" s="702">
        <f t="shared" si="2"/>
        <v>100</v>
      </c>
      <c r="X12" s="703"/>
      <c r="Y12" s="35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91"/>
      <c r="Q13" s="1343">
        <f t="shared" si="6"/>
        <v>111</v>
      </c>
      <c r="R13" s="701" t="s">
        <v>14</v>
      </c>
      <c r="S13" s="702">
        <f t="shared" si="0"/>
        <v>100</v>
      </c>
      <c r="T13" s="701" t="s">
        <v>14</v>
      </c>
      <c r="U13" s="702">
        <f t="shared" si="1"/>
        <v>100</v>
      </c>
      <c r="V13" s="701" t="s">
        <v>14</v>
      </c>
      <c r="W13" s="702">
        <f t="shared" si="2"/>
        <v>100</v>
      </c>
      <c r="X13" s="703"/>
      <c r="Y13" s="35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91"/>
      <c r="Q14" s="1343">
        <f t="shared" si="6"/>
        <v>111</v>
      </c>
      <c r="R14" s="701" t="s">
        <v>14</v>
      </c>
      <c r="S14" s="702">
        <f t="shared" si="0"/>
        <v>100</v>
      </c>
      <c r="T14" s="701" t="s">
        <v>14</v>
      </c>
      <c r="U14" s="702">
        <f t="shared" si="1"/>
        <v>100</v>
      </c>
      <c r="V14" s="701" t="s">
        <v>14</v>
      </c>
      <c r="W14" s="702">
        <f t="shared" si="2"/>
        <v>100</v>
      </c>
      <c r="X14" s="703"/>
      <c r="Y14" s="3547"/>
      <c r="Z14" s="52">
        <f t="shared" si="7"/>
        <v>111</v>
      </c>
      <c r="AA14" s="704">
        <f>D14/F14</f>
        <v>1</v>
      </c>
      <c r="AB14" s="704">
        <f>D14/H14</f>
        <v>1</v>
      </c>
      <c r="AC14" s="704">
        <f>D14/J14</f>
        <v>1</v>
      </c>
    </row>
    <row r="15" spans="1:30" ht="15">
      <c r="A15" s="391" t="s">
        <v>1690</v>
      </c>
      <c r="B15" s="61" t="s">
        <v>1257</v>
      </c>
      <c r="C15" s="1896"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93" t="s">
        <v>1691</v>
      </c>
      <c r="Q15" s="1352" t="str">
        <f t="shared" si="6"/>
        <v>居住社区成熟度</v>
      </c>
      <c r="R15" s="705" t="s">
        <v>14</v>
      </c>
      <c r="S15" s="706">
        <f t="shared" si="0"/>
        <v>100</v>
      </c>
      <c r="T15" s="705" t="s">
        <v>14</v>
      </c>
      <c r="U15" s="706">
        <f t="shared" si="1"/>
        <v>100</v>
      </c>
      <c r="V15" s="705" t="s">
        <v>14</v>
      </c>
      <c r="W15" s="706">
        <f t="shared" si="2"/>
        <v>100</v>
      </c>
      <c r="X15" s="1355"/>
      <c r="Y15" s="369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694"/>
      <c r="Q16" s="1352"/>
      <c r="R16" s="705"/>
      <c r="S16" s="706"/>
      <c r="T16" s="705"/>
      <c r="U16" s="706"/>
      <c r="V16" s="705"/>
      <c r="W16" s="706"/>
      <c r="X16" s="1355"/>
      <c r="Y16" s="3694"/>
      <c r="Z16" s="1356"/>
      <c r="AA16" s="1353">
        <v>1</v>
      </c>
      <c r="AB16" s="1353">
        <v>1</v>
      </c>
      <c r="AC16" s="1353">
        <v>1</v>
      </c>
    </row>
    <row r="17" spans="1:29" ht="15">
      <c r="A17" s="379"/>
      <c r="B17" s="402" t="s">
        <v>1777</v>
      </c>
      <c r="C17" s="1955" t="str">
        <f>估价对象房地状况!C16</f>
        <v xml:space="preserve"> </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94"/>
      <c r="Q17" s="1352" t="str">
        <f>B17</f>
        <v>商业繁华度</v>
      </c>
      <c r="R17" s="705" t="s">
        <v>14</v>
      </c>
      <c r="S17" s="706">
        <f>F17</f>
        <v>100</v>
      </c>
      <c r="T17" s="705" t="s">
        <v>14</v>
      </c>
      <c r="U17" s="706">
        <f>H17</f>
        <v>100</v>
      </c>
      <c r="V17" s="705" t="s">
        <v>14</v>
      </c>
      <c r="W17" s="706">
        <f>J17</f>
        <v>100</v>
      </c>
      <c r="X17" s="1355"/>
      <c r="Y17" s="369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694"/>
      <c r="Q18" s="1352"/>
      <c r="R18" s="705"/>
      <c r="S18" s="706"/>
      <c r="T18" s="705"/>
      <c r="U18" s="706"/>
      <c r="V18" s="705"/>
      <c r="W18" s="706"/>
      <c r="X18" s="1355"/>
      <c r="Y18" s="3694"/>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94"/>
      <c r="Q19" s="1352" t="str">
        <f>B19</f>
        <v>办公集聚程度</v>
      </c>
      <c r="R19" s="705" t="s">
        <v>14</v>
      </c>
      <c r="S19" s="706">
        <f>F19</f>
        <v>100</v>
      </c>
      <c r="T19" s="705" t="s">
        <v>14</v>
      </c>
      <c r="U19" s="706">
        <f>H19</f>
        <v>100</v>
      </c>
      <c r="V19" s="705" t="s">
        <v>14</v>
      </c>
      <c r="W19" s="706">
        <f>J19</f>
        <v>100</v>
      </c>
      <c r="X19" s="1355"/>
      <c r="Y19" s="369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694"/>
      <c r="Q20" s="1352"/>
      <c r="R20" s="705"/>
      <c r="S20" s="706"/>
      <c r="T20" s="705"/>
      <c r="U20" s="706"/>
      <c r="V20" s="705"/>
      <c r="W20" s="706"/>
      <c r="X20" s="1355"/>
      <c r="Y20" s="3694"/>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94"/>
      <c r="Q21" s="1352" t="str">
        <f>B21</f>
        <v>交通便捷度</v>
      </c>
      <c r="R21" s="705" t="s">
        <v>14</v>
      </c>
      <c r="S21" s="706">
        <f>F21</f>
        <v>100</v>
      </c>
      <c r="T21" s="705" t="s">
        <v>14</v>
      </c>
      <c r="U21" s="706">
        <f>H21</f>
        <v>100</v>
      </c>
      <c r="V21" s="705" t="s">
        <v>14</v>
      </c>
      <c r="W21" s="706">
        <f>J21</f>
        <v>100</v>
      </c>
      <c r="X21" s="1355"/>
      <c r="Y21" s="369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694"/>
      <c r="Q22" s="1352"/>
      <c r="R22" s="705"/>
      <c r="S22" s="706"/>
      <c r="T22" s="705"/>
      <c r="U22" s="706"/>
      <c r="V22" s="705"/>
      <c r="W22" s="706"/>
      <c r="X22" s="1355"/>
      <c r="Y22" s="369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94"/>
      <c r="Q23" s="1352" t="str">
        <f t="shared" ref="Q23:Q37" si="8">B23</f>
        <v>区域土地利用方向</v>
      </c>
      <c r="R23" s="705" t="s">
        <v>14</v>
      </c>
      <c r="S23" s="706">
        <f>F23</f>
        <v>100</v>
      </c>
      <c r="T23" s="705" t="s">
        <v>14</v>
      </c>
      <c r="U23" s="706">
        <f>H23</f>
        <v>100</v>
      </c>
      <c r="V23" s="705" t="s">
        <v>14</v>
      </c>
      <c r="W23" s="706">
        <f>J23</f>
        <v>100</v>
      </c>
      <c r="X23" s="1355"/>
      <c r="Y23" s="369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694"/>
      <c r="Q24" s="1352"/>
      <c r="R24" s="705"/>
      <c r="S24" s="706"/>
      <c r="T24" s="705"/>
      <c r="U24" s="706"/>
      <c r="V24" s="705"/>
      <c r="W24" s="706"/>
      <c r="X24" s="1355"/>
      <c r="Y24" s="3694"/>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94"/>
      <c r="Q25" s="1352" t="str">
        <f t="shared" si="8"/>
        <v>自然及人文环境状况</v>
      </c>
      <c r="R25" s="705" t="s">
        <v>14</v>
      </c>
      <c r="S25" s="706">
        <f>F25</f>
        <v>100</v>
      </c>
      <c r="T25" s="705" t="s">
        <v>14</v>
      </c>
      <c r="U25" s="706">
        <f>H25</f>
        <v>100</v>
      </c>
      <c r="V25" s="705" t="s">
        <v>14</v>
      </c>
      <c r="W25" s="706">
        <f>J25</f>
        <v>100</v>
      </c>
      <c r="X25" s="1355"/>
      <c r="Y25" s="369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694"/>
      <c r="Q26" s="1352"/>
      <c r="R26" s="705"/>
      <c r="S26" s="706"/>
      <c r="T26" s="705"/>
      <c r="U26" s="706"/>
      <c r="V26" s="705"/>
      <c r="W26" s="706"/>
      <c r="X26" s="1355"/>
      <c r="Y26" s="3694"/>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94"/>
      <c r="Q27" s="1343" t="str">
        <f t="shared" si="8"/>
        <v>公共配套设施</v>
      </c>
      <c r="R27" s="701" t="s">
        <v>14</v>
      </c>
      <c r="S27" s="702">
        <f>F27</f>
        <v>100</v>
      </c>
      <c r="T27" s="701" t="s">
        <v>14</v>
      </c>
      <c r="U27" s="702">
        <f>H27</f>
        <v>100</v>
      </c>
      <c r="V27" s="701" t="s">
        <v>14</v>
      </c>
      <c r="W27" s="702">
        <f>J27</f>
        <v>100</v>
      </c>
      <c r="X27" s="703"/>
      <c r="Y27" s="369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694"/>
      <c r="Q28" s="1343"/>
      <c r="R28" s="701"/>
      <c r="S28" s="702"/>
      <c r="T28" s="701"/>
      <c r="U28" s="702"/>
      <c r="V28" s="701"/>
      <c r="W28" s="702"/>
      <c r="X28" s="703"/>
      <c r="Y28" s="3694"/>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94"/>
      <c r="Q29" s="1343" t="str">
        <f t="shared" ref="Q29" si="9">B29</f>
        <v>基础设施水平</v>
      </c>
      <c r="R29" s="701" t="s">
        <v>14</v>
      </c>
      <c r="S29" s="702">
        <f>F29</f>
        <v>100</v>
      </c>
      <c r="T29" s="701" t="s">
        <v>14</v>
      </c>
      <c r="U29" s="702">
        <f>H29</f>
        <v>100</v>
      </c>
      <c r="V29" s="701" t="s">
        <v>14</v>
      </c>
      <c r="W29" s="702">
        <f>J29</f>
        <v>100</v>
      </c>
      <c r="X29" s="703"/>
      <c r="Y29" s="369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694"/>
      <c r="Q30" s="1343"/>
      <c r="R30" s="701"/>
      <c r="S30" s="702"/>
      <c r="T30" s="701"/>
      <c r="U30" s="702"/>
      <c r="V30" s="701"/>
      <c r="W30" s="702"/>
      <c r="X30" s="703"/>
      <c r="Y30" s="369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9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94"/>
      <c r="Q32" s="1352" t="str">
        <f t="shared" si="8"/>
        <v>毗邻道路的类型与等级</v>
      </c>
      <c r="R32" s="705" t="s">
        <v>14</v>
      </c>
      <c r="S32" s="706">
        <f t="shared" si="10"/>
        <v>100</v>
      </c>
      <c r="T32" s="705" t="s">
        <v>14</v>
      </c>
      <c r="U32" s="706">
        <f t="shared" si="11"/>
        <v>100</v>
      </c>
      <c r="V32" s="705" t="s">
        <v>14</v>
      </c>
      <c r="W32" s="706">
        <f t="shared" si="12"/>
        <v>100</v>
      </c>
      <c r="X32" s="1355"/>
      <c r="Y32" s="369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694"/>
      <c r="Q33" s="1352"/>
      <c r="R33" s="705"/>
      <c r="S33" s="706"/>
      <c r="T33" s="705"/>
      <c r="U33" s="706"/>
      <c r="V33" s="705"/>
      <c r="W33" s="706"/>
      <c r="X33" s="1355"/>
      <c r="Y33" s="369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94"/>
      <c r="Q34" s="1352" t="str">
        <f t="shared" si="8"/>
        <v>土地级别</v>
      </c>
      <c r="R34" s="705" t="s">
        <v>14</v>
      </c>
      <c r="S34" s="706">
        <f t="shared" si="10"/>
        <v>100</v>
      </c>
      <c r="T34" s="705" t="s">
        <v>14</v>
      </c>
      <c r="U34" s="706">
        <f t="shared" si="11"/>
        <v>100</v>
      </c>
      <c r="V34" s="705" t="s">
        <v>14</v>
      </c>
      <c r="W34" s="706">
        <f t="shared" si="12"/>
        <v>100</v>
      </c>
      <c r="X34" s="1355"/>
      <c r="Y34" s="369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94"/>
      <c r="Q35" s="1352">
        <f t="shared" si="8"/>
        <v>111</v>
      </c>
      <c r="R35" s="705" t="s">
        <v>14</v>
      </c>
      <c r="S35" s="706">
        <f t="shared" si="10"/>
        <v>100</v>
      </c>
      <c r="T35" s="705" t="s">
        <v>14</v>
      </c>
      <c r="U35" s="706">
        <f t="shared" si="11"/>
        <v>100</v>
      </c>
      <c r="V35" s="705" t="s">
        <v>14</v>
      </c>
      <c r="W35" s="706">
        <f t="shared" si="12"/>
        <v>100</v>
      </c>
      <c r="X35" s="1355"/>
      <c r="Y35" s="369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49" t="s">
        <v>1696</v>
      </c>
      <c r="Q36" s="1352">
        <f t="shared" si="8"/>
        <v>111</v>
      </c>
      <c r="R36" s="705" t="s">
        <v>14</v>
      </c>
      <c r="S36" s="706">
        <f t="shared" si="10"/>
        <v>100</v>
      </c>
      <c r="T36" s="705" t="s">
        <v>14</v>
      </c>
      <c r="U36" s="706">
        <f t="shared" si="11"/>
        <v>100</v>
      </c>
      <c r="V36" s="705" t="s">
        <v>14</v>
      </c>
      <c r="W36" s="706">
        <f t="shared" si="12"/>
        <v>100</v>
      </c>
      <c r="X36" s="1355"/>
      <c r="Y36" s="369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98"/>
      <c r="Q37" s="1352">
        <f t="shared" si="8"/>
        <v>111</v>
      </c>
      <c r="R37" s="708" t="s">
        <v>14</v>
      </c>
      <c r="S37" s="709">
        <f t="shared" si="10"/>
        <v>100</v>
      </c>
      <c r="T37" s="708" t="s">
        <v>14</v>
      </c>
      <c r="U37" s="709">
        <f t="shared" si="11"/>
        <v>100</v>
      </c>
      <c r="V37" s="708" t="s">
        <v>14</v>
      </c>
      <c r="W37" s="709">
        <f t="shared" si="12"/>
        <v>100</v>
      </c>
      <c r="X37" s="710"/>
      <c r="Y37" s="369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98"/>
      <c r="Q38" s="1352" t="str">
        <f>B38</f>
        <v>宗地面积</v>
      </c>
      <c r="R38" s="705" t="s">
        <v>14</v>
      </c>
      <c r="S38" s="706" t="e">
        <f t="shared" si="10"/>
        <v>#N/A</v>
      </c>
      <c r="T38" s="705" t="s">
        <v>14</v>
      </c>
      <c r="U38" s="706" t="e">
        <f t="shared" si="11"/>
        <v>#N/A</v>
      </c>
      <c r="V38" s="705" t="s">
        <v>14</v>
      </c>
      <c r="W38" s="706" t="e">
        <f t="shared" si="12"/>
        <v>#N/A</v>
      </c>
      <c r="X38" s="1355"/>
      <c r="Y38" s="369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698"/>
      <c r="Q39" s="1352" t="str">
        <f t="shared" ref="Q39:Q45" si="14">B39</f>
        <v>宗地形状</v>
      </c>
      <c r="R39" s="705" t="s">
        <v>14</v>
      </c>
      <c r="S39" s="706">
        <f t="shared" si="10"/>
        <v>100</v>
      </c>
      <c r="T39" s="705" t="s">
        <v>14</v>
      </c>
      <c r="U39" s="706">
        <f t="shared" si="11"/>
        <v>100</v>
      </c>
      <c r="V39" s="705" t="s">
        <v>14</v>
      </c>
      <c r="W39" s="706">
        <f t="shared" si="12"/>
        <v>100</v>
      </c>
      <c r="X39" s="1355"/>
      <c r="Y39" s="369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698"/>
      <c r="Q40" s="1352" t="str">
        <f t="shared" si="14"/>
        <v>临街宽度及深度</v>
      </c>
      <c r="R40" s="705" t="s">
        <v>14</v>
      </c>
      <c r="S40" s="706">
        <f t="shared" si="10"/>
        <v>100</v>
      </c>
      <c r="T40" s="705" t="s">
        <v>14</v>
      </c>
      <c r="U40" s="706">
        <f t="shared" si="11"/>
        <v>100</v>
      </c>
      <c r="V40" s="705" t="s">
        <v>14</v>
      </c>
      <c r="W40" s="706">
        <f t="shared" si="12"/>
        <v>100</v>
      </c>
      <c r="X40" s="1355"/>
      <c r="Y40" s="369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698"/>
      <c r="Q41" s="1352" t="str">
        <f t="shared" si="14"/>
        <v>宗地开发程度</v>
      </c>
      <c r="R41" s="701" t="s">
        <v>14</v>
      </c>
      <c r="S41" s="702">
        <f t="shared" si="10"/>
        <v>100</v>
      </c>
      <c r="T41" s="701" t="s">
        <v>14</v>
      </c>
      <c r="U41" s="702">
        <f t="shared" si="11"/>
        <v>100</v>
      </c>
      <c r="V41" s="701" t="s">
        <v>14</v>
      </c>
      <c r="W41" s="702">
        <f t="shared" si="12"/>
        <v>100</v>
      </c>
      <c r="X41" s="703"/>
      <c r="Y41" s="369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698" t="s">
        <v>1696</v>
      </c>
      <c r="Q42" s="1352" t="str">
        <f t="shared" si="14"/>
        <v>工程地质条件</v>
      </c>
      <c r="R42" s="705" t="s">
        <v>14</v>
      </c>
      <c r="S42" s="706">
        <f t="shared" si="10"/>
        <v>100</v>
      </c>
      <c r="T42" s="705" t="s">
        <v>14</v>
      </c>
      <c r="U42" s="706">
        <f t="shared" si="11"/>
        <v>100</v>
      </c>
      <c r="V42" s="705" t="s">
        <v>14</v>
      </c>
      <c r="W42" s="706">
        <f t="shared" si="12"/>
        <v>100</v>
      </c>
      <c r="X42" s="1355"/>
      <c r="Y42" s="369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98"/>
      <c r="Q43" s="1352">
        <f t="shared" si="14"/>
        <v>111</v>
      </c>
      <c r="R43" s="705" t="s">
        <v>14</v>
      </c>
      <c r="S43" s="706">
        <f t="shared" si="10"/>
        <v>100</v>
      </c>
      <c r="T43" s="705" t="s">
        <v>14</v>
      </c>
      <c r="U43" s="706">
        <f t="shared" si="11"/>
        <v>100</v>
      </c>
      <c r="V43" s="705" t="s">
        <v>14</v>
      </c>
      <c r="W43" s="706">
        <f t="shared" si="12"/>
        <v>100</v>
      </c>
      <c r="X43" s="1355"/>
      <c r="Y43" s="369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98"/>
      <c r="Q44" s="1352">
        <f t="shared" si="14"/>
        <v>111</v>
      </c>
      <c r="R44" s="705" t="s">
        <v>14</v>
      </c>
      <c r="S44" s="706">
        <f t="shared" si="10"/>
        <v>100</v>
      </c>
      <c r="T44" s="705" t="s">
        <v>14</v>
      </c>
      <c r="U44" s="706">
        <f t="shared" si="11"/>
        <v>100</v>
      </c>
      <c r="V44" s="705" t="s">
        <v>14</v>
      </c>
      <c r="W44" s="706">
        <f t="shared" si="12"/>
        <v>100</v>
      </c>
      <c r="X44" s="1355"/>
      <c r="Y44" s="369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98"/>
      <c r="Q45" s="1352">
        <f t="shared" si="14"/>
        <v>111</v>
      </c>
      <c r="R45" s="708" t="s">
        <v>14</v>
      </c>
      <c r="S45" s="709">
        <f t="shared" si="10"/>
        <v>100</v>
      </c>
      <c r="T45" s="708" t="s">
        <v>14</v>
      </c>
      <c r="U45" s="709">
        <f t="shared" si="11"/>
        <v>100</v>
      </c>
      <c r="V45" s="708" t="s">
        <v>14</v>
      </c>
      <c r="W45" s="709">
        <f t="shared" si="12"/>
        <v>100</v>
      </c>
      <c r="X45" s="710"/>
      <c r="Y45" s="369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691" t="str">
        <f>A46</f>
        <v>成交单价</v>
      </c>
      <c r="Q46" s="3691"/>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7" t="s">
        <v>2136</v>
      </c>
      <c r="E47" s="440" t="e">
        <f>R47</f>
        <v>#DIV/0!</v>
      </c>
      <c r="F47" s="2318"/>
      <c r="G47" s="439" t="e">
        <f>T47</f>
        <v>#DIV/0!</v>
      </c>
      <c r="H47" s="2318"/>
      <c r="I47" s="440" t="e">
        <f>V47</f>
        <v>#DIV/0!</v>
      </c>
      <c r="J47" s="2318"/>
      <c r="K47" s="2320">
        <f>F47+H47+J47</f>
        <v>0</v>
      </c>
      <c r="L47" s="2720"/>
      <c r="M47" s="2721"/>
      <c r="N47" s="2721"/>
      <c r="O47" s="2721"/>
      <c r="P47" s="3691" t="str">
        <f>A47</f>
        <v>比较价值（元/平方米）</v>
      </c>
      <c r="Q47" s="3691"/>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688" t="str">
        <f>A48</f>
        <v>估价对象XX用房的比较价值（楼面单价，元/平方米）</v>
      </c>
      <c r="Q48" s="3689"/>
      <c r="R48" s="3752" t="e">
        <f>ROUND(IF(D47="简单平均",AVERAGE(R47:W47),R47*F47+T47*H47+V47*J47),0)</f>
        <v>#DIV/0!</v>
      </c>
      <c r="S48" s="3752"/>
      <c r="T48" s="3752"/>
      <c r="U48" s="3752"/>
      <c r="V48" s="3752"/>
      <c r="W48" s="3752"/>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706" t="s">
        <v>1887</v>
      </c>
      <c r="H55" s="3753"/>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259.41000000000003</v>
      </c>
      <c r="F56" s="886" t="e">
        <f t="shared" ref="F56:F64" si="15">ROUND(B56*E56/10000,0)</f>
        <v>#DIV/0!</v>
      </c>
      <c r="G56" s="3702"/>
      <c r="H56" s="3691"/>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259.41000000000003</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1"/>
      <c r="M4" s="2712"/>
      <c r="N4" s="2712"/>
      <c r="O4" s="2712"/>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2711"/>
      <c r="M5" s="2712"/>
      <c r="N5" s="2712"/>
      <c r="O5" s="2712"/>
      <c r="P5" s="3712"/>
      <c r="Q5" s="3713"/>
      <c r="R5" s="3718"/>
      <c r="S5" s="3719"/>
      <c r="T5" s="3718"/>
      <c r="U5" s="3719"/>
      <c r="V5" s="3722"/>
      <c r="W5" s="3722"/>
      <c r="X5" s="1355"/>
      <c r="Y5" s="3718"/>
      <c r="Z5" s="3719"/>
      <c r="AA5" s="3704"/>
      <c r="AB5" s="3704"/>
      <c r="AC5" s="3704"/>
    </row>
    <row r="6" spans="1:29" ht="15.75" thickBot="1">
      <c r="A6" s="360"/>
      <c r="B6" s="361"/>
      <c r="C6" s="3754" t="s">
        <v>1919</v>
      </c>
      <c r="D6" s="3755"/>
      <c r="E6" s="3756" t="s">
        <v>1919</v>
      </c>
      <c r="F6" s="3757"/>
      <c r="G6" s="3754" t="s">
        <v>1919</v>
      </c>
      <c r="H6" s="3755"/>
      <c r="I6" s="3754" t="s">
        <v>1919</v>
      </c>
      <c r="J6" s="3755"/>
      <c r="K6" s="559" t="s">
        <v>1678</v>
      </c>
      <c r="L6" s="2711"/>
      <c r="M6" s="2712"/>
      <c r="N6" s="2712"/>
      <c r="O6" s="2712"/>
      <c r="P6" s="3714"/>
      <c r="Q6" s="3715"/>
      <c r="R6" s="3718"/>
      <c r="S6" s="3719"/>
      <c r="T6" s="3720"/>
      <c r="U6" s="3721"/>
      <c r="V6" s="3722"/>
      <c r="W6" s="3722"/>
      <c r="X6" s="1355"/>
      <c r="Y6" s="3720"/>
      <c r="Z6" s="3721"/>
      <c r="AA6" s="3705"/>
      <c r="AB6" s="3705"/>
      <c r="AC6" s="3705"/>
    </row>
    <row r="7" spans="1:29" s="108" customFormat="1" ht="15.75" thickBot="1">
      <c r="A7" s="362" t="s">
        <v>1679</v>
      </c>
      <c r="B7" s="363"/>
      <c r="C7" s="364">
        <f>'数据-取费表'!B2</f>
        <v>44931</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27" t="s">
        <v>1683</v>
      </c>
      <c r="Q8" s="3728"/>
      <c r="R8" s="701" t="s">
        <v>14</v>
      </c>
      <c r="S8" s="702">
        <f t="shared" si="0"/>
        <v>0</v>
      </c>
      <c r="T8" s="701" t="s">
        <v>14</v>
      </c>
      <c r="U8" s="702">
        <f t="shared" si="1"/>
        <v>0</v>
      </c>
      <c r="V8" s="701" t="s">
        <v>14</v>
      </c>
      <c r="W8" s="702">
        <f t="shared" si="2"/>
        <v>0</v>
      </c>
      <c r="X8" s="703"/>
      <c r="Y8" s="3727" t="s">
        <v>1683</v>
      </c>
      <c r="Z8" s="372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691"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5"/>
      <c r="M10" s="2716"/>
      <c r="N10" s="2716"/>
      <c r="O10" s="2769"/>
      <c r="P10" s="3691"/>
      <c r="Q10" s="1343" t="str">
        <f t="shared" si="6"/>
        <v>土地使用年限（年）</v>
      </c>
      <c r="R10" s="701" t="s">
        <v>14</v>
      </c>
      <c r="S10" s="702">
        <f t="shared" si="0"/>
        <v>121</v>
      </c>
      <c r="T10" s="701" t="s">
        <v>14</v>
      </c>
      <c r="U10" s="702">
        <f t="shared" si="1"/>
        <v>121</v>
      </c>
      <c r="V10" s="701" t="s">
        <v>14</v>
      </c>
      <c r="W10" s="702">
        <f t="shared" si="2"/>
        <v>121</v>
      </c>
      <c r="X10" s="703"/>
      <c r="Y10" s="3547"/>
      <c r="Z10" s="52" t="str">
        <f t="shared" si="7"/>
        <v>土地使用年限（年）</v>
      </c>
      <c r="AA10" s="704">
        <f t="shared" si="3"/>
        <v>0.82644628099173556</v>
      </c>
      <c r="AB10" s="704">
        <f t="shared" si="4"/>
        <v>0.82644628099173556</v>
      </c>
      <c r="AC10" s="704">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91"/>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91"/>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91"/>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91"/>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93" t="s">
        <v>1691</v>
      </c>
      <c r="Q15" s="1352" t="str">
        <f t="shared" si="6"/>
        <v>产业集聚程度</v>
      </c>
      <c r="R15" s="705" t="s">
        <v>14</v>
      </c>
      <c r="S15" s="706">
        <f t="shared" si="0"/>
        <v>100</v>
      </c>
      <c r="T15" s="705" t="s">
        <v>14</v>
      </c>
      <c r="U15" s="706">
        <f t="shared" si="1"/>
        <v>100</v>
      </c>
      <c r="V15" s="705" t="s">
        <v>14</v>
      </c>
      <c r="W15" s="706">
        <f t="shared" si="2"/>
        <v>100</v>
      </c>
      <c r="X15" s="1355"/>
      <c r="Y15" s="369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694"/>
      <c r="Q16" s="1352"/>
      <c r="R16" s="705"/>
      <c r="S16" s="706"/>
      <c r="T16" s="705"/>
      <c r="U16" s="706"/>
      <c r="V16" s="705"/>
      <c r="W16" s="706"/>
      <c r="X16" s="1355"/>
      <c r="Y16" s="369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694"/>
      <c r="Q18" s="1352"/>
      <c r="R18" s="705"/>
      <c r="S18" s="706"/>
      <c r="T18" s="705"/>
      <c r="U18" s="706"/>
      <c r="V18" s="705"/>
      <c r="W18" s="706"/>
      <c r="X18" s="1355"/>
      <c r="Y18" s="369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94"/>
      <c r="Q19" s="1352" t="str">
        <f t="shared" ref="Q19:Q33" si="8">B19</f>
        <v>区域土地利用方向</v>
      </c>
      <c r="R19" s="705" t="s">
        <v>14</v>
      </c>
      <c r="S19" s="706">
        <f>F19</f>
        <v>100</v>
      </c>
      <c r="T19" s="705" t="s">
        <v>14</v>
      </c>
      <c r="U19" s="706">
        <f>H19</f>
        <v>100</v>
      </c>
      <c r="V19" s="705" t="s">
        <v>14</v>
      </c>
      <c r="W19" s="706">
        <f>J19</f>
        <v>100</v>
      </c>
      <c r="X19" s="1355"/>
      <c r="Y19" s="369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694"/>
      <c r="Q20" s="1352"/>
      <c r="R20" s="705"/>
      <c r="S20" s="706"/>
      <c r="T20" s="705"/>
      <c r="U20" s="706"/>
      <c r="V20" s="705"/>
      <c r="W20" s="706"/>
      <c r="X20" s="1355"/>
      <c r="Y20" s="369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94"/>
      <c r="Q21" s="1352" t="str">
        <f t="shared" si="8"/>
        <v>环境状况</v>
      </c>
      <c r="R21" s="705" t="s">
        <v>14</v>
      </c>
      <c r="S21" s="706">
        <f>F21</f>
        <v>100</v>
      </c>
      <c r="T21" s="705" t="s">
        <v>14</v>
      </c>
      <c r="U21" s="706">
        <f>H21</f>
        <v>100</v>
      </c>
      <c r="V21" s="705" t="s">
        <v>14</v>
      </c>
      <c r="W21" s="706">
        <f>J21</f>
        <v>100</v>
      </c>
      <c r="X21" s="1355"/>
      <c r="Y21" s="369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694"/>
      <c r="Q22" s="1352"/>
      <c r="R22" s="705"/>
      <c r="S22" s="706"/>
      <c r="T22" s="705"/>
      <c r="U22" s="706"/>
      <c r="V22" s="705"/>
      <c r="W22" s="706"/>
      <c r="X22" s="1355"/>
      <c r="Y22" s="369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94"/>
      <c r="Q23" s="1343" t="str">
        <f t="shared" si="8"/>
        <v>公共配套设施</v>
      </c>
      <c r="R23" s="701" t="s">
        <v>14</v>
      </c>
      <c r="S23" s="702">
        <f>F23</f>
        <v>100</v>
      </c>
      <c r="T23" s="701" t="s">
        <v>14</v>
      </c>
      <c r="U23" s="702">
        <f>H23</f>
        <v>100</v>
      </c>
      <c r="V23" s="701" t="s">
        <v>14</v>
      </c>
      <c r="W23" s="702">
        <f>J23</f>
        <v>100</v>
      </c>
      <c r="X23" s="703"/>
      <c r="Y23" s="369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694"/>
      <c r="Q24" s="1343"/>
      <c r="R24" s="701"/>
      <c r="S24" s="702"/>
      <c r="T24" s="701"/>
      <c r="U24" s="702"/>
      <c r="V24" s="701"/>
      <c r="W24" s="702"/>
      <c r="X24" s="703"/>
      <c r="Y24" s="369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94"/>
      <c r="Q25" s="1343" t="str">
        <f t="shared" ref="Q25" si="9">B25</f>
        <v>基础设施水平</v>
      </c>
      <c r="R25" s="701" t="s">
        <v>14</v>
      </c>
      <c r="S25" s="702">
        <f>F25</f>
        <v>100</v>
      </c>
      <c r="T25" s="701" t="s">
        <v>14</v>
      </c>
      <c r="U25" s="702">
        <f>H25</f>
        <v>100</v>
      </c>
      <c r="V25" s="701" t="s">
        <v>14</v>
      </c>
      <c r="W25" s="702">
        <f>J25</f>
        <v>100</v>
      </c>
      <c r="X25" s="703"/>
      <c r="Y25" s="369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694"/>
      <c r="Q26" s="1343"/>
      <c r="R26" s="701"/>
      <c r="S26" s="702"/>
      <c r="T26" s="701"/>
      <c r="U26" s="702"/>
      <c r="V26" s="701"/>
      <c r="W26" s="702"/>
      <c r="X26" s="703"/>
      <c r="Y26" s="369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9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94"/>
      <c r="Q28" s="1352" t="str">
        <f t="shared" si="8"/>
        <v>毗邻道路的类型与等级</v>
      </c>
      <c r="R28" s="705" t="s">
        <v>14</v>
      </c>
      <c r="S28" s="706">
        <f t="shared" si="10"/>
        <v>100</v>
      </c>
      <c r="T28" s="705" t="s">
        <v>14</v>
      </c>
      <c r="U28" s="706">
        <f t="shared" si="11"/>
        <v>100</v>
      </c>
      <c r="V28" s="705" t="s">
        <v>14</v>
      </c>
      <c r="W28" s="706">
        <f t="shared" si="12"/>
        <v>100</v>
      </c>
      <c r="X28" s="1355"/>
      <c r="Y28" s="369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694"/>
      <c r="Q29" s="1352"/>
      <c r="R29" s="705"/>
      <c r="S29" s="706"/>
      <c r="T29" s="705"/>
      <c r="U29" s="706"/>
      <c r="V29" s="705"/>
      <c r="W29" s="706"/>
      <c r="X29" s="1355"/>
      <c r="Y29" s="369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94"/>
      <c r="Q30" s="1352" t="str">
        <f t="shared" si="8"/>
        <v>土地级别</v>
      </c>
      <c r="R30" s="705" t="s">
        <v>14</v>
      </c>
      <c r="S30" s="706">
        <f t="shared" si="10"/>
        <v>100</v>
      </c>
      <c r="T30" s="705" t="s">
        <v>14</v>
      </c>
      <c r="U30" s="706">
        <f t="shared" si="11"/>
        <v>100</v>
      </c>
      <c r="V30" s="705" t="s">
        <v>14</v>
      </c>
      <c r="W30" s="706">
        <f t="shared" si="12"/>
        <v>100</v>
      </c>
      <c r="X30" s="1355"/>
      <c r="Y30" s="369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94"/>
      <c r="Q31" s="1352">
        <f t="shared" si="8"/>
        <v>111</v>
      </c>
      <c r="R31" s="705" t="s">
        <v>14</v>
      </c>
      <c r="S31" s="706">
        <f t="shared" si="10"/>
        <v>100</v>
      </c>
      <c r="T31" s="705" t="s">
        <v>14</v>
      </c>
      <c r="U31" s="706">
        <f t="shared" si="11"/>
        <v>100</v>
      </c>
      <c r="V31" s="705" t="s">
        <v>14</v>
      </c>
      <c r="W31" s="706">
        <f t="shared" si="12"/>
        <v>100</v>
      </c>
      <c r="X31" s="1355"/>
      <c r="Y31" s="369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49" t="s">
        <v>1696</v>
      </c>
      <c r="Q32" s="1352">
        <f t="shared" si="8"/>
        <v>111</v>
      </c>
      <c r="R32" s="705" t="s">
        <v>14</v>
      </c>
      <c r="S32" s="706">
        <f t="shared" si="10"/>
        <v>100</v>
      </c>
      <c r="T32" s="705" t="s">
        <v>14</v>
      </c>
      <c r="U32" s="706">
        <f t="shared" si="11"/>
        <v>100</v>
      </c>
      <c r="V32" s="705" t="s">
        <v>14</v>
      </c>
      <c r="W32" s="706">
        <f t="shared" si="12"/>
        <v>100</v>
      </c>
      <c r="X32" s="1355"/>
      <c r="Y32" s="369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98"/>
      <c r="Q33" s="1352">
        <f t="shared" si="8"/>
        <v>111</v>
      </c>
      <c r="R33" s="708" t="s">
        <v>14</v>
      </c>
      <c r="S33" s="709">
        <f t="shared" si="10"/>
        <v>100</v>
      </c>
      <c r="T33" s="708" t="s">
        <v>14</v>
      </c>
      <c r="U33" s="709">
        <f t="shared" si="11"/>
        <v>100</v>
      </c>
      <c r="V33" s="708" t="s">
        <v>14</v>
      </c>
      <c r="W33" s="709">
        <f t="shared" si="12"/>
        <v>100</v>
      </c>
      <c r="X33" s="710"/>
      <c r="Y33" s="369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98"/>
      <c r="Q34" s="1352" t="str">
        <f>B34</f>
        <v>宗地面积</v>
      </c>
      <c r="R34" s="705" t="s">
        <v>14</v>
      </c>
      <c r="S34" s="706" t="e">
        <f t="shared" si="10"/>
        <v>#N/A</v>
      </c>
      <c r="T34" s="705" t="s">
        <v>14</v>
      </c>
      <c r="U34" s="706" t="e">
        <f t="shared" si="11"/>
        <v>#N/A</v>
      </c>
      <c r="V34" s="705" t="s">
        <v>14</v>
      </c>
      <c r="W34" s="706" t="e">
        <f t="shared" si="12"/>
        <v>#N/A</v>
      </c>
      <c r="X34" s="1355"/>
      <c r="Y34" s="369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698"/>
      <c r="Q35" s="1352" t="str">
        <f t="shared" ref="Q35:Q40" si="14">B35</f>
        <v>宗地形状</v>
      </c>
      <c r="R35" s="705" t="s">
        <v>14</v>
      </c>
      <c r="S35" s="706">
        <f t="shared" si="10"/>
        <v>100</v>
      </c>
      <c r="T35" s="705" t="s">
        <v>14</v>
      </c>
      <c r="U35" s="706">
        <f t="shared" si="11"/>
        <v>100</v>
      </c>
      <c r="V35" s="705" t="s">
        <v>14</v>
      </c>
      <c r="W35" s="706">
        <f t="shared" si="12"/>
        <v>100</v>
      </c>
      <c r="X35" s="1355"/>
      <c r="Y35" s="369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698"/>
      <c r="Q36" s="1352" t="str">
        <f t="shared" si="14"/>
        <v>宗地开发程度</v>
      </c>
      <c r="R36" s="701" t="s">
        <v>14</v>
      </c>
      <c r="S36" s="702">
        <f t="shared" si="10"/>
        <v>100</v>
      </c>
      <c r="T36" s="701" t="s">
        <v>14</v>
      </c>
      <c r="U36" s="702">
        <f t="shared" si="11"/>
        <v>100</v>
      </c>
      <c r="V36" s="701" t="s">
        <v>14</v>
      </c>
      <c r="W36" s="702">
        <f t="shared" si="12"/>
        <v>100</v>
      </c>
      <c r="X36" s="703"/>
      <c r="Y36" s="369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698" t="s">
        <v>1696</v>
      </c>
      <c r="Q37" s="1352" t="str">
        <f t="shared" si="14"/>
        <v>工程地质条件</v>
      </c>
      <c r="R37" s="705" t="s">
        <v>14</v>
      </c>
      <c r="S37" s="706">
        <f t="shared" si="10"/>
        <v>100</v>
      </c>
      <c r="T37" s="705" t="s">
        <v>14</v>
      </c>
      <c r="U37" s="706">
        <f t="shared" si="11"/>
        <v>100</v>
      </c>
      <c r="V37" s="705" t="s">
        <v>14</v>
      </c>
      <c r="W37" s="706">
        <f t="shared" si="12"/>
        <v>100</v>
      </c>
      <c r="X37" s="1355"/>
      <c r="Y37" s="369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98"/>
      <c r="Q38" s="1352">
        <f t="shared" si="14"/>
        <v>111</v>
      </c>
      <c r="R38" s="705" t="s">
        <v>14</v>
      </c>
      <c r="S38" s="706">
        <f t="shared" si="10"/>
        <v>100</v>
      </c>
      <c r="T38" s="705" t="s">
        <v>14</v>
      </c>
      <c r="U38" s="706">
        <f t="shared" si="11"/>
        <v>100</v>
      </c>
      <c r="V38" s="705" t="s">
        <v>14</v>
      </c>
      <c r="W38" s="706">
        <f t="shared" si="12"/>
        <v>100</v>
      </c>
      <c r="X38" s="1355"/>
      <c r="Y38" s="369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98"/>
      <c r="Q39" s="1352">
        <f t="shared" si="14"/>
        <v>111</v>
      </c>
      <c r="R39" s="705" t="s">
        <v>14</v>
      </c>
      <c r="S39" s="706">
        <f t="shared" si="10"/>
        <v>100</v>
      </c>
      <c r="T39" s="705" t="s">
        <v>14</v>
      </c>
      <c r="U39" s="706">
        <f t="shared" si="11"/>
        <v>100</v>
      </c>
      <c r="V39" s="705" t="s">
        <v>14</v>
      </c>
      <c r="W39" s="706">
        <f t="shared" si="12"/>
        <v>100</v>
      </c>
      <c r="X39" s="1355"/>
      <c r="Y39" s="369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98"/>
      <c r="Q40" s="1352">
        <f t="shared" si="14"/>
        <v>111</v>
      </c>
      <c r="R40" s="708" t="s">
        <v>14</v>
      </c>
      <c r="S40" s="709">
        <f t="shared" si="10"/>
        <v>100</v>
      </c>
      <c r="T40" s="708" t="s">
        <v>14</v>
      </c>
      <c r="U40" s="709">
        <f t="shared" si="11"/>
        <v>100</v>
      </c>
      <c r="V40" s="708" t="s">
        <v>14</v>
      </c>
      <c r="W40" s="709">
        <f t="shared" si="12"/>
        <v>100</v>
      </c>
      <c r="X40" s="710"/>
      <c r="Y40" s="369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691" t="str">
        <f>A41</f>
        <v>成交单价</v>
      </c>
      <c r="Q41" s="3691"/>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7" t="s">
        <v>2136</v>
      </c>
      <c r="E42" s="440" t="e">
        <f>R42</f>
        <v>#DIV/0!</v>
      </c>
      <c r="F42" s="2318"/>
      <c r="G42" s="439" t="e">
        <f>T42</f>
        <v>#DIV/0!</v>
      </c>
      <c r="H42" s="2318"/>
      <c r="I42" s="440" t="e">
        <f>V42</f>
        <v>#DIV/0!</v>
      </c>
      <c r="J42" s="2318"/>
      <c r="K42" s="2320">
        <f>F42+H42+J42</f>
        <v>0</v>
      </c>
      <c r="L42" s="2720"/>
      <c r="M42" s="2712"/>
      <c r="N42" s="2712"/>
      <c r="O42" s="2721"/>
      <c r="P42" s="3691" t="str">
        <f>A42</f>
        <v>比较价值（元/平方米）</v>
      </c>
      <c r="Q42" s="3691"/>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88" t="str">
        <f>A43</f>
        <v>估价对象XX用房的比较价值（楼面单价，元/平方米）</v>
      </c>
      <c r="Q43" s="3689"/>
      <c r="R43" s="3752" t="e">
        <f>ROUND(IF(D42="简单平均",AVERAGE(R42:W42),R42*F42+T42*H42+V42*J42),0)</f>
        <v>#DIV/0!</v>
      </c>
      <c r="S43" s="3752"/>
      <c r="T43" s="3752"/>
      <c r="U43" s="3752"/>
      <c r="V43" s="3752"/>
      <c r="W43" s="3752"/>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706" t="s">
        <v>1887</v>
      </c>
      <c r="H50" s="3753"/>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259.41000000000003</v>
      </c>
      <c r="F51" s="639" t="e">
        <f t="shared" ref="F51:F60" si="15">ROUND(B51*E51/10000,0)</f>
        <v>#DIV/0!</v>
      </c>
      <c r="G51" s="3702"/>
      <c r="H51" s="3691"/>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80" zoomScaleNormal="80" workbookViewId="0">
      <pane ySplit="24" topLeftCell="A25" activePane="bottomLeft" state="frozen"/>
      <selection activeCell="Q80" sqref="Q80"/>
      <selection pane="bottomLeft" activeCell="U27" sqref="U2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20" width="9" style="725"/>
    <col min="21" max="21" width="36" style="725" customWidth="1"/>
    <col min="22" max="45" width="9" style="725"/>
    <col min="46" max="16384" width="9" style="130"/>
  </cols>
  <sheetData>
    <row r="1" spans="1:45" ht="14.25" customHeight="1" thickBot="1">
      <c r="A1" s="146"/>
      <c r="B1" s="983" t="s">
        <v>2083</v>
      </c>
      <c r="C1" s="3761" t="s">
        <v>2084</v>
      </c>
      <c r="D1" s="3762"/>
      <c r="E1" s="3762"/>
      <c r="F1" s="3762"/>
      <c r="G1" s="3762"/>
      <c r="H1" s="3762"/>
      <c r="I1" s="3762"/>
      <c r="J1" s="3762"/>
      <c r="K1" s="3762"/>
      <c r="L1" s="3762"/>
      <c r="M1" s="3762"/>
      <c r="N1" s="3762"/>
      <c r="O1" s="3762"/>
      <c r="P1" s="3762"/>
      <c r="Q1" s="3762"/>
      <c r="R1" s="3762"/>
      <c r="S1" s="3763"/>
      <c r="T1" s="983" t="s">
        <v>2085</v>
      </c>
    </row>
    <row r="2" spans="1:45" s="655" customFormat="1" ht="25.5">
      <c r="A2" s="984"/>
      <c r="B2" s="651" t="s">
        <v>2086</v>
      </c>
      <c r="C2" s="652" t="str">
        <f t="shared" ref="C2:L2" si="0">C3&amp;"(含)"&amp;"-"&amp;D3</f>
        <v>0(含)-500</v>
      </c>
      <c r="D2" s="653" t="str">
        <f t="shared" si="0"/>
        <v>500(含)-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3454" t="s">
        <v>3425</v>
      </c>
      <c r="C5" s="3455" t="s">
        <v>3427</v>
      </c>
      <c r="D5" s="3456" t="s">
        <v>3429</v>
      </c>
      <c r="E5" s="996"/>
      <c r="F5" s="1312"/>
      <c r="G5" s="1312"/>
      <c r="H5" s="1312"/>
      <c r="I5" s="1312"/>
      <c r="J5" s="1312"/>
      <c r="K5" s="1312"/>
      <c r="L5" s="1313"/>
      <c r="M5" s="1314"/>
      <c r="N5" s="1314"/>
      <c r="O5" s="1312"/>
      <c r="P5" s="1312"/>
      <c r="Q5" s="1312"/>
      <c r="R5" s="1312"/>
      <c r="S5" s="1315"/>
      <c r="T5" s="998">
        <v>0</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f ca="1">IF(D20="——",S22,S22-F20)</f>
        <v>1555</v>
      </c>
      <c r="C20" s="159"/>
      <c r="D20" s="2151" t="s">
        <v>43</v>
      </c>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f ca="1">ROUND(B20*10000/B22,0)</f>
        <v>34048</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456.71000000000004</v>
      </c>
      <c r="C22" s="3758" t="s">
        <v>27</v>
      </c>
      <c r="D22" s="3759"/>
      <c r="E22" s="3759"/>
      <c r="F22" s="3759"/>
      <c r="G22" s="3759"/>
      <c r="H22" s="3759"/>
      <c r="I22" s="3759"/>
      <c r="J22" s="3759"/>
      <c r="K22" s="3759"/>
      <c r="L22" s="3759"/>
      <c r="M22" s="3759"/>
      <c r="N22" s="3759"/>
      <c r="O22" s="3759"/>
      <c r="P22" s="3759"/>
      <c r="Q22" s="3760"/>
      <c r="R22" s="663">
        <f ca="1">ROUND(S22*10000/B22,0)</f>
        <v>34048</v>
      </c>
      <c r="S22" s="21">
        <f ca="1">SUM(S24:S10000)</f>
        <v>1555</v>
      </c>
    </row>
    <row r="23" spans="1:45" s="9" customFormat="1" ht="24">
      <c r="A23" s="8" t="s">
        <v>2099</v>
      </c>
      <c r="B23" s="8" t="s">
        <v>2100</v>
      </c>
      <c r="C23" s="8" t="s">
        <v>2101</v>
      </c>
      <c r="D23" s="8" t="str">
        <f>B5</f>
        <v>朝向</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3" t="s">
        <v>3424</v>
      </c>
      <c r="B24" s="665">
        <f>'数据-基础表'!I13</f>
        <v>259.41000000000003</v>
      </c>
      <c r="C24" s="2806">
        <v>1</v>
      </c>
      <c r="D24" s="2807" t="s">
        <v>3426</v>
      </c>
      <c r="E24" s="2806">
        <v>1</v>
      </c>
      <c r="F24" s="2807"/>
      <c r="G24" s="2806">
        <v>1</v>
      </c>
      <c r="H24" s="2807"/>
      <c r="I24" s="2806">
        <v>1</v>
      </c>
      <c r="J24" s="2807"/>
      <c r="K24" s="2806">
        <v>1</v>
      </c>
      <c r="L24" s="2807"/>
      <c r="M24" s="2806">
        <v>1</v>
      </c>
      <c r="N24" s="2807"/>
      <c r="O24" s="2806">
        <v>1</v>
      </c>
      <c r="P24" s="2807"/>
      <c r="Q24" s="2806">
        <v>1</v>
      </c>
      <c r="R24" s="668">
        <f ca="1">结果表!H102</f>
        <v>34043</v>
      </c>
      <c r="S24" s="666">
        <f t="shared" ref="S24:S54" ca="1" si="11">ROUND(R24*B24/10000,0)</f>
        <v>883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1302</v>
      </c>
      <c r="B25" s="54">
        <f>'数据-基础表'!I14</f>
        <v>197.3</v>
      </c>
      <c r="C25" s="21">
        <f>IF(B25="",1,(LOOKUP(B25,$3:$3,$4:$4)-LOOKUP($B$24,$3:$3,$4:$4)+100)/100)</f>
        <v>1</v>
      </c>
      <c r="D25" s="667" t="s">
        <v>3428</v>
      </c>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34043</v>
      </c>
      <c r="S25" s="316">
        <f t="shared" ca="1" si="11"/>
        <v>672</v>
      </c>
    </row>
    <row r="26" spans="1:45">
      <c r="A26" s="150"/>
      <c r="B26" s="54"/>
      <c r="C26" s="21">
        <f t="shared" ref="C26:C89" si="12">IF(B26="",1,(LOOKUP(B26,$3:$3,$4:$4)-LOOKUP($B$24,$3:$3,$4:$4)+100)/100)</f>
        <v>1</v>
      </c>
      <c r="D26" s="667"/>
      <c r="E26" s="21">
        <f t="shared" ref="E26:E89" si="13">(SUMIF($5:$5,D26,$6:$6)-SUMIF($5:$5,$D$24,$6:$6)+100)/100</f>
        <v>0</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0</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0</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0</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0</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0</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0</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0</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0</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0</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0</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0</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0</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0</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0</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0</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0</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0</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0</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0</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0</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0</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0</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0</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0</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0</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0</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0</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0</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0</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0</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0</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0</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0</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0</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0</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0</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0</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0</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0</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0</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0</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0</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0</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0</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0</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0</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0</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0</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0</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0</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0</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0</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0</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0</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0</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0</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0</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0</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0</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0</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0</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0</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0</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0</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0</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0</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0</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0</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0</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0</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0</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0</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0</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0</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0</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0</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0</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0</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0</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0</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0</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0</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0</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0</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0</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0</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0</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0</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0</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0</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0</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0</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0</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0</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0</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0</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0</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0</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0</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0</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0</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0</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0</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0</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0</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0</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0</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0</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0</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0</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0</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0</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0</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0</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0</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0</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0</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0</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0</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0</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0</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0</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0</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0</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0</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0</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0</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0</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0</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0</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0</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0</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0</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0</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0</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0</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0</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0</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0</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0</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0</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0</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0</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0</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0</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0</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0</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0</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0</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0</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0</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0</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0</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0</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0</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0</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0</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0</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0</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0</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0</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0</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0</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0</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0</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0</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0</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0</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0</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0</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0</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0</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0</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0</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0</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0</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0</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0</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0</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0</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0</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0</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0</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0</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0</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0</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0</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0</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0</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0</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0</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0</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0</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0</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0</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0</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0</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0</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0</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0</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0</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0</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0</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0</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0</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0</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0</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0</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0</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0</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0</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0</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0</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0</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0</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0</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0</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0</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0</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0</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0</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0</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0</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0</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0</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0</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0</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0</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0</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0</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0</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0</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0</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0</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0</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0</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0</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0</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0</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0</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0</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0</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0</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0</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0</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0</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0</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0</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0</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0</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0</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0</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0</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0</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0</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0</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0</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0</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0</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0</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0</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0</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0</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0</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0</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0</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0</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0</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0</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0</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0</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0</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0</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0</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0</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0</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0</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0</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0</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0</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0</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0</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0</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0</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0</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0</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0</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0</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0</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0</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0</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0</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0</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0</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0</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0</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0</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0</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0</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0</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0</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0</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0</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0</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0</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0</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0</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0</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0</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0</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0</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0</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0</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0</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0</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0</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0</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0</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0</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0</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0</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0</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0</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0</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0</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0</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0</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0</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0</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0</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0</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0</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0</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0</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0</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0</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0</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0</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0</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0</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0</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0</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0</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0</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0</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0</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0</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0</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0</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0</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0</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0</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0</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0</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0</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0</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0</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0</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0</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0</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0</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0</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0</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0</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0</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0</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0</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0</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0</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0</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0</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0</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0</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0</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0</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0</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0</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0</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0</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0</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0</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0</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0</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0</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0</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0</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0</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0</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0</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0</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0</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0</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0</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0</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0</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0</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0</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0</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0</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0</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0</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0</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0</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0</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0</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0</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0</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0</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0</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0</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0</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0</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0</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0</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0</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0</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0</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0</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0</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0</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0</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0</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0</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0</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0</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0</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0</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0</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0</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0</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0</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0</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0</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0</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0</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0</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0</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0</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0</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0</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0</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0</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0</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0</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0</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0</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0</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0</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0</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0</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0</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0</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0</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0</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0</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0</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0</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0</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0</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0</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0</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0</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0</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0</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0</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0</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0</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0</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0</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0</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0</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0</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0</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0</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0</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0</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0</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0</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0</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0</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0</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0</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0</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0</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0</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0</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0</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0</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0</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0</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0</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0</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0</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0</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0</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9">
        <f ca="1">SUMIF(B6:B13,"&lt;&gt;#ref!",B6:B13)</f>
        <v>755</v>
      </c>
      <c r="C2" s="2145" t="s">
        <v>2074</v>
      </c>
      <c r="D2" s="2145" t="s">
        <v>2075</v>
      </c>
      <c r="E2" s="2609">
        <f ca="1">SUMIF(E6:E13,"&lt;&gt;#ref!",E6:E13)</f>
        <v>259.41000000000003</v>
      </c>
      <c r="F2" s="2789"/>
      <c r="G2" s="2789"/>
      <c r="H2" s="2789"/>
      <c r="I2" s="2789"/>
      <c r="J2" s="2789"/>
      <c r="K2" s="2789"/>
      <c r="L2" s="2789"/>
      <c r="M2" s="2789"/>
      <c r="N2" s="2789"/>
      <c r="O2" s="2789"/>
      <c r="P2" s="2789"/>
    </row>
    <row r="3" spans="1:16" ht="15.75">
      <c r="A3" s="2145" t="s">
        <v>2076</v>
      </c>
      <c r="B3" s="2599">
        <f ca="1">ROUND(B2*10000/E2,0)</f>
        <v>29105</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6"/>
      <c r="D5" s="2789"/>
      <c r="E5" s="2608" t="s">
        <v>2079</v>
      </c>
      <c r="F5" s="2789"/>
      <c r="G5" s="2789"/>
      <c r="H5" s="2789"/>
      <c r="I5" s="2789"/>
      <c r="J5" s="2789"/>
      <c r="K5" s="2789"/>
      <c r="L5" s="2789"/>
      <c r="M5" s="2789"/>
      <c r="N5" s="2789"/>
      <c r="O5" s="2789"/>
      <c r="P5" s="2789"/>
    </row>
    <row r="6" spans="1:16" ht="15.75">
      <c r="A6" s="2606" t="s">
        <v>2080</v>
      </c>
      <c r="B6" s="2599">
        <f ca="1">SUMIF(INDIRECT("'"&amp;A6&amp;"'"&amp;"!A:A"),"总价",INDIRECT("'"&amp;A6&amp;"'"&amp;"!B:B"))</f>
        <v>755</v>
      </c>
      <c r="C6" s="2145" t="s">
        <v>2074</v>
      </c>
      <c r="D6" s="2789"/>
      <c r="E6" s="2609">
        <f ca="1">SUMIF(INDIRECT("'"&amp;A6&amp;"'"&amp;"!C:C"),"建筑面积",INDIRECT("'"&amp;A6&amp;"'"&amp;"!D:D"))</f>
        <v>259.41000000000003</v>
      </c>
      <c r="F6" s="2789"/>
      <c r="G6" s="2789"/>
      <c r="H6" s="2789"/>
      <c r="I6" s="2789"/>
      <c r="J6" s="2789"/>
      <c r="K6" s="2789"/>
      <c r="L6" s="2789"/>
      <c r="M6" s="2789"/>
      <c r="N6" s="2789"/>
      <c r="O6" s="2789"/>
      <c r="P6" s="2789"/>
    </row>
    <row r="7" spans="1:16" ht="15.75">
      <c r="A7" s="2606"/>
      <c r="B7" s="2599" t="e">
        <f ca="1">SUMIF(INDIRECT("'"&amp;A7&amp;"'"&amp;"!A:A"),"总价",INDIRECT("'"&amp;A7&amp;"'"&amp;"!B:B"))</f>
        <v>#REF!</v>
      </c>
      <c r="C7" s="2145"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5"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5"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5"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5"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5"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5"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2591</v>
      </c>
      <c r="B1" s="3068" t="s">
        <v>2592</v>
      </c>
      <c r="C1" s="3068" t="s">
        <v>2593</v>
      </c>
      <c r="D1" s="3068" t="s">
        <v>2594</v>
      </c>
      <c r="E1" s="3068" t="s">
        <v>2595</v>
      </c>
      <c r="F1" s="3068" t="s">
        <v>2596</v>
      </c>
      <c r="G1" s="3068" t="s">
        <v>2597</v>
      </c>
      <c r="H1" s="3068" t="s">
        <v>2598</v>
      </c>
      <c r="I1" s="3068" t="s">
        <v>2599</v>
      </c>
      <c r="J1" s="3068" t="s">
        <v>2600</v>
      </c>
      <c r="K1" s="3068" t="s">
        <v>2601</v>
      </c>
      <c r="L1" s="3068" t="s">
        <v>2602</v>
      </c>
      <c r="M1" s="3069" t="s">
        <v>2603</v>
      </c>
    </row>
    <row r="2" spans="1:13" ht="19.5" customHeight="1">
      <c r="A2" s="3071" t="s">
        <v>2604</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2605</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2606</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2607</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2608</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2609</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2610</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2611</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2612</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2613</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2614</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2615</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2616</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2617</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2618</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2619</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2620</v>
      </c>
      <c r="B18" s="3093"/>
      <c r="C18" s="3094"/>
      <c r="D18" s="3094"/>
      <c r="E18" s="3093"/>
      <c r="F18" s="3094"/>
      <c r="G18" s="3094"/>
    </row>
    <row r="19" spans="1:13" ht="19.5" customHeight="1" thickBot="1">
      <c r="A19" s="3091" t="s">
        <v>2621</v>
      </c>
      <c r="B19" s="3096" t="s">
        <v>2622</v>
      </c>
      <c r="C19" s="3096" t="s">
        <v>2623</v>
      </c>
      <c r="D19" s="3097"/>
      <c r="E19" s="3091" t="s">
        <v>2624</v>
      </c>
      <c r="F19" s="3098"/>
      <c r="G19" s="3098"/>
    </row>
    <row r="20" spans="1:13" ht="19.5" customHeight="1">
      <c r="A20" s="3773" t="s">
        <v>2604</v>
      </c>
      <c r="B20" s="3768" t="s">
        <v>2625</v>
      </c>
      <c r="C20" s="3099" t="s">
        <v>2436</v>
      </c>
      <c r="D20" s="3100"/>
      <c r="E20" s="3101">
        <v>1</v>
      </c>
      <c r="F20" s="3102" t="s">
        <v>2437</v>
      </c>
      <c r="G20" s="3102"/>
    </row>
    <row r="21" spans="1:13" ht="19.5" customHeight="1">
      <c r="A21" s="3774"/>
      <c r="B21" s="3767"/>
      <c r="C21" s="3103" t="s">
        <v>2438</v>
      </c>
      <c r="D21" s="3104"/>
      <c r="E21" s="3105">
        <v>1</v>
      </c>
      <c r="F21" s="3102" t="s">
        <v>2439</v>
      </c>
      <c r="G21" s="3102"/>
    </row>
    <row r="22" spans="1:13" ht="19.5" customHeight="1">
      <c r="A22" s="3774"/>
      <c r="B22" s="3767"/>
      <c r="C22" s="3103" t="s">
        <v>2440</v>
      </c>
      <c r="D22" s="3104"/>
      <c r="E22" s="3105">
        <v>0.9</v>
      </c>
      <c r="F22" s="3102" t="s">
        <v>2441</v>
      </c>
      <c r="G22" s="3102"/>
    </row>
    <row r="23" spans="1:13" ht="19.5" customHeight="1">
      <c r="A23" s="3774"/>
      <c r="B23" s="3767"/>
      <c r="C23" s="3103" t="s">
        <v>2442</v>
      </c>
      <c r="D23" s="3104"/>
      <c r="E23" s="3105">
        <v>0.9</v>
      </c>
      <c r="F23" s="3102" t="s">
        <v>2443</v>
      </c>
      <c r="G23" s="3102"/>
    </row>
    <row r="24" spans="1:13" ht="19.5" customHeight="1">
      <c r="A24" s="3774"/>
      <c r="B24" s="3767"/>
      <c r="C24" s="3103" t="s">
        <v>2444</v>
      </c>
      <c r="D24" s="3104"/>
      <c r="E24" s="3105">
        <v>0.8</v>
      </c>
      <c r="F24" s="3102" t="s">
        <v>2445</v>
      </c>
      <c r="G24" s="3102"/>
    </row>
    <row r="25" spans="1:13" ht="19.5" customHeight="1" thickBot="1">
      <c r="A25" s="3775"/>
      <c r="B25" s="3769"/>
      <c r="C25" s="3106" t="s">
        <v>2446</v>
      </c>
      <c r="D25" s="3107"/>
      <c r="E25" s="3108">
        <v>0.8</v>
      </c>
      <c r="F25" s="3102" t="s">
        <v>2447</v>
      </c>
      <c r="G25" s="3102"/>
    </row>
    <row r="26" spans="1:13" ht="19.5" customHeight="1" thickBot="1">
      <c r="A26" s="3109" t="s">
        <v>2626</v>
      </c>
      <c r="B26" s="3110" t="s">
        <v>2625</v>
      </c>
      <c r="C26" s="3111" t="s">
        <v>2627</v>
      </c>
      <c r="D26" s="3112"/>
      <c r="E26" s="3113">
        <v>1</v>
      </c>
      <c r="F26" s="3102" t="s">
        <v>2448</v>
      </c>
      <c r="G26" s="3102"/>
    </row>
    <row r="27" spans="1:13" ht="19.5" customHeight="1">
      <c r="A27" s="3770" t="s">
        <v>2628</v>
      </c>
      <c r="B27" s="3768" t="s">
        <v>2609</v>
      </c>
      <c r="C27" s="3099" t="s">
        <v>2449</v>
      </c>
      <c r="D27" s="3100"/>
      <c r="E27" s="3101">
        <v>1</v>
      </c>
      <c r="F27" s="3102" t="s">
        <v>2450</v>
      </c>
      <c r="G27" s="3102"/>
    </row>
    <row r="28" spans="1:13" ht="19.5" customHeight="1">
      <c r="A28" s="3771"/>
      <c r="B28" s="3767"/>
      <c r="C28" s="3103" t="s">
        <v>2451</v>
      </c>
      <c r="D28" s="3104"/>
      <c r="E28" s="3105">
        <v>1</v>
      </c>
      <c r="F28" s="3102" t="s">
        <v>2452</v>
      </c>
      <c r="G28" s="3102"/>
    </row>
    <row r="29" spans="1:13" ht="19.5" customHeight="1">
      <c r="A29" s="3771"/>
      <c r="B29" s="3767"/>
      <c r="C29" s="3103" t="s">
        <v>2453</v>
      </c>
      <c r="D29" s="3104"/>
      <c r="E29" s="3105">
        <v>0.8</v>
      </c>
      <c r="F29" s="3102" t="s">
        <v>2454</v>
      </c>
      <c r="G29" s="3102"/>
    </row>
    <row r="30" spans="1:13" ht="19.5" customHeight="1">
      <c r="A30" s="3771"/>
      <c r="B30" s="3767"/>
      <c r="C30" s="3103" t="s">
        <v>2455</v>
      </c>
      <c r="D30" s="3104"/>
      <c r="E30" s="3105">
        <v>0.8</v>
      </c>
      <c r="F30" s="3102" t="s">
        <v>2456</v>
      </c>
      <c r="G30" s="3102"/>
    </row>
    <row r="31" spans="1:13" ht="19.5" customHeight="1">
      <c r="A31" s="3771"/>
      <c r="B31" s="3767"/>
      <c r="C31" s="3103" t="s">
        <v>2457</v>
      </c>
      <c r="D31" s="3104"/>
      <c r="E31" s="3105">
        <v>0.8</v>
      </c>
      <c r="F31" s="3102" t="s">
        <v>2458</v>
      </c>
      <c r="G31" s="3102"/>
    </row>
    <row r="32" spans="1:13" ht="19.5" customHeight="1">
      <c r="A32" s="3771"/>
      <c r="B32" s="3767"/>
      <c r="C32" s="3103" t="s">
        <v>2459</v>
      </c>
      <c r="D32" s="3104"/>
      <c r="E32" s="3105">
        <v>0.7</v>
      </c>
      <c r="F32" s="3102" t="s">
        <v>2460</v>
      </c>
      <c r="G32" s="3102"/>
    </row>
    <row r="33" spans="1:7" ht="19.5" customHeight="1">
      <c r="A33" s="3771"/>
      <c r="B33" s="3767"/>
      <c r="C33" s="3103" t="s">
        <v>2461</v>
      </c>
      <c r="D33" s="3104"/>
      <c r="E33" s="3105">
        <v>0.8</v>
      </c>
      <c r="F33" s="3102" t="s">
        <v>2462</v>
      </c>
      <c r="G33" s="3102"/>
    </row>
    <row r="34" spans="1:7" ht="19.5" customHeight="1">
      <c r="A34" s="3771"/>
      <c r="B34" s="3767"/>
      <c r="C34" s="3103" t="s">
        <v>2463</v>
      </c>
      <c r="D34" s="3104"/>
      <c r="E34" s="3105">
        <v>0.6</v>
      </c>
      <c r="F34" s="3102" t="s">
        <v>2464</v>
      </c>
      <c r="G34" s="3102"/>
    </row>
    <row r="35" spans="1:7" ht="19.5" customHeight="1">
      <c r="A35" s="3771"/>
      <c r="B35" s="3767"/>
      <c r="C35" s="3103" t="s">
        <v>2465</v>
      </c>
      <c r="D35" s="3104"/>
      <c r="E35" s="3105">
        <v>0.2</v>
      </c>
      <c r="F35" s="3102" t="s">
        <v>2466</v>
      </c>
      <c r="G35" s="3102"/>
    </row>
    <row r="36" spans="1:7" ht="19.5" customHeight="1">
      <c r="A36" s="3771"/>
      <c r="B36" s="3767"/>
      <c r="C36" s="3103" t="s">
        <v>2467</v>
      </c>
      <c r="D36" s="3104"/>
      <c r="E36" s="3105">
        <v>0.2</v>
      </c>
      <c r="F36" s="3102" t="s">
        <v>2468</v>
      </c>
      <c r="G36" s="3102"/>
    </row>
    <row r="37" spans="1:7" ht="19.5" customHeight="1">
      <c r="A37" s="3771"/>
      <c r="B37" s="3765" t="s">
        <v>2629</v>
      </c>
      <c r="C37" s="3103" t="s">
        <v>2469</v>
      </c>
      <c r="D37" s="3104"/>
      <c r="E37" s="3105">
        <v>0.6</v>
      </c>
      <c r="F37" s="3102" t="s">
        <v>2470</v>
      </c>
      <c r="G37" s="3102"/>
    </row>
    <row r="38" spans="1:7" ht="19.5" customHeight="1">
      <c r="A38" s="3771"/>
      <c r="B38" s="3767"/>
      <c r="C38" s="3103" t="s">
        <v>2471</v>
      </c>
      <c r="D38" s="3104"/>
      <c r="E38" s="3105">
        <v>0.6</v>
      </c>
      <c r="F38" s="3102" t="s">
        <v>2472</v>
      </c>
      <c r="G38" s="3102"/>
    </row>
    <row r="39" spans="1:7" ht="19.5" customHeight="1" thickBot="1">
      <c r="A39" s="3772"/>
      <c r="B39" s="3769"/>
      <c r="C39" s="3106" t="s">
        <v>2473</v>
      </c>
      <c r="D39" s="3107"/>
      <c r="E39" s="3108">
        <v>0.6</v>
      </c>
      <c r="F39" s="3102" t="s">
        <v>2474</v>
      </c>
      <c r="G39" s="3102"/>
    </row>
    <row r="40" spans="1:7" ht="19.5" customHeight="1" thickBot="1">
      <c r="A40" s="3109" t="s">
        <v>2606</v>
      </c>
      <c r="B40" s="3110" t="s">
        <v>2606</v>
      </c>
      <c r="C40" s="3111" t="s">
        <v>2630</v>
      </c>
      <c r="D40" s="3112"/>
      <c r="E40" s="3113">
        <v>1</v>
      </c>
      <c r="F40" s="3102" t="s">
        <v>2475</v>
      </c>
      <c r="G40" s="3102"/>
    </row>
    <row r="41" spans="1:7" ht="19.5" customHeight="1">
      <c r="A41" s="3773" t="s">
        <v>2607</v>
      </c>
      <c r="B41" s="3768" t="s">
        <v>2631</v>
      </c>
      <c r="C41" s="3099" t="s">
        <v>2476</v>
      </c>
      <c r="D41" s="3100"/>
      <c r="E41" s="3101">
        <v>1</v>
      </c>
      <c r="F41" s="3102" t="s">
        <v>2477</v>
      </c>
      <c r="G41" s="3102"/>
    </row>
    <row r="42" spans="1:7" ht="19.5" customHeight="1">
      <c r="A42" s="3774"/>
      <c r="B42" s="3767"/>
      <c r="C42" s="3103" t="s">
        <v>2478</v>
      </c>
      <c r="D42" s="3104"/>
      <c r="E42" s="3105">
        <v>1</v>
      </c>
      <c r="F42" s="3102" t="s">
        <v>2479</v>
      </c>
      <c r="G42" s="3102"/>
    </row>
    <row r="43" spans="1:7" ht="19.5" customHeight="1">
      <c r="A43" s="3774"/>
      <c r="B43" s="3766"/>
      <c r="C43" s="3103" t="s">
        <v>2480</v>
      </c>
      <c r="D43" s="3104"/>
      <c r="E43" s="3105">
        <v>1.5</v>
      </c>
      <c r="F43" s="3102" t="s">
        <v>2481</v>
      </c>
      <c r="G43" s="3102"/>
    </row>
    <row r="44" spans="1:7" ht="19.5" customHeight="1">
      <c r="A44" s="3774"/>
      <c r="B44" s="3114" t="s">
        <v>2632</v>
      </c>
      <c r="C44" s="3103" t="s">
        <v>2633</v>
      </c>
      <c r="D44" s="3104"/>
      <c r="E44" s="3105">
        <v>2</v>
      </c>
      <c r="F44" s="3102" t="s">
        <v>2482</v>
      </c>
      <c r="G44" s="3102"/>
    </row>
    <row r="45" spans="1:7" ht="19.5" customHeight="1">
      <c r="A45" s="3774"/>
      <c r="B45" s="3765" t="s">
        <v>2634</v>
      </c>
      <c r="C45" s="3103" t="s">
        <v>2483</v>
      </c>
      <c r="D45" s="3104"/>
      <c r="E45" s="3105">
        <v>1</v>
      </c>
      <c r="F45" s="3102" t="s">
        <v>2484</v>
      </c>
      <c r="G45" s="3102"/>
    </row>
    <row r="46" spans="1:7" ht="19.5" customHeight="1">
      <c r="A46" s="3774"/>
      <c r="B46" s="3767"/>
      <c r="C46" s="3103" t="s">
        <v>2485</v>
      </c>
      <c r="D46" s="3104"/>
      <c r="E46" s="3105">
        <v>1</v>
      </c>
      <c r="F46" s="3102" t="s">
        <v>2486</v>
      </c>
      <c r="G46" s="3102"/>
    </row>
    <row r="47" spans="1:7" ht="19.5" customHeight="1">
      <c r="A47" s="3774"/>
      <c r="B47" s="3767"/>
      <c r="C47" s="3103" t="s">
        <v>2487</v>
      </c>
      <c r="D47" s="3104"/>
      <c r="E47" s="3105">
        <v>1</v>
      </c>
      <c r="F47" s="3102" t="s">
        <v>2488</v>
      </c>
      <c r="G47" s="3102"/>
    </row>
    <row r="48" spans="1:7" ht="19.5" customHeight="1">
      <c r="A48" s="3774"/>
      <c r="B48" s="3767"/>
      <c r="C48" s="3103" t="s">
        <v>2489</v>
      </c>
      <c r="D48" s="3104"/>
      <c r="E48" s="3105">
        <v>1</v>
      </c>
      <c r="F48" s="3102" t="s">
        <v>2490</v>
      </c>
      <c r="G48" s="3102"/>
    </row>
    <row r="49" spans="1:7" ht="19.5" customHeight="1">
      <c r="A49" s="3774"/>
      <c r="B49" s="3767"/>
      <c r="C49" s="3103" t="s">
        <v>2491</v>
      </c>
      <c r="D49" s="3104"/>
      <c r="E49" s="3105">
        <v>1</v>
      </c>
      <c r="F49" s="3102" t="s">
        <v>2492</v>
      </c>
      <c r="G49" s="3102"/>
    </row>
    <row r="50" spans="1:7" ht="19.5" customHeight="1">
      <c r="A50" s="3774"/>
      <c r="B50" s="3767"/>
      <c r="C50" s="3103" t="s">
        <v>2493</v>
      </c>
      <c r="D50" s="3104"/>
      <c r="E50" s="3105">
        <v>1</v>
      </c>
      <c r="F50" s="3102" t="s">
        <v>2494</v>
      </c>
      <c r="G50" s="3102"/>
    </row>
    <row r="51" spans="1:7" ht="19.5" customHeight="1" thickBot="1">
      <c r="A51" s="3775"/>
      <c r="B51" s="3769"/>
      <c r="C51" s="3106" t="s">
        <v>2495</v>
      </c>
      <c r="D51" s="3107"/>
      <c r="E51" s="3108">
        <v>1</v>
      </c>
      <c r="F51" s="3102" t="s">
        <v>2496</v>
      </c>
      <c r="G51" s="3102"/>
    </row>
    <row r="52" spans="1:7" ht="19.5" customHeight="1">
      <c r="A52" s="3115"/>
      <c r="B52" s="3115"/>
      <c r="C52" s="3115"/>
      <c r="D52" s="3115"/>
      <c r="E52" s="3115"/>
      <c r="F52" s="3115"/>
      <c r="G52" s="3115"/>
    </row>
    <row r="54" spans="1:7" ht="19.5" customHeight="1">
      <c r="A54" s="3116"/>
      <c r="B54" s="3088" t="s">
        <v>2635</v>
      </c>
      <c r="C54" s="3088" t="s">
        <v>2635</v>
      </c>
      <c r="D54" s="3088" t="s">
        <v>2635</v>
      </c>
      <c r="E54" s="3091" t="s">
        <v>2635</v>
      </c>
      <c r="F54" s="3091" t="s">
        <v>2636</v>
      </c>
      <c r="G54" s="3091" t="s">
        <v>2637</v>
      </c>
    </row>
    <row r="55" spans="1:7" ht="19.5" customHeight="1">
      <c r="A55" s="3117"/>
      <c r="B55" s="3091" t="s">
        <v>2604</v>
      </c>
      <c r="C55" s="3091" t="s">
        <v>2604</v>
      </c>
      <c r="D55" s="3091" t="s">
        <v>2604</v>
      </c>
      <c r="E55" s="3088" t="s">
        <v>2605</v>
      </c>
      <c r="F55" s="3088" t="s">
        <v>2607</v>
      </c>
      <c r="G55" s="3088" t="s">
        <v>2638</v>
      </c>
    </row>
    <row r="56" spans="1:7" ht="19.5" customHeight="1">
      <c r="A56" s="3118"/>
      <c r="B56" s="3088">
        <v>1</v>
      </c>
      <c r="C56" s="3088">
        <v>2</v>
      </c>
      <c r="D56" s="3088">
        <v>3</v>
      </c>
      <c r="E56" s="3119" t="s">
        <v>2639</v>
      </c>
      <c r="F56" s="3119" t="s">
        <v>2639</v>
      </c>
      <c r="G56" s="3119" t="s">
        <v>2639</v>
      </c>
    </row>
    <row r="57" spans="1:7" ht="19.5" customHeight="1">
      <c r="A57" s="3120" t="s">
        <v>2592</v>
      </c>
      <c r="B57" s="3088">
        <v>0.7</v>
      </c>
      <c r="C57" s="3088">
        <v>0.4</v>
      </c>
      <c r="D57" s="3088">
        <v>0.3</v>
      </c>
      <c r="E57" s="3119">
        <v>0.3</v>
      </c>
      <c r="F57" s="3088">
        <v>0.3</v>
      </c>
      <c r="G57" s="3088">
        <v>0.2</v>
      </c>
    </row>
    <row r="58" spans="1:7" ht="19.5" customHeight="1">
      <c r="A58" s="3120" t="s">
        <v>2593</v>
      </c>
      <c r="B58" s="3088">
        <v>0.7</v>
      </c>
      <c r="C58" s="3088">
        <v>0.4</v>
      </c>
      <c r="D58" s="3088">
        <v>0.3</v>
      </c>
      <c r="E58" s="3088">
        <v>0.3</v>
      </c>
      <c r="F58" s="3088">
        <v>0.3</v>
      </c>
      <c r="G58" s="3088">
        <v>0.2</v>
      </c>
    </row>
    <row r="59" spans="1:7" ht="19.5" customHeight="1">
      <c r="A59" s="3120" t="s">
        <v>2594</v>
      </c>
      <c r="B59" s="3088">
        <v>0.6</v>
      </c>
      <c r="C59" s="3088">
        <v>0.3</v>
      </c>
      <c r="D59" s="3088">
        <v>0.25</v>
      </c>
      <c r="E59" s="3088">
        <v>0.25</v>
      </c>
      <c r="F59" s="3088">
        <v>0.25</v>
      </c>
      <c r="G59" s="3088">
        <v>0.15</v>
      </c>
    </row>
    <row r="60" spans="1:7" ht="19.5" customHeight="1">
      <c r="A60" s="3120" t="s">
        <v>2595</v>
      </c>
      <c r="B60" s="3088">
        <v>0.6</v>
      </c>
      <c r="C60" s="3088">
        <v>0.3</v>
      </c>
      <c r="D60" s="3088">
        <v>0.25</v>
      </c>
      <c r="E60" s="3088">
        <v>0.25</v>
      </c>
      <c r="F60" s="3088">
        <v>0.25</v>
      </c>
      <c r="G60" s="3088">
        <v>0.15</v>
      </c>
    </row>
    <row r="61" spans="1:7" ht="19.5" customHeight="1">
      <c r="A61" s="3120" t="s">
        <v>2596</v>
      </c>
      <c r="B61" s="3088">
        <v>0.6</v>
      </c>
      <c r="C61" s="3088">
        <v>0.3</v>
      </c>
      <c r="D61" s="3088">
        <v>0.25</v>
      </c>
      <c r="E61" s="3088">
        <v>0.25</v>
      </c>
      <c r="F61" s="3088">
        <v>0.25</v>
      </c>
      <c r="G61" s="3088">
        <v>0.15</v>
      </c>
    </row>
    <row r="62" spans="1:7" ht="19.5" customHeight="1">
      <c r="A62" s="3120" t="s">
        <v>2597</v>
      </c>
      <c r="B62" s="3088">
        <v>0.6</v>
      </c>
      <c r="C62" s="3088">
        <v>0.3</v>
      </c>
      <c r="D62" s="3088">
        <v>0.25</v>
      </c>
      <c r="E62" s="3088">
        <v>0.25</v>
      </c>
      <c r="F62" s="3088">
        <v>0.25</v>
      </c>
      <c r="G62" s="3088">
        <v>0.15</v>
      </c>
    </row>
    <row r="63" spans="1:7" ht="19.5" customHeight="1">
      <c r="A63" s="3120" t="s">
        <v>2598</v>
      </c>
      <c r="B63" s="3088">
        <v>0.6</v>
      </c>
      <c r="C63" s="3088">
        <v>0.3</v>
      </c>
      <c r="D63" s="3088">
        <v>0.25</v>
      </c>
      <c r="E63" s="3088">
        <v>0.25</v>
      </c>
      <c r="F63" s="3088">
        <v>0.25</v>
      </c>
      <c r="G63" s="3088">
        <v>0.15</v>
      </c>
    </row>
    <row r="64" spans="1:7" ht="19.5" customHeight="1">
      <c r="A64" s="3120" t="s">
        <v>2599</v>
      </c>
      <c r="B64" s="3088">
        <v>0.5</v>
      </c>
      <c r="C64" s="3088">
        <v>0.2</v>
      </c>
      <c r="D64" s="3088">
        <v>0.2</v>
      </c>
      <c r="E64" s="3088">
        <v>0.2</v>
      </c>
      <c r="F64" s="3088">
        <v>0.2</v>
      </c>
      <c r="G64" s="3088">
        <v>0.1</v>
      </c>
    </row>
    <row r="65" spans="1:7" ht="19.5" customHeight="1">
      <c r="A65" s="3120" t="s">
        <v>2600</v>
      </c>
      <c r="B65" s="3088">
        <v>0.5</v>
      </c>
      <c r="C65" s="3088">
        <v>0.2</v>
      </c>
      <c r="D65" s="3088">
        <v>0.2</v>
      </c>
      <c r="E65" s="3088">
        <v>0.2</v>
      </c>
      <c r="F65" s="3088">
        <v>0.2</v>
      </c>
      <c r="G65" s="3088">
        <v>0.1</v>
      </c>
    </row>
    <row r="66" spans="1:7" ht="19.5" customHeight="1">
      <c r="A66" s="3120" t="s">
        <v>2601</v>
      </c>
      <c r="B66" s="3088">
        <v>0.5</v>
      </c>
      <c r="C66" s="3088">
        <v>0.2</v>
      </c>
      <c r="D66" s="3088">
        <v>0.2</v>
      </c>
      <c r="E66" s="3088">
        <v>0.2</v>
      </c>
      <c r="F66" s="3088">
        <v>0.2</v>
      </c>
      <c r="G66" s="3088">
        <v>0.1</v>
      </c>
    </row>
    <row r="67" spans="1:7" ht="19.5" customHeight="1">
      <c r="A67" s="3120" t="s">
        <v>2602</v>
      </c>
      <c r="B67" s="3088">
        <v>0.5</v>
      </c>
      <c r="C67" s="3088">
        <v>0.2</v>
      </c>
      <c r="D67" s="3088">
        <v>0.2</v>
      </c>
      <c r="E67" s="3088">
        <v>0.2</v>
      </c>
      <c r="F67" s="3088">
        <v>0.2</v>
      </c>
      <c r="G67" s="3088">
        <v>0.1</v>
      </c>
    </row>
    <row r="68" spans="1:7" ht="19.5" customHeight="1">
      <c r="A68" s="3120" t="s">
        <v>2603</v>
      </c>
      <c r="B68" s="3088">
        <v>0.5</v>
      </c>
      <c r="C68" s="3088">
        <v>0.2</v>
      </c>
      <c r="D68" s="3088">
        <v>0.2</v>
      </c>
      <c r="E68" s="3088">
        <v>0.2</v>
      </c>
      <c r="F68" s="3088">
        <v>0.2</v>
      </c>
      <c r="G68" s="3088">
        <v>0.1</v>
      </c>
    </row>
    <row r="70" spans="1:7" ht="19.5" customHeight="1">
      <c r="A70" s="3121"/>
      <c r="B70" s="3122"/>
      <c r="C70" s="3122"/>
      <c r="D70" s="3122" t="s">
        <v>2640</v>
      </c>
      <c r="E70" s="3122"/>
      <c r="F70" s="3122"/>
    </row>
    <row r="71" spans="1:7" ht="19.5" customHeight="1">
      <c r="A71" s="3114" t="s">
        <v>2641</v>
      </c>
      <c r="B71" s="3114" t="s">
        <v>2642</v>
      </c>
      <c r="C71" s="3114" t="s">
        <v>2643</v>
      </c>
      <c r="D71" s="3114" t="s">
        <v>2644</v>
      </c>
      <c r="E71" s="3114" t="s">
        <v>2645</v>
      </c>
      <c r="F71" s="3114" t="s">
        <v>2646</v>
      </c>
    </row>
    <row r="72" spans="1:7" ht="13.5">
      <c r="A72" s="3114"/>
      <c r="B72" s="3114"/>
      <c r="C72" s="3114" t="s">
        <v>2647</v>
      </c>
      <c r="D72" s="3114"/>
      <c r="E72" s="3114" t="s">
        <v>2618</v>
      </c>
      <c r="F72" s="3114" t="s">
        <v>2618</v>
      </c>
    </row>
    <row r="73" spans="1:7" ht="13.5">
      <c r="A73" s="3114">
        <v>1</v>
      </c>
      <c r="B73" s="3765" t="s">
        <v>2648</v>
      </c>
      <c r="C73" s="3088" t="s">
        <v>2649</v>
      </c>
      <c r="D73" s="3088" t="s">
        <v>2650</v>
      </c>
      <c r="E73" s="3114">
        <v>0.2</v>
      </c>
      <c r="F73" s="3114">
        <v>25</v>
      </c>
    </row>
    <row r="74" spans="1:7" ht="24">
      <c r="A74" s="3114">
        <v>2</v>
      </c>
      <c r="B74" s="3767"/>
      <c r="C74" s="3088" t="s">
        <v>2651</v>
      </c>
      <c r="D74" s="3088" t="s">
        <v>2652</v>
      </c>
      <c r="E74" s="3114">
        <v>0.2</v>
      </c>
      <c r="F74" s="3114">
        <v>25</v>
      </c>
    </row>
    <row r="75" spans="1:7" ht="24">
      <c r="A75" s="3114">
        <v>3</v>
      </c>
      <c r="B75" s="3767"/>
      <c r="C75" s="3088" t="s">
        <v>2653</v>
      </c>
      <c r="D75" s="3088" t="s">
        <v>2654</v>
      </c>
      <c r="E75" s="3114">
        <v>0.2</v>
      </c>
      <c r="F75" s="3114">
        <v>25</v>
      </c>
    </row>
    <row r="76" spans="1:7" ht="13.5">
      <c r="A76" s="3114">
        <v>4</v>
      </c>
      <c r="B76" s="3767"/>
      <c r="C76" s="3088" t="s">
        <v>2655</v>
      </c>
      <c r="D76" s="3088" t="s">
        <v>2656</v>
      </c>
      <c r="E76" s="3114">
        <v>0.15</v>
      </c>
      <c r="F76" s="3114">
        <v>20</v>
      </c>
    </row>
    <row r="77" spans="1:7" ht="24">
      <c r="A77" s="3114">
        <v>5</v>
      </c>
      <c r="B77" s="3767"/>
      <c r="C77" s="3088" t="s">
        <v>2657</v>
      </c>
      <c r="D77" s="3088" t="s">
        <v>2658</v>
      </c>
      <c r="E77" s="3114">
        <v>0.15</v>
      </c>
      <c r="F77" s="3114">
        <v>20</v>
      </c>
    </row>
    <row r="78" spans="1:7" ht="24">
      <c r="A78" s="3114">
        <v>6</v>
      </c>
      <c r="B78" s="3767"/>
      <c r="C78" s="3088" t="s">
        <v>2659</v>
      </c>
      <c r="D78" s="3088" t="s">
        <v>2660</v>
      </c>
      <c r="E78" s="3114">
        <v>0.15</v>
      </c>
      <c r="F78" s="3114">
        <v>20</v>
      </c>
    </row>
    <row r="79" spans="1:7" ht="24">
      <c r="A79" s="3114">
        <v>7</v>
      </c>
      <c r="B79" s="3767"/>
      <c r="C79" s="3088" t="s">
        <v>2661</v>
      </c>
      <c r="D79" s="3088" t="s">
        <v>2662</v>
      </c>
      <c r="E79" s="3114">
        <v>0.15</v>
      </c>
      <c r="F79" s="3114">
        <v>20</v>
      </c>
    </row>
    <row r="80" spans="1:7" ht="24">
      <c r="A80" s="3114">
        <v>8</v>
      </c>
      <c r="B80" s="3767"/>
      <c r="C80" s="3088" t="s">
        <v>2663</v>
      </c>
      <c r="D80" s="3088" t="s">
        <v>2664</v>
      </c>
      <c r="E80" s="3114">
        <v>0.1</v>
      </c>
      <c r="F80" s="3114">
        <v>15</v>
      </c>
    </row>
    <row r="81" spans="1:6" ht="24">
      <c r="A81" s="3114">
        <v>9</v>
      </c>
      <c r="B81" s="3767"/>
      <c r="C81" s="3088" t="s">
        <v>2665</v>
      </c>
      <c r="D81" s="3088" t="s">
        <v>2666</v>
      </c>
      <c r="E81" s="3114">
        <v>0.1</v>
      </c>
      <c r="F81" s="3114">
        <v>15</v>
      </c>
    </row>
    <row r="82" spans="1:6" ht="24">
      <c r="A82" s="3114">
        <v>10</v>
      </c>
      <c r="B82" s="3767"/>
      <c r="C82" s="3088" t="s">
        <v>2667</v>
      </c>
      <c r="D82" s="3088" t="s">
        <v>2668</v>
      </c>
      <c r="E82" s="3114">
        <v>0.1</v>
      </c>
      <c r="F82" s="3114">
        <v>15</v>
      </c>
    </row>
    <row r="83" spans="1:6" ht="24">
      <c r="A83" s="3114">
        <v>11</v>
      </c>
      <c r="B83" s="3767"/>
      <c r="C83" s="3088" t="s">
        <v>2669</v>
      </c>
      <c r="D83" s="3088" t="s">
        <v>2670</v>
      </c>
      <c r="E83" s="3114">
        <v>0.1</v>
      </c>
      <c r="F83" s="3114">
        <v>15</v>
      </c>
    </row>
    <row r="84" spans="1:6" ht="24">
      <c r="A84" s="3114">
        <v>12</v>
      </c>
      <c r="B84" s="3767"/>
      <c r="C84" s="3088" t="s">
        <v>2671</v>
      </c>
      <c r="D84" s="3088" t="s">
        <v>2672</v>
      </c>
      <c r="E84" s="3114">
        <v>0.1</v>
      </c>
      <c r="F84" s="3114">
        <v>15</v>
      </c>
    </row>
    <row r="85" spans="1:6" ht="13.5">
      <c r="A85" s="3114">
        <v>13</v>
      </c>
      <c r="B85" s="3767"/>
      <c r="C85" s="3088" t="s">
        <v>2673</v>
      </c>
      <c r="D85" s="3088" t="s">
        <v>2674</v>
      </c>
      <c r="E85" s="3114">
        <v>0.1</v>
      </c>
      <c r="F85" s="3114">
        <v>15</v>
      </c>
    </row>
    <row r="86" spans="1:6" ht="13.5">
      <c r="A86" s="3114">
        <v>14</v>
      </c>
      <c r="B86" s="3767"/>
      <c r="C86" s="3088" t="s">
        <v>2675</v>
      </c>
      <c r="D86" s="3088" t="s">
        <v>2676</v>
      </c>
      <c r="E86" s="3114">
        <v>0.1</v>
      </c>
      <c r="F86" s="3114">
        <v>15</v>
      </c>
    </row>
    <row r="87" spans="1:6" ht="13.5">
      <c r="A87" s="3114">
        <v>15</v>
      </c>
      <c r="B87" s="3767"/>
      <c r="C87" s="3088" t="s">
        <v>2677</v>
      </c>
      <c r="D87" s="3088" t="s">
        <v>2678</v>
      </c>
      <c r="E87" s="3114">
        <v>0.1</v>
      </c>
      <c r="F87" s="3114">
        <v>15</v>
      </c>
    </row>
    <row r="88" spans="1:6" ht="24">
      <c r="A88" s="3114">
        <v>16</v>
      </c>
      <c r="B88" s="3767"/>
      <c r="C88" s="3088" t="s">
        <v>2679</v>
      </c>
      <c r="D88" s="3088" t="s">
        <v>2680</v>
      </c>
      <c r="E88" s="3114">
        <v>0.1</v>
      </c>
      <c r="F88" s="3114">
        <v>15</v>
      </c>
    </row>
    <row r="89" spans="1:6" ht="24">
      <c r="A89" s="3114">
        <v>17</v>
      </c>
      <c r="B89" s="3766"/>
      <c r="C89" s="3088" t="s">
        <v>2681</v>
      </c>
      <c r="D89" s="3088" t="s">
        <v>2682</v>
      </c>
      <c r="E89" s="3114">
        <v>0.1</v>
      </c>
      <c r="F89" s="3114">
        <v>15</v>
      </c>
    </row>
    <row r="90" spans="1:6" ht="13.5">
      <c r="A90" s="3114">
        <v>18</v>
      </c>
      <c r="B90" s="3765" t="s">
        <v>2683</v>
      </c>
      <c r="C90" s="3088" t="s">
        <v>2684</v>
      </c>
      <c r="D90" s="3088" t="s">
        <v>2685</v>
      </c>
      <c r="E90" s="3114">
        <v>0.2</v>
      </c>
      <c r="F90" s="3114">
        <v>25</v>
      </c>
    </row>
    <row r="91" spans="1:6" ht="24">
      <c r="A91" s="3114">
        <v>19</v>
      </c>
      <c r="B91" s="3767"/>
      <c r="C91" s="3088" t="s">
        <v>2686</v>
      </c>
      <c r="D91" s="3088" t="s">
        <v>2687</v>
      </c>
      <c r="E91" s="3114">
        <v>0.2</v>
      </c>
      <c r="F91" s="3114">
        <v>25</v>
      </c>
    </row>
    <row r="92" spans="1:6" ht="13.5">
      <c r="A92" s="3114">
        <v>20</v>
      </c>
      <c r="B92" s="3767"/>
      <c r="C92" s="3088" t="s">
        <v>2688</v>
      </c>
      <c r="D92" s="3088" t="s">
        <v>2689</v>
      </c>
      <c r="E92" s="3114">
        <v>0.15</v>
      </c>
      <c r="F92" s="3114">
        <v>20</v>
      </c>
    </row>
    <row r="93" spans="1:6" ht="13.5">
      <c r="A93" s="3114">
        <v>21</v>
      </c>
      <c r="B93" s="3767"/>
      <c r="C93" s="3088" t="s">
        <v>2690</v>
      </c>
      <c r="D93" s="3088" t="s">
        <v>2691</v>
      </c>
      <c r="E93" s="3114">
        <v>0.15</v>
      </c>
      <c r="F93" s="3114">
        <v>20</v>
      </c>
    </row>
    <row r="94" spans="1:6" ht="13.5">
      <c r="A94" s="3114">
        <v>22</v>
      </c>
      <c r="B94" s="3767"/>
      <c r="C94" s="3088" t="s">
        <v>2692</v>
      </c>
      <c r="D94" s="3088" t="s">
        <v>2693</v>
      </c>
      <c r="E94" s="3114">
        <v>0.15</v>
      </c>
      <c r="F94" s="3114">
        <v>20</v>
      </c>
    </row>
    <row r="95" spans="1:6" ht="36">
      <c r="A95" s="3114">
        <v>23</v>
      </c>
      <c r="B95" s="3767"/>
      <c r="C95" s="3088" t="s">
        <v>2694</v>
      </c>
      <c r="D95" s="3088" t="s">
        <v>2695</v>
      </c>
      <c r="E95" s="3114">
        <v>0.15</v>
      </c>
      <c r="F95" s="3114">
        <v>20</v>
      </c>
    </row>
    <row r="96" spans="1:6" ht="13.5">
      <c r="A96" s="3114">
        <v>24</v>
      </c>
      <c r="B96" s="3767"/>
      <c r="C96" s="3088" t="s">
        <v>2696</v>
      </c>
      <c r="D96" s="3088" t="s">
        <v>2697</v>
      </c>
      <c r="E96" s="3114">
        <v>0.1</v>
      </c>
      <c r="F96" s="3114">
        <v>15</v>
      </c>
    </row>
    <row r="97" spans="1:6" ht="13.5">
      <c r="A97" s="3114">
        <v>25</v>
      </c>
      <c r="B97" s="3767"/>
      <c r="C97" s="3088" t="s">
        <v>2698</v>
      </c>
      <c r="D97" s="3088" t="s">
        <v>2699</v>
      </c>
      <c r="E97" s="3114">
        <v>0.1</v>
      </c>
      <c r="F97" s="3114">
        <v>15</v>
      </c>
    </row>
    <row r="98" spans="1:6" ht="24">
      <c r="A98" s="3114">
        <v>26</v>
      </c>
      <c r="B98" s="3767"/>
      <c r="C98" s="3088" t="s">
        <v>2700</v>
      </c>
      <c r="D98" s="3088" t="s">
        <v>2701</v>
      </c>
      <c r="E98" s="3114">
        <v>0.1</v>
      </c>
      <c r="F98" s="3114">
        <v>15</v>
      </c>
    </row>
    <row r="99" spans="1:6" ht="24">
      <c r="A99" s="3114">
        <v>27</v>
      </c>
      <c r="B99" s="3767"/>
      <c r="C99" s="3088" t="s">
        <v>2702</v>
      </c>
      <c r="D99" s="3088" t="s">
        <v>2703</v>
      </c>
      <c r="E99" s="3114">
        <v>0.1</v>
      </c>
      <c r="F99" s="3114">
        <v>15</v>
      </c>
    </row>
    <row r="100" spans="1:6" ht="13.5">
      <c r="A100" s="3114">
        <v>28</v>
      </c>
      <c r="B100" s="3767"/>
      <c r="C100" s="3088" t="s">
        <v>2704</v>
      </c>
      <c r="D100" s="3088" t="s">
        <v>2705</v>
      </c>
      <c r="E100" s="3114">
        <v>0.1</v>
      </c>
      <c r="F100" s="3114">
        <v>15</v>
      </c>
    </row>
    <row r="101" spans="1:6" ht="13.5">
      <c r="A101" s="3114">
        <v>29</v>
      </c>
      <c r="B101" s="3767"/>
      <c r="C101" s="3088" t="s">
        <v>2706</v>
      </c>
      <c r="D101" s="3088" t="s">
        <v>2707</v>
      </c>
      <c r="E101" s="3114">
        <v>0.1</v>
      </c>
      <c r="F101" s="3114">
        <v>15</v>
      </c>
    </row>
    <row r="102" spans="1:6" ht="13.5">
      <c r="A102" s="3114">
        <v>30</v>
      </c>
      <c r="B102" s="3767"/>
      <c r="C102" s="3088" t="s">
        <v>2708</v>
      </c>
      <c r="D102" s="3088" t="s">
        <v>2709</v>
      </c>
      <c r="E102" s="3114">
        <v>0.1</v>
      </c>
      <c r="F102" s="3114">
        <v>15</v>
      </c>
    </row>
    <row r="103" spans="1:6" ht="24">
      <c r="A103" s="3114">
        <v>31</v>
      </c>
      <c r="B103" s="3767"/>
      <c r="C103" s="3088" t="s">
        <v>2710</v>
      </c>
      <c r="D103" s="3088" t="s">
        <v>2711</v>
      </c>
      <c r="E103" s="3114">
        <v>0.1</v>
      </c>
      <c r="F103" s="3114">
        <v>15</v>
      </c>
    </row>
    <row r="104" spans="1:6" ht="24">
      <c r="A104" s="3114">
        <v>32</v>
      </c>
      <c r="B104" s="3767"/>
      <c r="C104" s="3088" t="s">
        <v>2712</v>
      </c>
      <c r="D104" s="3088" t="s">
        <v>2713</v>
      </c>
      <c r="E104" s="3114">
        <v>0.1</v>
      </c>
      <c r="F104" s="3114">
        <v>15</v>
      </c>
    </row>
    <row r="105" spans="1:6" ht="24">
      <c r="A105" s="3114">
        <v>33</v>
      </c>
      <c r="B105" s="3767"/>
      <c r="C105" s="3088" t="s">
        <v>2714</v>
      </c>
      <c r="D105" s="3088" t="s">
        <v>2715</v>
      </c>
      <c r="E105" s="3114">
        <v>0.1</v>
      </c>
      <c r="F105" s="3114">
        <v>15</v>
      </c>
    </row>
    <row r="106" spans="1:6" ht="24">
      <c r="A106" s="3114">
        <v>34</v>
      </c>
      <c r="B106" s="3766"/>
      <c r="C106" s="3088" t="s">
        <v>2716</v>
      </c>
      <c r="D106" s="3088" t="s">
        <v>2717</v>
      </c>
      <c r="E106" s="3114">
        <v>0.1</v>
      </c>
      <c r="F106" s="3114">
        <v>15</v>
      </c>
    </row>
    <row r="107" spans="1:6" ht="24">
      <c r="A107" s="3114">
        <v>35</v>
      </c>
      <c r="B107" s="3765" t="s">
        <v>2718</v>
      </c>
      <c r="C107" s="3114" t="s">
        <v>2719</v>
      </c>
      <c r="D107" s="3088" t="s">
        <v>2720</v>
      </c>
      <c r="E107" s="3114">
        <v>0.15</v>
      </c>
      <c r="F107" s="3114">
        <v>20</v>
      </c>
    </row>
    <row r="108" spans="1:6" ht="13.5">
      <c r="A108" s="3114">
        <v>36</v>
      </c>
      <c r="B108" s="3767"/>
      <c r="C108" s="3114" t="s">
        <v>2721</v>
      </c>
      <c r="D108" s="3088" t="s">
        <v>2722</v>
      </c>
      <c r="E108" s="3114">
        <v>0.15</v>
      </c>
      <c r="F108" s="3114">
        <v>20</v>
      </c>
    </row>
    <row r="109" spans="1:6" ht="13.5">
      <c r="A109" s="3114">
        <v>37</v>
      </c>
      <c r="B109" s="3767"/>
      <c r="C109" s="3114" t="s">
        <v>2723</v>
      </c>
      <c r="D109" s="3088" t="s">
        <v>2724</v>
      </c>
      <c r="E109" s="3114">
        <v>0.15</v>
      </c>
      <c r="F109" s="3114">
        <v>20</v>
      </c>
    </row>
    <row r="110" spans="1:6" ht="13.5">
      <c r="A110" s="3114">
        <v>38</v>
      </c>
      <c r="B110" s="3767"/>
      <c r="C110" s="3114" t="s">
        <v>2725</v>
      </c>
      <c r="D110" s="3088" t="s">
        <v>2726</v>
      </c>
      <c r="E110" s="3114">
        <v>0.1</v>
      </c>
      <c r="F110" s="3114">
        <v>15</v>
      </c>
    </row>
    <row r="111" spans="1:6" ht="24">
      <c r="A111" s="3114">
        <v>39</v>
      </c>
      <c r="B111" s="3767"/>
      <c r="C111" s="3114" t="s">
        <v>2727</v>
      </c>
      <c r="D111" s="3088" t="s">
        <v>2728</v>
      </c>
      <c r="E111" s="3114">
        <v>0.1</v>
      </c>
      <c r="F111" s="3114">
        <v>15</v>
      </c>
    </row>
    <row r="112" spans="1:6" ht="24">
      <c r="A112" s="3114">
        <v>40</v>
      </c>
      <c r="B112" s="3766"/>
      <c r="C112" s="3114" t="s">
        <v>2729</v>
      </c>
      <c r="D112" s="3088" t="s">
        <v>2730</v>
      </c>
      <c r="E112" s="3114">
        <v>0.1</v>
      </c>
      <c r="F112" s="3114">
        <v>15</v>
      </c>
    </row>
    <row r="113" spans="1:6" ht="13.5">
      <c r="A113" s="3114">
        <v>41</v>
      </c>
      <c r="B113" s="3764" t="s">
        <v>2731</v>
      </c>
      <c r="C113" s="3114" t="s">
        <v>2732</v>
      </c>
      <c r="D113" s="3088" t="s">
        <v>2733</v>
      </c>
      <c r="E113" s="3114">
        <v>0.1</v>
      </c>
      <c r="F113" s="3114">
        <v>15</v>
      </c>
    </row>
    <row r="114" spans="1:6" ht="13.5">
      <c r="A114" s="3114">
        <v>42</v>
      </c>
      <c r="B114" s="3764"/>
      <c r="C114" s="3114" t="s">
        <v>2734</v>
      </c>
      <c r="D114" s="3088" t="s">
        <v>2735</v>
      </c>
      <c r="E114" s="3114">
        <v>0.1</v>
      </c>
      <c r="F114" s="3114">
        <v>15</v>
      </c>
    </row>
    <row r="115" spans="1:6" ht="24">
      <c r="A115" s="3114">
        <v>43</v>
      </c>
      <c r="B115" s="3764"/>
      <c r="C115" s="3114" t="s">
        <v>2736</v>
      </c>
      <c r="D115" s="3088" t="s">
        <v>2737</v>
      </c>
      <c r="E115" s="3114">
        <v>0.1</v>
      </c>
      <c r="F115" s="3114">
        <v>15</v>
      </c>
    </row>
    <row r="116" spans="1:6" ht="13.5">
      <c r="A116" s="3114">
        <v>44</v>
      </c>
      <c r="B116" s="3765" t="s">
        <v>2738</v>
      </c>
      <c r="C116" s="3114" t="s">
        <v>2739</v>
      </c>
      <c r="D116" s="3088" t="s">
        <v>2740</v>
      </c>
      <c r="E116" s="3114">
        <v>0.1</v>
      </c>
      <c r="F116" s="3114">
        <v>15</v>
      </c>
    </row>
    <row r="117" spans="1:6" ht="24">
      <c r="A117" s="3114">
        <v>45</v>
      </c>
      <c r="B117" s="3766"/>
      <c r="C117" s="3088" t="s">
        <v>2741</v>
      </c>
      <c r="D117" s="3088" t="s">
        <v>2742</v>
      </c>
      <c r="E117" s="3114">
        <v>0.1</v>
      </c>
      <c r="F117" s="3114">
        <v>15</v>
      </c>
    </row>
    <row r="118" spans="1:6" ht="24">
      <c r="A118" s="3114">
        <v>46</v>
      </c>
      <c r="B118" s="3765" t="s">
        <v>2743</v>
      </c>
      <c r="C118" s="3114" t="s">
        <v>2744</v>
      </c>
      <c r="D118" s="3088" t="s">
        <v>2745</v>
      </c>
      <c r="E118" s="3114">
        <v>0.1</v>
      </c>
      <c r="F118" s="3114">
        <v>15</v>
      </c>
    </row>
    <row r="119" spans="1:6" ht="24">
      <c r="A119" s="3114">
        <v>47</v>
      </c>
      <c r="B119" s="3766"/>
      <c r="C119" s="3114" t="s">
        <v>2746</v>
      </c>
      <c r="D119" s="3088" t="s">
        <v>2747</v>
      </c>
      <c r="E119" s="3114">
        <v>0.1</v>
      </c>
      <c r="F119" s="3114">
        <v>15</v>
      </c>
    </row>
    <row r="120" spans="1:6" ht="13.5">
      <c r="A120" s="3114">
        <v>48</v>
      </c>
      <c r="B120" s="3765" t="s">
        <v>2748</v>
      </c>
      <c r="C120" s="3114" t="s">
        <v>2749</v>
      </c>
      <c r="D120" s="3088" t="s">
        <v>2750</v>
      </c>
      <c r="E120" s="3114">
        <v>0.1</v>
      </c>
      <c r="F120" s="3114">
        <v>15</v>
      </c>
    </row>
    <row r="121" spans="1:6" ht="13.5">
      <c r="A121" s="3114">
        <v>49</v>
      </c>
      <c r="B121" s="3766"/>
      <c r="C121" s="3114" t="s">
        <v>2751</v>
      </c>
      <c r="D121" s="3088" t="s">
        <v>2752</v>
      </c>
      <c r="E121" s="3114">
        <v>0.1</v>
      </c>
      <c r="F121" s="3114">
        <v>15</v>
      </c>
    </row>
    <row r="122" spans="1:6" ht="24">
      <c r="A122" s="3114">
        <v>50</v>
      </c>
      <c r="B122" s="3764" t="s">
        <v>2753</v>
      </c>
      <c r="C122" s="3114" t="s">
        <v>2754</v>
      </c>
      <c r="D122" s="3088" t="s">
        <v>2755</v>
      </c>
      <c r="E122" s="3114">
        <v>0.1</v>
      </c>
      <c r="F122" s="3114">
        <v>15</v>
      </c>
    </row>
    <row r="123" spans="1:6" ht="24">
      <c r="A123" s="3114">
        <v>51</v>
      </c>
      <c r="B123" s="3764"/>
      <c r="C123" s="3114" t="s">
        <v>2756</v>
      </c>
      <c r="D123" s="3088" t="s">
        <v>2757</v>
      </c>
      <c r="E123" s="3114">
        <v>0.1</v>
      </c>
      <c r="F123" s="3114">
        <v>15</v>
      </c>
    </row>
    <row r="124" spans="1:6" ht="24">
      <c r="A124" s="3114">
        <v>52</v>
      </c>
      <c r="B124" s="3764" t="s">
        <v>2758</v>
      </c>
      <c r="C124" s="3114" t="s">
        <v>2759</v>
      </c>
      <c r="D124" s="3088" t="s">
        <v>2760</v>
      </c>
      <c r="E124" s="3114">
        <v>0.1</v>
      </c>
      <c r="F124" s="3114">
        <v>15</v>
      </c>
    </row>
    <row r="125" spans="1:6" ht="24">
      <c r="A125" s="3114">
        <v>53</v>
      </c>
      <c r="B125" s="3764"/>
      <c r="C125" s="3114" t="s">
        <v>2761</v>
      </c>
      <c r="D125" s="3088" t="s">
        <v>2762</v>
      </c>
      <c r="E125" s="3114">
        <v>0.1</v>
      </c>
      <c r="F125" s="3114">
        <v>15</v>
      </c>
    </row>
    <row r="126" spans="1:6" ht="13.5">
      <c r="A126" s="3114">
        <v>54</v>
      </c>
      <c r="B126" s="3114" t="s">
        <v>2763</v>
      </c>
      <c r="C126" s="3114" t="s">
        <v>2764</v>
      </c>
      <c r="D126" s="3088" t="s">
        <v>2765</v>
      </c>
      <c r="E126" s="3114">
        <v>0.1</v>
      </c>
      <c r="F126" s="3114">
        <v>15</v>
      </c>
    </row>
    <row r="127" spans="1:6" ht="13.5">
      <c r="A127" s="3114">
        <v>55</v>
      </c>
      <c r="B127" s="3764" t="s">
        <v>2766</v>
      </c>
      <c r="C127" s="3114" t="s">
        <v>2767</v>
      </c>
      <c r="D127" s="3088" t="s">
        <v>2768</v>
      </c>
      <c r="E127" s="3114">
        <v>0.1</v>
      </c>
      <c r="F127" s="3114">
        <v>15</v>
      </c>
    </row>
    <row r="128" spans="1:6" ht="13.5">
      <c r="A128" s="3114">
        <v>56</v>
      </c>
      <c r="B128" s="3764"/>
      <c r="C128" s="3114" t="s">
        <v>2769</v>
      </c>
      <c r="D128" s="3088" t="s">
        <v>2770</v>
      </c>
      <c r="E128" s="3114">
        <v>0.1</v>
      </c>
      <c r="F128" s="3114">
        <v>15</v>
      </c>
    </row>
    <row r="129" spans="1:6" ht="24">
      <c r="A129" s="3114">
        <v>57</v>
      </c>
      <c r="B129" s="3764"/>
      <c r="C129" s="3114" t="s">
        <v>2771</v>
      </c>
      <c r="D129" s="3088" t="s">
        <v>2772</v>
      </c>
      <c r="E129" s="3114">
        <v>0.1</v>
      </c>
      <c r="F129" s="3114">
        <v>15</v>
      </c>
    </row>
    <row r="130" spans="1:6" ht="24">
      <c r="A130" s="3114">
        <v>58</v>
      </c>
      <c r="B130" s="3764" t="s">
        <v>2773</v>
      </c>
      <c r="C130" s="3114" t="s">
        <v>2774</v>
      </c>
      <c r="D130" s="3088" t="s">
        <v>2775</v>
      </c>
      <c r="E130" s="3114">
        <v>0.1</v>
      </c>
      <c r="F130" s="3114">
        <v>15</v>
      </c>
    </row>
    <row r="131" spans="1:6" ht="13.5">
      <c r="A131" s="3114">
        <v>59</v>
      </c>
      <c r="B131" s="3764"/>
      <c r="C131" s="3114" t="s">
        <v>2776</v>
      </c>
      <c r="D131" s="3088" t="s">
        <v>2777</v>
      </c>
      <c r="E131" s="3114">
        <v>0.1</v>
      </c>
      <c r="F131" s="3114">
        <v>15</v>
      </c>
    </row>
    <row r="132" spans="1:6" ht="13.5">
      <c r="A132" s="3114">
        <v>60</v>
      </c>
      <c r="B132" s="3765" t="s">
        <v>2778</v>
      </c>
      <c r="C132" s="3114" t="s">
        <v>2779</v>
      </c>
      <c r="D132" s="3088" t="s">
        <v>2780</v>
      </c>
      <c r="E132" s="3114">
        <v>0.1</v>
      </c>
      <c r="F132" s="3114">
        <v>15</v>
      </c>
    </row>
    <row r="133" spans="1:6" ht="13.5">
      <c r="A133" s="3114">
        <v>61</v>
      </c>
      <c r="B133" s="3766"/>
      <c r="C133" s="3114" t="s">
        <v>2781</v>
      </c>
      <c r="D133" s="3088" t="s">
        <v>2782</v>
      </c>
      <c r="E133" s="3114">
        <v>0.1</v>
      </c>
      <c r="F133" s="3114">
        <v>15</v>
      </c>
    </row>
    <row r="134" spans="1:6" ht="24">
      <c r="A134" s="3114">
        <v>62</v>
      </c>
      <c r="B134" s="3114" t="s">
        <v>2783</v>
      </c>
      <c r="C134" s="3114" t="s">
        <v>2784</v>
      </c>
      <c r="D134" s="3088" t="s">
        <v>2785</v>
      </c>
      <c r="E134" s="3114">
        <v>0.1</v>
      </c>
      <c r="F134" s="3114">
        <v>15</v>
      </c>
    </row>
    <row r="135" spans="1:6" ht="13.5">
      <c r="A135" s="3114">
        <v>63</v>
      </c>
      <c r="B135" s="3764" t="s">
        <v>2786</v>
      </c>
      <c r="C135" s="3114" t="s">
        <v>2787</v>
      </c>
      <c r="D135" s="3088" t="s">
        <v>2788</v>
      </c>
      <c r="E135" s="3114">
        <v>0.1</v>
      </c>
      <c r="F135" s="3114">
        <v>15</v>
      </c>
    </row>
    <row r="136" spans="1:6" ht="13.5">
      <c r="A136" s="3114">
        <v>64</v>
      </c>
      <c r="B136" s="3764"/>
      <c r="C136" s="3114" t="s">
        <v>2789</v>
      </c>
      <c r="D136" s="3088" t="s">
        <v>2790</v>
      </c>
      <c r="E136" s="3114">
        <v>0.1</v>
      </c>
      <c r="F136" s="3114">
        <v>15</v>
      </c>
    </row>
    <row r="137" spans="1:6" ht="13.5">
      <c r="A137" s="3114">
        <v>65</v>
      </c>
      <c r="B137" s="3114" t="s">
        <v>2791</v>
      </c>
      <c r="C137" s="3114" t="s">
        <v>2792</v>
      </c>
      <c r="D137" s="3088" t="s">
        <v>2793</v>
      </c>
      <c r="E137" s="3114">
        <v>0.1</v>
      </c>
      <c r="F137" s="3114">
        <v>15</v>
      </c>
    </row>
    <row r="138" spans="1:6" ht="13.5">
      <c r="A138" s="3114"/>
      <c r="B138" s="3114"/>
      <c r="C138" s="3114"/>
      <c r="D138" s="3114"/>
      <c r="E138" s="3114" t="s">
        <v>2794</v>
      </c>
      <c r="F138" s="3114"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2795</v>
      </c>
      <c r="B1" s="3123"/>
      <c r="C1" s="3123"/>
      <c r="D1" s="3123"/>
      <c r="E1" s="3123"/>
      <c r="F1" s="3123"/>
      <c r="G1" s="3123"/>
      <c r="H1" s="3123"/>
      <c r="I1" s="3123"/>
      <c r="J1" s="3123"/>
      <c r="K1" s="3123"/>
      <c r="L1" s="3123"/>
      <c r="M1" s="3123"/>
      <c r="N1" s="749"/>
    </row>
    <row r="2" spans="1:20">
      <c r="A2" s="3124" t="s">
        <v>2796</v>
      </c>
      <c r="B2" s="3125" t="s">
        <v>2592</v>
      </c>
      <c r="C2" s="3125" t="s">
        <v>2593</v>
      </c>
      <c r="D2" s="3125" t="s">
        <v>2594</v>
      </c>
      <c r="E2" s="3125" t="s">
        <v>2595</v>
      </c>
      <c r="F2" s="3125" t="s">
        <v>2596</v>
      </c>
      <c r="G2" s="3125" t="s">
        <v>2597</v>
      </c>
      <c r="H2" s="3126" t="s">
        <v>2598</v>
      </c>
      <c r="I2" s="3126" t="s">
        <v>2599</v>
      </c>
      <c r="J2" s="3127" t="s">
        <v>2600</v>
      </c>
      <c r="K2" s="3127" t="s">
        <v>2601</v>
      </c>
      <c r="L2" s="3127" t="s">
        <v>2602</v>
      </c>
      <c r="M2" s="3128" t="s">
        <v>2603</v>
      </c>
      <c r="Q2" s="3138" t="s">
        <v>2801</v>
      </c>
      <c r="R2" s="3138" t="s">
        <v>2802</v>
      </c>
      <c r="S2" s="3138" t="s">
        <v>2803</v>
      </c>
      <c r="T2" s="3138" t="s">
        <v>2804</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2797</v>
      </c>
      <c r="B93" s="3123"/>
      <c r="C93" s="3123"/>
      <c r="D93" s="3123"/>
      <c r="E93" s="3123"/>
      <c r="F93" s="3123"/>
      <c r="G93" s="3123"/>
      <c r="H93" s="3123"/>
      <c r="I93" s="3123"/>
      <c r="J93" s="3123"/>
      <c r="K93" s="3123"/>
      <c r="L93" s="3123"/>
      <c r="M93" s="3123"/>
    </row>
    <row r="94" spans="1:20">
      <c r="A94" s="3124" t="s">
        <v>2796</v>
      </c>
      <c r="B94" s="3125" t="s">
        <v>2592</v>
      </c>
      <c r="C94" s="3125" t="s">
        <v>2593</v>
      </c>
      <c r="D94" s="3125" t="s">
        <v>2594</v>
      </c>
      <c r="E94" s="3125" t="s">
        <v>2595</v>
      </c>
      <c r="F94" s="3125" t="s">
        <v>2596</v>
      </c>
      <c r="G94" s="3125" t="s">
        <v>2597</v>
      </c>
      <c r="H94" s="3126" t="s">
        <v>2598</v>
      </c>
      <c r="I94" s="3126" t="s">
        <v>2599</v>
      </c>
      <c r="J94" s="3127" t="s">
        <v>2600</v>
      </c>
      <c r="K94" s="3127" t="s">
        <v>2601</v>
      </c>
      <c r="L94" s="3127" t="s">
        <v>2602</v>
      </c>
      <c r="M94" s="3128" t="s">
        <v>2603</v>
      </c>
      <c r="N94" s="750">
        <f>SUMPRODUCT((A95:A184=ROUNDDOWN(基准地价修正!G3,1))*(B94:M94=基准地价修正!G2)*(B95:M184))</f>
        <v>1</v>
      </c>
      <c r="Q94" s="3138" t="s">
        <v>2801</v>
      </c>
      <c r="R94" s="3138" t="s">
        <v>2802</v>
      </c>
      <c r="S94" s="3138" t="s">
        <v>2803</v>
      </c>
      <c r="T94" s="3138" t="s">
        <v>2804</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2798</v>
      </c>
      <c r="B185" s="3123"/>
      <c r="C185" s="3123"/>
      <c r="D185" s="3123"/>
      <c r="E185" s="3123"/>
      <c r="F185" s="3123"/>
      <c r="G185" s="3123"/>
      <c r="H185" s="3123"/>
      <c r="I185" s="3123"/>
      <c r="J185" s="3123"/>
      <c r="K185" s="3123"/>
      <c r="L185" s="3123"/>
      <c r="M185" s="3123"/>
    </row>
    <row r="186" spans="1:20">
      <c r="A186" s="3124" t="s">
        <v>2796</v>
      </c>
      <c r="B186" s="3125" t="s">
        <v>2592</v>
      </c>
      <c r="C186" s="3125" t="s">
        <v>2593</v>
      </c>
      <c r="D186" s="3125" t="s">
        <v>2594</v>
      </c>
      <c r="E186" s="3125" t="s">
        <v>2595</v>
      </c>
      <c r="F186" s="3125" t="s">
        <v>2596</v>
      </c>
      <c r="G186" s="3125" t="s">
        <v>2597</v>
      </c>
      <c r="H186" s="3126" t="s">
        <v>2598</v>
      </c>
      <c r="I186" s="3126" t="s">
        <v>2599</v>
      </c>
      <c r="J186" s="3127" t="s">
        <v>2600</v>
      </c>
      <c r="K186" s="3127" t="s">
        <v>2601</v>
      </c>
      <c r="L186" s="3127" t="s">
        <v>2602</v>
      </c>
      <c r="M186" s="3128" t="s">
        <v>2603</v>
      </c>
      <c r="Q186" s="3138" t="s">
        <v>2801</v>
      </c>
      <c r="R186" s="3138" t="s">
        <v>2802</v>
      </c>
      <c r="S186" s="3138" t="s">
        <v>2803</v>
      </c>
      <c r="T186" s="3138" t="s">
        <v>2804</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2799</v>
      </c>
      <c r="B277" s="3123"/>
      <c r="C277" s="3123"/>
      <c r="D277" s="3123"/>
      <c r="E277" s="3123"/>
      <c r="F277" s="3123"/>
      <c r="G277" s="3123"/>
      <c r="H277" s="3123"/>
      <c r="I277" s="3123"/>
      <c r="J277" s="3123"/>
      <c r="K277" s="3123"/>
      <c r="L277" s="3123"/>
      <c r="M277" s="3123"/>
    </row>
    <row r="278" spans="1:21">
      <c r="A278" s="3124" t="s">
        <v>2796</v>
      </c>
      <c r="B278" s="3125" t="s">
        <v>2592</v>
      </c>
      <c r="C278" s="3125" t="s">
        <v>2593</v>
      </c>
      <c r="D278" s="3125" t="s">
        <v>2594</v>
      </c>
      <c r="E278" s="3125" t="s">
        <v>2595</v>
      </c>
      <c r="F278" s="3125" t="s">
        <v>2596</v>
      </c>
      <c r="G278" s="3125" t="s">
        <v>2597</v>
      </c>
      <c r="H278" s="3126" t="s">
        <v>2598</v>
      </c>
      <c r="I278" s="3126" t="s">
        <v>2599</v>
      </c>
      <c r="J278" s="3127" t="s">
        <v>2600</v>
      </c>
      <c r="K278" s="3127" t="s">
        <v>2601</v>
      </c>
      <c r="L278" s="3127" t="s">
        <v>2602</v>
      </c>
      <c r="M278" s="3128" t="s">
        <v>2603</v>
      </c>
      <c r="Q278" s="3138" t="s">
        <v>2801</v>
      </c>
      <c r="R278" s="3138" t="s">
        <v>2802</v>
      </c>
      <c r="S278" s="3138" t="s">
        <v>2805</v>
      </c>
      <c r="T278" s="3138" t="s">
        <v>2806</v>
      </c>
      <c r="U278" s="3138" t="s">
        <v>2804</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2800</v>
      </c>
      <c r="B369" s="3136"/>
      <c r="C369" s="3136"/>
      <c r="D369" s="3136"/>
      <c r="E369" s="3136"/>
      <c r="F369" s="3136"/>
      <c r="G369" s="3136"/>
      <c r="H369" s="3136"/>
      <c r="I369" s="3136"/>
      <c r="J369" s="3136"/>
      <c r="K369" s="3136"/>
      <c r="L369" s="3136"/>
      <c r="M369" s="3136"/>
    </row>
    <row r="370" spans="1:20">
      <c r="A370" s="3124" t="s">
        <v>2796</v>
      </c>
      <c r="B370" s="3125" t="s">
        <v>2592</v>
      </c>
      <c r="C370" s="3125" t="s">
        <v>2593</v>
      </c>
      <c r="D370" s="3125" t="s">
        <v>2594</v>
      </c>
      <c r="E370" s="3125" t="s">
        <v>2595</v>
      </c>
      <c r="F370" s="3125" t="s">
        <v>2596</v>
      </c>
      <c r="G370" s="3125" t="s">
        <v>2597</v>
      </c>
      <c r="H370" s="3126" t="s">
        <v>2598</v>
      </c>
      <c r="I370" s="3126" t="s">
        <v>2599</v>
      </c>
      <c r="J370" s="3127" t="s">
        <v>2600</v>
      </c>
      <c r="K370" s="3127" t="s">
        <v>2601</v>
      </c>
      <c r="L370" s="3127" t="s">
        <v>2602</v>
      </c>
      <c r="M370" s="3128" t="s">
        <v>2603</v>
      </c>
      <c r="N370" s="750">
        <f>SUMPRODUCT((A371:A460=ROUNDDOWN(基准地价修正!G3,1))*(B370:M370=基准地价修正!G2)*(B371:M460))</f>
        <v>0.94710000000000005</v>
      </c>
      <c r="Q370" s="3138" t="s">
        <v>2801</v>
      </c>
      <c r="R370" s="3138" t="s">
        <v>2802</v>
      </c>
      <c r="S370" s="3138" t="s">
        <v>2803</v>
      </c>
      <c r="T370" s="3138" t="s">
        <v>2804</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30630</v>
      </c>
      <c r="C2" s="2" t="s">
        <v>106</v>
      </c>
      <c r="D2" s="199"/>
      <c r="E2" s="199"/>
      <c r="F2" s="199"/>
      <c r="G2" s="199"/>
    </row>
    <row r="3" spans="1:7" s="200" customFormat="1" ht="18" customHeight="1" thickBot="1">
      <c r="A3" s="203" t="s">
        <v>58</v>
      </c>
      <c r="B3" s="204">
        <f ca="1">ROUND(B2*10000/'数据-汇总表'!E3,0)</f>
        <v>1180756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v>
      </c>
      <c r="D10" s="845">
        <f>'数据-汇总表'!E6</f>
        <v>259.41000000000003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259.41000000000003</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2238</v>
      </c>
      <c r="D22" s="235">
        <f ca="1">C26</f>
        <v>1.6000000000000001E-3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32</v>
      </c>
      <c r="D25" s="238"/>
      <c r="E25" s="241"/>
      <c r="F25" s="239"/>
      <c r="G25" s="242" t="s">
        <v>83</v>
      </c>
    </row>
    <row r="26" spans="1:7" s="214" customFormat="1">
      <c r="A26" s="780" t="s">
        <v>350</v>
      </c>
      <c r="B26" s="215" t="s">
        <v>422</v>
      </c>
      <c r="C26" s="238">
        <f ca="1">ROUND(IF('数据-取费表'!B22&lt;=1,F21*F22*'数据-取费表'!B23/2,F21*(POWER((1+F22),'数据-取费表'!B23/2)-1)),4)</f>
        <v>1.6000000000000001E-3</v>
      </c>
      <c r="D26" s="238"/>
      <c r="E26" s="241"/>
      <c r="F26" s="239"/>
      <c r="G26" s="243"/>
    </row>
    <row r="27" spans="1:7" s="214" customFormat="1" ht="24.75">
      <c r="A27" s="777" t="s">
        <v>342</v>
      </c>
      <c r="B27" s="244" t="s">
        <v>85</v>
      </c>
      <c r="C27" s="245">
        <f>C28</f>
        <v>4247</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4247</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30491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104</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v>
      </c>
      <c r="D37" s="217">
        <f>'数据-汇总表'!E3</f>
        <v>259.41000000000003</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6</v>
      </c>
      <c r="D41" s="235">
        <f ca="1">C44</f>
        <v>1.6000000000000001E-3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1.6000000000000001E-3</v>
      </c>
      <c r="D44" s="238"/>
      <c r="E44" s="238"/>
      <c r="F44" s="239"/>
      <c r="G44" s="3642"/>
    </row>
    <row r="45" spans="1:7" s="214" customFormat="1" ht="13.5" customHeight="1">
      <c r="A45" s="777" t="s">
        <v>341</v>
      </c>
      <c r="B45" s="244" t="s">
        <v>85</v>
      </c>
      <c r="C45" s="245">
        <f>C46</f>
        <v>24</v>
      </c>
      <c r="D45" s="235">
        <f>C47</f>
        <v>6.0000000000000001E-3</v>
      </c>
      <c r="E45" s="236" t="s">
        <v>102</v>
      </c>
      <c r="F45" s="246"/>
      <c r="G45" s="247" t="s">
        <v>434</v>
      </c>
    </row>
    <row r="46" spans="1:7" s="214" customFormat="1" ht="13.5" customHeight="1">
      <c r="A46" s="780" t="s">
        <v>349</v>
      </c>
      <c r="B46" s="248" t="s">
        <v>427</v>
      </c>
      <c r="C46" s="249">
        <f>ROUND((C33+C39)*F27,0)</f>
        <v>24</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164</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139</v>
      </c>
      <c r="D51" s="232"/>
      <c r="E51" s="232"/>
      <c r="F51" s="264"/>
      <c r="G51" s="234" t="s">
        <v>37</v>
      </c>
    </row>
    <row r="52" spans="1:7" s="208" customFormat="1" ht="16.5" thickBot="1">
      <c r="A52" s="265" t="s">
        <v>38</v>
      </c>
      <c r="B52" s="266"/>
      <c r="C52" s="267">
        <f ca="1">C31+C51</f>
        <v>30630</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估价结果一览表（市场价值不需“结果表-1”）</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883</v>
      </c>
      <c r="E5" s="1491"/>
    </row>
    <row r="6" spans="1:5" ht="15.75">
      <c r="A6" s="1491"/>
      <c r="B6" s="3459"/>
      <c r="C6" s="1494" t="s">
        <v>911</v>
      </c>
      <c r="D6" s="850" t="str">
        <f ca="1">NUMBERSTRING(INT(D5*10000),2)&amp;"元整"</f>
        <v>捌佰捌拾叁万元整</v>
      </c>
      <c r="E6" s="1491"/>
    </row>
    <row r="7" spans="1:5" ht="15.75">
      <c r="A7" s="1491"/>
      <c r="B7" s="3464"/>
      <c r="C7" s="1495" t="s">
        <v>912</v>
      </c>
      <c r="D7" s="851">
        <f ca="1">结果表!H102</f>
        <v>34043</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883</v>
      </c>
      <c r="E13" s="1491"/>
    </row>
    <row r="14" spans="1:5" ht="15.75">
      <c r="A14" s="1491"/>
      <c r="B14" s="3459"/>
      <c r="C14" s="1494" t="s">
        <v>911</v>
      </c>
      <c r="D14" s="850" t="str">
        <f ca="1">NUMBERSTRING(INT(D13*10000),2)&amp;"元整"</f>
        <v>捌佰捌拾叁万元整</v>
      </c>
      <c r="E14" s="1491"/>
    </row>
    <row r="15" spans="1:5" ht="15">
      <c r="A15" s="1491"/>
      <c r="B15" s="3464"/>
      <c r="C15" s="1495" t="s">
        <v>921</v>
      </c>
      <c r="D15" s="859">
        <f ca="1">结果表!H108</f>
        <v>34043</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8" t="s">
        <v>2842</v>
      </c>
      <c r="B1" s="3778"/>
      <c r="C1" s="3778"/>
      <c r="D1" s="3778"/>
      <c r="E1" s="3778"/>
      <c r="F1" s="3778"/>
      <c r="G1" s="3779"/>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76" t="s">
        <v>2869</v>
      </c>
      <c r="B3" s="3227"/>
      <c r="C3" s="3228" t="s">
        <v>2808</v>
      </c>
      <c r="D3" s="3228" t="s">
        <v>2870</v>
      </c>
      <c r="E3" s="3228" t="s">
        <v>2810</v>
      </c>
      <c r="F3" s="3228" t="s">
        <v>2871</v>
      </c>
      <c r="G3" s="3228" t="s">
        <v>2628</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77"/>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0" t="s">
        <v>3184</v>
      </c>
      <c r="B1" s="3780"/>
    </row>
    <row r="2" spans="1:7" ht="14.25" thickBot="1">
      <c r="A2" s="3252"/>
      <c r="B2" s="3252"/>
    </row>
    <row r="3" spans="1:7" ht="14.25" thickBot="1">
      <c r="A3" s="3252"/>
      <c r="B3" s="3252"/>
      <c r="C3" s="3253" t="s">
        <v>2808</v>
      </c>
      <c r="D3" s="3253" t="s">
        <v>2870</v>
      </c>
      <c r="E3" s="3253" t="s">
        <v>2810</v>
      </c>
      <c r="F3" s="3253" t="s">
        <v>2871</v>
      </c>
      <c r="G3" s="3253" t="s">
        <v>2628</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81" t="s">
        <v>3235</v>
      </c>
      <c r="B1" s="3781"/>
      <c r="C1" s="3781"/>
      <c r="D1" s="3781"/>
      <c r="E1" s="3781"/>
      <c r="F1" s="3782"/>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18">
        <f>基准地价修正!G23</f>
        <v>44931</v>
      </c>
      <c r="B1" s="3207" t="s">
        <v>2841</v>
      </c>
      <c r="C1" s="3208"/>
      <c r="D1" s="3208"/>
      <c r="E1" s="3208"/>
      <c r="F1" s="3208"/>
      <c r="G1" s="3208"/>
      <c r="H1" s="3208"/>
      <c r="I1" s="3208"/>
      <c r="J1" s="3161"/>
      <c r="K1" s="3208" t="s">
        <v>454</v>
      </c>
      <c r="L1" s="3208"/>
      <c r="M1" s="3208"/>
      <c r="N1" s="3208"/>
      <c r="O1" s="3208"/>
      <c r="P1" s="3208"/>
      <c r="Q1" s="3161"/>
      <c r="R1" s="3783" t="s">
        <v>456</v>
      </c>
      <c r="S1" s="3784"/>
      <c r="T1" s="3784"/>
      <c r="U1" s="3784"/>
      <c r="V1" s="3784"/>
      <c r="W1" s="3784"/>
      <c r="X1" s="3161"/>
      <c r="Y1" s="3783" t="s">
        <v>457</v>
      </c>
      <c r="Z1" s="3784"/>
      <c r="AA1" s="3784"/>
      <c r="AB1" s="3784"/>
      <c r="AC1" s="3784"/>
      <c r="AD1" s="3784"/>
    </row>
    <row r="2" spans="1:30" s="3139" customFormat="1" ht="14.25" thickBot="1">
      <c r="B2" s="3140"/>
      <c r="C2" s="3141"/>
      <c r="D2" s="3142" t="s">
        <v>2807</v>
      </c>
      <c r="E2" s="3143" t="s">
        <v>2808</v>
      </c>
      <c r="F2" s="3143" t="s">
        <v>2809</v>
      </c>
      <c r="G2" s="3143" t="s">
        <v>2810</v>
      </c>
      <c r="H2" s="3143" t="s">
        <v>2811</v>
      </c>
      <c r="I2" s="3143" t="s">
        <v>2628</v>
      </c>
      <c r="J2" s="3144"/>
      <c r="K2" s="3142" t="s">
        <v>2807</v>
      </c>
      <c r="L2" s="3143" t="s">
        <v>2808</v>
      </c>
      <c r="M2" s="3143" t="s">
        <v>2809</v>
      </c>
      <c r="N2" s="3143" t="s">
        <v>2810</v>
      </c>
      <c r="O2" s="3143" t="s">
        <v>2812</v>
      </c>
      <c r="P2" s="3143" t="s">
        <v>2628</v>
      </c>
      <c r="Q2" s="3144"/>
      <c r="R2" s="3142" t="s">
        <v>2807</v>
      </c>
      <c r="S2" s="3143" t="s">
        <v>2808</v>
      </c>
      <c r="T2" s="3143" t="s">
        <v>2809</v>
      </c>
      <c r="U2" s="3143" t="s">
        <v>2813</v>
      </c>
      <c r="V2" s="3143" t="s">
        <v>2814</v>
      </c>
      <c r="W2" s="3143" t="s">
        <v>2628</v>
      </c>
      <c r="X2" s="3144"/>
      <c r="Y2" s="3142" t="s">
        <v>2807</v>
      </c>
      <c r="Z2" s="3143" t="s">
        <v>2808</v>
      </c>
      <c r="AA2" s="3143" t="s">
        <v>2809</v>
      </c>
      <c r="AB2" s="3143" t="s">
        <v>2815</v>
      </c>
      <c r="AC2" s="3143" t="s">
        <v>2814</v>
      </c>
      <c r="AD2" s="3143" t="s">
        <v>2628</v>
      </c>
    </row>
    <row r="3" spans="1:30" s="3157" customFormat="1" ht="12.75">
      <c r="A3" s="3145" t="s">
        <v>2816</v>
      </c>
      <c r="B3" s="3146"/>
      <c r="C3" s="3147"/>
      <c r="D3" s="3147">
        <f>ROUND(AVERAGEIF(D4:D13,"&lt;&gt;0"),2)</f>
        <v>0.84</v>
      </c>
      <c r="E3" s="3147">
        <f t="shared" ref="E3:H3" si="0">ROUND(AVERAGEIF(E4:E13,"&lt;&gt;0"),2)</f>
        <v>0.35</v>
      </c>
      <c r="F3" s="3147">
        <f t="shared" si="0"/>
        <v>0.15</v>
      </c>
      <c r="G3" s="3147">
        <f t="shared" si="0"/>
        <v>0.92</v>
      </c>
      <c r="H3" s="3147">
        <f t="shared" si="0"/>
        <v>0.68</v>
      </c>
      <c r="I3" s="3147">
        <f>F3</f>
        <v>0.15</v>
      </c>
      <c r="J3" s="3148"/>
      <c r="K3" s="3149">
        <f>ROUND(AVERAGEIF(K4:K13,"&lt;&gt;0"),4)</f>
        <v>8.3999999999999995E-3</v>
      </c>
      <c r="L3" s="3150">
        <f t="shared" ref="L3:O3" si="1">ROUND(AVERAGEIF(L4:L13,"&lt;&gt;0"),4)</f>
        <v>3.5000000000000001E-3</v>
      </c>
      <c r="M3" s="3150">
        <f t="shared" si="1"/>
        <v>1.5E-3</v>
      </c>
      <c r="N3" s="3150">
        <f t="shared" si="1"/>
        <v>9.1999999999999998E-3</v>
      </c>
      <c r="O3" s="3150">
        <f t="shared" si="1"/>
        <v>6.7999999999999996E-3</v>
      </c>
      <c r="P3" s="3150">
        <f>M3</f>
        <v>1.5E-3</v>
      </c>
      <c r="Q3" s="3148"/>
      <c r="R3" s="3151">
        <f>ROUND(SUMPRODUCT(PRODUCT(1+K4:K13)),4)</f>
        <v>1.0602</v>
      </c>
      <c r="S3" s="3152">
        <f t="shared" ref="S3:V3" si="2">ROUND(SUMPRODUCT(PRODUCT(1+L4:L13)),4)</f>
        <v>1.0246</v>
      </c>
      <c r="T3" s="3152">
        <f t="shared" si="2"/>
        <v>1.0107999999999999</v>
      </c>
      <c r="U3" s="3152">
        <f t="shared" si="2"/>
        <v>1.0662</v>
      </c>
      <c r="V3" s="3152">
        <f t="shared" si="2"/>
        <v>1.0485</v>
      </c>
      <c r="W3" s="3151">
        <f>T3</f>
        <v>1.0107999999999999</v>
      </c>
      <c r="X3" s="3148"/>
      <c r="Y3" s="3153">
        <f>ROUND(AVERAGEIF(Y5:Y13,"&lt;&gt;0"),4)</f>
        <v>8.8000000000000005E-3</v>
      </c>
      <c r="Z3" s="3154">
        <f t="shared" ref="Z3:AC3" si="3">ROUND(AVERAGEIF(Z5:Z13,"&lt;&gt;0"),4)</f>
        <v>3.5999999999999999E-3</v>
      </c>
      <c r="AA3" s="3155">
        <f t="shared" si="3"/>
        <v>8.0000000000000004E-4</v>
      </c>
      <c r="AB3" s="3153">
        <f t="shared" si="3"/>
        <v>9.5999999999999992E-3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2817</v>
      </c>
      <c r="B5" s="3173">
        <v>2023</v>
      </c>
      <c r="C5" s="3174">
        <v>1</v>
      </c>
      <c r="D5" s="3175">
        <v>0</v>
      </c>
      <c r="E5" s="3175">
        <v>0</v>
      </c>
      <c r="F5" s="3175">
        <v>0</v>
      </c>
      <c r="G5" s="3175">
        <v>0</v>
      </c>
      <c r="H5" s="3175">
        <v>0</v>
      </c>
      <c r="I5" s="3176">
        <f t="shared" ref="I5:I13" si="4">F5</f>
        <v>0</v>
      </c>
      <c r="J5" s="3177"/>
      <c r="K5" s="3178">
        <f t="shared" ref="K5:O13" si="5">D5/100</f>
        <v>0</v>
      </c>
      <c r="L5" s="3168">
        <f t="shared" si="5"/>
        <v>0</v>
      </c>
      <c r="M5" s="3168">
        <f t="shared" si="5"/>
        <v>0</v>
      </c>
      <c r="N5" s="3168">
        <f t="shared" si="5"/>
        <v>0</v>
      </c>
      <c r="O5" s="3168">
        <f t="shared" si="5"/>
        <v>0</v>
      </c>
      <c r="P5" s="3168">
        <f>M5</f>
        <v>0</v>
      </c>
      <c r="Q5" s="3177"/>
      <c r="R5" s="3179">
        <f>ROUND(IF([2]项目基本情况!B8="出让",SUMPRODUCT(PRODUCT(1+K5:K13)),SUMPRODUCT(PRODUCT(1+K5:K12))),4)</f>
        <v>1.05</v>
      </c>
      <c r="S5" s="3179">
        <f>ROUND(IF([2]项目基本情况!B8="出让",SUMPRODUCT(PRODUCT(1+L5:L13)),SUMPRODUCT(PRODUCT(1+L5:L12))),4)</f>
        <v>1.0229999999999999</v>
      </c>
      <c r="T5" s="3179">
        <f>ROUND(IF([2]项目基本情况!B8="出让",SUMPRODUCT(PRODUCT(1+M5:M13)),SUMPRODUCT(PRODUCT(1+M5:M12))),4)</f>
        <v>1.0134000000000001</v>
      </c>
      <c r="U5" s="3179">
        <f>ROUND(IF([2]项目基本情况!B8="出让",SUMPRODUCT(PRODUCT(1+N5:N13)),SUMPRODUCT(PRODUCT(1+N5:N12))),4)</f>
        <v>1.0545</v>
      </c>
      <c r="V5" s="3179">
        <f>ROUND(IF([2]项目基本情况!B8="出让",SUMPRODUCT(PRODUCT(1+O5:O13)),SUMPRODUCT(PRODUCT(1+O5:O12))),4)</f>
        <v>1.0447</v>
      </c>
      <c r="W5" s="3179">
        <f>T5</f>
        <v>1.0134000000000001</v>
      </c>
      <c r="X5" s="3177"/>
      <c r="Y5" s="3180">
        <f>IF(D5=0,0,ROUND(AVERAGE(D5:D13)/100,4))</f>
        <v>0</v>
      </c>
      <c r="Z5" s="3180">
        <f t="shared" ref="Z5:AC5" si="6">IF(E5=0,0,ROUND(AVERAGE(E5:E13)/100,4))</f>
        <v>0</v>
      </c>
      <c r="AA5" s="3180">
        <f t="shared" si="6"/>
        <v>0</v>
      </c>
      <c r="AB5" s="3180">
        <f t="shared" si="6"/>
        <v>0</v>
      </c>
      <c r="AC5" s="3180">
        <f t="shared" si="6"/>
        <v>0</v>
      </c>
      <c r="AD5" s="3180">
        <f t="shared" ref="AD5:AD12" si="7">AA5</f>
        <v>0</v>
      </c>
    </row>
    <row r="6" spans="1:30" s="3182" customFormat="1" ht="12.75">
      <c r="A6" s="3172" t="s">
        <v>2818</v>
      </c>
      <c r="B6" s="3173">
        <v>2022</v>
      </c>
      <c r="C6" s="3174">
        <v>4</v>
      </c>
      <c r="D6" s="3175">
        <v>0</v>
      </c>
      <c r="E6" s="3175">
        <v>0</v>
      </c>
      <c r="F6" s="3175">
        <v>0</v>
      </c>
      <c r="G6" s="3175">
        <v>0</v>
      </c>
      <c r="H6" s="3175">
        <v>0</v>
      </c>
      <c r="I6" s="3176">
        <f t="shared" si="4"/>
        <v>0</v>
      </c>
      <c r="J6" s="3177"/>
      <c r="K6" s="3178">
        <f t="shared" si="5"/>
        <v>0</v>
      </c>
      <c r="L6" s="3168">
        <f t="shared" si="5"/>
        <v>0</v>
      </c>
      <c r="M6" s="3168">
        <f t="shared" si="5"/>
        <v>0</v>
      </c>
      <c r="N6" s="3168">
        <f t="shared" si="5"/>
        <v>0</v>
      </c>
      <c r="O6" s="3168">
        <f t="shared" si="5"/>
        <v>0</v>
      </c>
      <c r="P6" s="3168">
        <f t="shared" ref="P6:P13" si="8">M6</f>
        <v>0</v>
      </c>
      <c r="Q6" s="3177"/>
      <c r="R6" s="3179">
        <f>ROUND(IF([2]项目基本情况!B8="出让",SUMPRODUCT(PRODUCT(1+K6:K13)),SUMPRODUCT(PRODUCT(1+K6:K12))),4)</f>
        <v>1.05</v>
      </c>
      <c r="S6" s="3179">
        <f>ROUND(IF([2]项目基本情况!B8="出让",SUMPRODUCT(PRODUCT(1+L6:L13)),SUMPRODUCT(PRODUCT(1+L6:L12))),4)</f>
        <v>1.0229999999999999</v>
      </c>
      <c r="T6" s="3179">
        <f>ROUND(IF([2]项目基本情况!B8="出让",SUMPRODUCT(PRODUCT(1+M6:M13)),SUMPRODUCT(PRODUCT(1+M6:M12))),4)</f>
        <v>1.0134000000000001</v>
      </c>
      <c r="U6" s="3179">
        <f>ROUND(IF([2]项目基本情况!B8="出让",SUMPRODUCT(PRODUCT(1+N6:N13)),SUMPRODUCT(PRODUCT(1+N6:N12))),4)</f>
        <v>1.0545</v>
      </c>
      <c r="V6" s="3179">
        <f>ROUND(IF([2]项目基本情况!B8="出让",SUMPRODUCT(PRODUCT(1+O6:O13)),SUMPRODUCT(PRODUCT(1+O6:O12))),4)</f>
        <v>1.0447</v>
      </c>
      <c r="W6" s="3179">
        <f t="shared" ref="W6:W13" si="9">T6</f>
        <v>1.0134000000000001</v>
      </c>
      <c r="X6" s="3177"/>
      <c r="Y6" s="3180">
        <f>IF(D6=0,0,ROUND(AVERAGE(D6:D14)/100,4))</f>
        <v>0</v>
      </c>
      <c r="Z6" s="3180">
        <f t="shared" ref="Z6:AC6" si="10">IF(E6=0,0,ROUND(AVERAGE(E6:E13)/100,4))</f>
        <v>0</v>
      </c>
      <c r="AA6" s="3180">
        <f t="shared" si="10"/>
        <v>0</v>
      </c>
      <c r="AB6" s="3180">
        <f t="shared" si="10"/>
        <v>0</v>
      </c>
      <c r="AC6" s="3180">
        <f t="shared" si="10"/>
        <v>0</v>
      </c>
      <c r="AD6" s="3180">
        <f t="shared" si="7"/>
        <v>0</v>
      </c>
    </row>
    <row r="7" spans="1:30" s="3192" customFormat="1" ht="12.75">
      <c r="A7" s="3183" t="s">
        <v>3358</v>
      </c>
      <c r="B7" s="3184">
        <v>2022</v>
      </c>
      <c r="C7" s="3185">
        <v>3</v>
      </c>
      <c r="D7" s="3186">
        <v>0.66</v>
      </c>
      <c r="E7" s="3186">
        <v>0.32</v>
      </c>
      <c r="F7" s="3186">
        <v>0.23</v>
      </c>
      <c r="G7" s="3186">
        <v>0.72</v>
      </c>
      <c r="H7" s="3187">
        <v>0.63</v>
      </c>
      <c r="I7" s="3188">
        <f t="shared" si="4"/>
        <v>0.23</v>
      </c>
      <c r="J7" s="3189"/>
      <c r="K7" s="3190">
        <f t="shared" si="5"/>
        <v>6.6E-3</v>
      </c>
      <c r="L7" s="3191">
        <f t="shared" si="5"/>
        <v>3.2000000000000002E-3</v>
      </c>
      <c r="M7" s="3191">
        <f t="shared" si="5"/>
        <v>2.3E-3</v>
      </c>
      <c r="N7" s="3191">
        <f t="shared" si="5"/>
        <v>7.1999999999999998E-3</v>
      </c>
      <c r="O7" s="3191">
        <f t="shared" si="5"/>
        <v>6.3E-3</v>
      </c>
      <c r="P7" s="3191">
        <f t="shared" si="8"/>
        <v>2.3E-3</v>
      </c>
      <c r="Q7" s="3189"/>
      <c r="R7" s="3189">
        <f>ROUND(IF([2]项目基本情况!B8="出让",SUMPRODUCT(PRODUCT(1+K7:K13)),SUMPRODUCT(PRODUCT(1+K7:K12))),4)</f>
        <v>1.05</v>
      </c>
      <c r="S7" s="3189">
        <f>ROUND(IF([2]项目基本情况!B8="出让",SUMPRODUCT(PRODUCT(1+L7:L13)),SUMPRODUCT(PRODUCT(1+L7:L12))),4)</f>
        <v>1.0229999999999999</v>
      </c>
      <c r="T7" s="3189">
        <f>ROUND(IF([2]项目基本情况!B8="出让",SUMPRODUCT(PRODUCT(1+M7:M13)),SUMPRODUCT(PRODUCT(1+M7:M12))),4)</f>
        <v>1.0134000000000001</v>
      </c>
      <c r="U7" s="3189">
        <f>ROUND(IF([2]项目基本情况!B8="出让",SUMPRODUCT(PRODUCT(1+N7:N13)),SUMPRODUCT(PRODUCT(1+N7:N12))),4)</f>
        <v>1.0545</v>
      </c>
      <c r="V7" s="3189">
        <f>ROUND(IF([2]项目基本情况!B8="出让",SUMPRODUCT(PRODUCT(1+O7:O13)),SUMPRODUCT(PRODUCT(1+O7:O12))),4)</f>
        <v>1.0447</v>
      </c>
      <c r="W7" s="3189">
        <f t="shared" si="9"/>
        <v>1.0134000000000001</v>
      </c>
      <c r="X7" s="3189"/>
      <c r="Y7" s="3191">
        <f>IF(D7=0,0,ROUND(AVERAGE(D7:D13)/100,4))</f>
        <v>8.3999999999999995E-3</v>
      </c>
      <c r="Z7" s="3191">
        <f t="shared" ref="Z7:AC7" si="11">IF(E7=0,0,ROUND(AVERAGE(E7:E13)/100,4))</f>
        <v>3.5000000000000001E-3</v>
      </c>
      <c r="AA7" s="3191">
        <f t="shared" si="11"/>
        <v>1.5E-3</v>
      </c>
      <c r="AB7" s="3191">
        <f t="shared" si="11"/>
        <v>9.1999999999999998E-3</v>
      </c>
      <c r="AC7" s="3191">
        <f t="shared" si="11"/>
        <v>6.7999999999999996E-3</v>
      </c>
      <c r="AD7" s="3191">
        <f t="shared" si="7"/>
        <v>1.5E-3</v>
      </c>
    </row>
    <row r="8" spans="1:30" s="3181" customFormat="1" ht="12.75">
      <c r="A8" s="3172" t="s">
        <v>3359</v>
      </c>
      <c r="B8" s="3173">
        <v>2022</v>
      </c>
      <c r="C8" s="3174">
        <v>2</v>
      </c>
      <c r="D8" s="3175">
        <v>0.93</v>
      </c>
      <c r="E8" s="3175">
        <v>0.15</v>
      </c>
      <c r="F8" s="3175">
        <v>0.01</v>
      </c>
      <c r="G8" s="3175">
        <v>1.05</v>
      </c>
      <c r="H8" s="3193">
        <v>1.08</v>
      </c>
      <c r="I8" s="3176">
        <f t="shared" si="4"/>
        <v>0.01</v>
      </c>
      <c r="J8" s="3177"/>
      <c r="K8" s="3178">
        <f t="shared" si="5"/>
        <v>9.300000000000001E-3</v>
      </c>
      <c r="L8" s="3168">
        <f t="shared" si="5"/>
        <v>1.5E-3</v>
      </c>
      <c r="M8" s="3168">
        <f t="shared" si="5"/>
        <v>1E-4</v>
      </c>
      <c r="N8" s="3168">
        <f t="shared" si="5"/>
        <v>1.0500000000000001E-2</v>
      </c>
      <c r="O8" s="3168">
        <f t="shared" si="5"/>
        <v>1.0800000000000001E-2</v>
      </c>
      <c r="P8" s="3168">
        <f t="shared" si="8"/>
        <v>1E-4</v>
      </c>
      <c r="Q8" s="3177"/>
      <c r="R8" s="3179">
        <f>ROUND(IF([2]项目基本情况!B8="出让",SUMPRODUCT(PRODUCT(1+K8:K13)),SUMPRODUCT(PRODUCT(1+K8:K12))),4)</f>
        <v>1.0430999999999999</v>
      </c>
      <c r="S8" s="3179">
        <f>ROUND(IF([2]项目基本情况!B8="出让",SUMPRODUCT(PRODUCT(1+L8:L13)),SUMPRODUCT(PRODUCT(1+L8:L12))),4)</f>
        <v>1.0197000000000001</v>
      </c>
      <c r="T8" s="3179">
        <f>ROUND(IF([2]项目基本情况!B8="出让",SUMPRODUCT(PRODUCT(1+M8:M13)),SUMPRODUCT(PRODUCT(1+M8:M12))),4)</f>
        <v>1.0109999999999999</v>
      </c>
      <c r="U8" s="3179">
        <f>ROUND(IF([2]项目基本情况!B8="出让",SUMPRODUCT(PRODUCT(1+N8:N13)),SUMPRODUCT(PRODUCT(1+N8:N12))),4)</f>
        <v>1.0468999999999999</v>
      </c>
      <c r="V8" s="3179">
        <f>ROUND(IF([2]项目基本情况!B8="出让",SUMPRODUCT(PRODUCT(1+O8:O13)),SUMPRODUCT(PRODUCT(1+O8:O12))),4)</f>
        <v>1.0382</v>
      </c>
      <c r="W8" s="3179">
        <f t="shared" si="9"/>
        <v>1.0109999999999999</v>
      </c>
      <c r="X8" s="3177"/>
      <c r="Y8" s="3180">
        <f>IF(D8=0,0,ROUND(AVERAGE(D8:D13)/100,4))</f>
        <v>8.6999999999999994E-3</v>
      </c>
      <c r="Z8" s="3180">
        <f t="shared" ref="Z8:AC8" si="12">IF(E8=0,0,ROUND(AVERAGE(E8:E13)/100,4))</f>
        <v>3.5000000000000001E-3</v>
      </c>
      <c r="AA8" s="3180">
        <f t="shared" si="12"/>
        <v>1.4E-3</v>
      </c>
      <c r="AB8" s="3180">
        <f t="shared" si="12"/>
        <v>9.4999999999999998E-3</v>
      </c>
      <c r="AC8" s="3180">
        <f t="shared" si="12"/>
        <v>6.8999999999999999E-3</v>
      </c>
      <c r="AD8" s="3180">
        <f t="shared" si="7"/>
        <v>1.4E-3</v>
      </c>
    </row>
    <row r="9" spans="1:30" s="3181" customFormat="1" ht="12.75">
      <c r="A9" s="3172" t="s">
        <v>2819</v>
      </c>
      <c r="B9" s="3173">
        <v>2022</v>
      </c>
      <c r="C9" s="3174">
        <v>1</v>
      </c>
      <c r="D9" s="3175">
        <v>0.89</v>
      </c>
      <c r="E9" s="3175">
        <v>0.44</v>
      </c>
      <c r="F9" s="3175">
        <v>0.37</v>
      </c>
      <c r="G9" s="3175">
        <v>0.96</v>
      </c>
      <c r="H9" s="3193">
        <v>0.64</v>
      </c>
      <c r="I9" s="3176">
        <f t="shared" si="4"/>
        <v>0.37</v>
      </c>
      <c r="J9" s="3177"/>
      <c r="K9" s="3178">
        <f t="shared" si="5"/>
        <v>8.8999999999999999E-3</v>
      </c>
      <c r="L9" s="3168">
        <f t="shared" si="5"/>
        <v>4.4000000000000003E-3</v>
      </c>
      <c r="M9" s="3168">
        <f t="shared" si="5"/>
        <v>3.7000000000000002E-3</v>
      </c>
      <c r="N9" s="3168">
        <f t="shared" si="5"/>
        <v>9.5999999999999992E-3</v>
      </c>
      <c r="O9" s="3168">
        <f t="shared" si="5"/>
        <v>6.4000000000000003E-3</v>
      </c>
      <c r="P9" s="3168">
        <f t="shared" si="8"/>
        <v>3.7000000000000002E-3</v>
      </c>
      <c r="Q9" s="3177"/>
      <c r="R9" s="3179">
        <f>ROUND(IF([2]项目基本情况!B8="出让",SUMPRODUCT(PRODUCT(1+K9:K13)),SUMPRODUCT(PRODUCT(1+K9:K12))),4)</f>
        <v>1.0335000000000001</v>
      </c>
      <c r="S9" s="3179">
        <f>ROUND(IF([2]项目基本情况!B8="出让",SUMPRODUCT(PRODUCT(1+L9:L13)),SUMPRODUCT(PRODUCT(1+L9:L12))),4)</f>
        <v>1.0182</v>
      </c>
      <c r="T9" s="3179">
        <f>ROUND(IF([2]项目基本情况!B8="出让",SUMPRODUCT(PRODUCT(1+M9:M13)),SUMPRODUCT(PRODUCT(1+M9:M12))),4)</f>
        <v>1.0108999999999999</v>
      </c>
      <c r="U9" s="3179">
        <f>ROUND(IF([2]项目基本情况!B8="出让",SUMPRODUCT(PRODUCT(1+N9:N13)),SUMPRODUCT(PRODUCT(1+N9:N12))),4)</f>
        <v>1.0361</v>
      </c>
      <c r="V9" s="3179">
        <f>ROUND(IF([2]项目基本情况!B8="出让",SUMPRODUCT(PRODUCT(1+O9:O13)),SUMPRODUCT(PRODUCT(1+O9:O12))),4)</f>
        <v>1.0270999999999999</v>
      </c>
      <c r="W9" s="3179">
        <f t="shared" si="9"/>
        <v>1.0108999999999999</v>
      </c>
      <c r="X9" s="3177"/>
      <c r="Y9" s="3180">
        <f>IF(D9=0,0,ROUND(AVERAGE(D9:D13)/100,4))</f>
        <v>8.6E-3</v>
      </c>
      <c r="Z9" s="3180">
        <f t="shared" ref="Z9:AC9" si="13">IF(E9=0,0,ROUND(AVERAGE(E9:E13)/100,4))</f>
        <v>3.8999999999999998E-3</v>
      </c>
      <c r="AA9" s="3180">
        <f t="shared" si="13"/>
        <v>1.6999999999999999E-3</v>
      </c>
      <c r="AB9" s="3180">
        <f t="shared" si="13"/>
        <v>9.2999999999999992E-3</v>
      </c>
      <c r="AC9" s="3180">
        <f t="shared" si="13"/>
        <v>6.1000000000000004E-3</v>
      </c>
      <c r="AD9" s="3180">
        <f t="shared" si="7"/>
        <v>1.6999999999999999E-3</v>
      </c>
    </row>
    <row r="10" spans="1:30" s="3181" customFormat="1" ht="12.75">
      <c r="A10" s="3172" t="s">
        <v>2820</v>
      </c>
      <c r="B10" s="3173">
        <v>2021</v>
      </c>
      <c r="C10" s="3174">
        <v>4</v>
      </c>
      <c r="D10" s="3175">
        <v>1.03</v>
      </c>
      <c r="E10" s="3175">
        <v>0.24</v>
      </c>
      <c r="F10" s="3175">
        <v>7.0000000000000007E-2</v>
      </c>
      <c r="G10" s="3175">
        <v>1.17</v>
      </c>
      <c r="H10" s="3193">
        <v>0.55000000000000004</v>
      </c>
      <c r="I10" s="3176">
        <f t="shared" si="4"/>
        <v>7.0000000000000007E-2</v>
      </c>
      <c r="J10" s="3177"/>
      <c r="K10" s="3178">
        <f t="shared" si="5"/>
        <v>1.03E-2</v>
      </c>
      <c r="L10" s="3168">
        <f t="shared" si="5"/>
        <v>2.3999999999999998E-3</v>
      </c>
      <c r="M10" s="3168">
        <f t="shared" si="5"/>
        <v>7.000000000000001E-4</v>
      </c>
      <c r="N10" s="3168">
        <f t="shared" si="5"/>
        <v>1.1699999999999999E-2</v>
      </c>
      <c r="O10" s="3168">
        <f t="shared" si="5"/>
        <v>5.5000000000000005E-3</v>
      </c>
      <c r="P10" s="3168">
        <f t="shared" si="8"/>
        <v>7.000000000000001E-4</v>
      </c>
      <c r="Q10" s="3177"/>
      <c r="R10" s="3179">
        <f>ROUND(IF([2]项目基本情况!B8="出让",SUMPRODUCT(PRODUCT(1+K10:K13)),SUMPRODUCT(PRODUCT(1+K10:K12))),4)</f>
        <v>1.0244</v>
      </c>
      <c r="S10" s="3179">
        <f>ROUND(IF([2]项目基本情况!B8="出让",SUMPRODUCT(PRODUCT(1+L10:L13)),SUMPRODUCT(PRODUCT(1+L10:L12))),4)</f>
        <v>1.0138</v>
      </c>
      <c r="T10" s="3179">
        <f>ROUND(IF([2]项目基本情况!B8="出让",SUMPRODUCT(PRODUCT(1+M10:M13)),SUMPRODUCT(PRODUCT(1+M10:M12))),4)</f>
        <v>1.0072000000000001</v>
      </c>
      <c r="U10" s="3179">
        <f>ROUND(IF([2]项目基本情况!B8="出让",SUMPRODUCT(PRODUCT(1+N10:N13)),SUMPRODUCT(PRODUCT(1+N10:N12))),4)</f>
        <v>1.0262</v>
      </c>
      <c r="V10" s="3179">
        <f>ROUND(IF([2]项目基本情况!B8="出让",SUMPRODUCT(PRODUCT(1+O10:O13)),SUMPRODUCT(PRODUCT(1+O10:O12))),4)</f>
        <v>1.0205</v>
      </c>
      <c r="W10" s="3179">
        <f t="shared" si="9"/>
        <v>1.0072000000000001</v>
      </c>
      <c r="X10" s="3177"/>
      <c r="Y10" s="3180">
        <f>IF(D10=0,0,ROUND(AVERAGE(D10:D13)/100,4))</f>
        <v>8.5000000000000006E-3</v>
      </c>
      <c r="Z10" s="3180">
        <f t="shared" ref="Z10:AC10" si="14">IF(E10=0,0,ROUND(AVERAGE(E10:E13)/100,4))</f>
        <v>3.8E-3</v>
      </c>
      <c r="AA10" s="3180">
        <f t="shared" si="14"/>
        <v>1.1999999999999999E-3</v>
      </c>
      <c r="AB10" s="3180">
        <f t="shared" si="14"/>
        <v>9.2999999999999992E-3</v>
      </c>
      <c r="AC10" s="3180">
        <f t="shared" si="14"/>
        <v>6.0000000000000001E-3</v>
      </c>
      <c r="AD10" s="3180">
        <f t="shared" si="7"/>
        <v>1.1999999999999999E-3</v>
      </c>
    </row>
    <row r="11" spans="1:30" s="3181" customFormat="1" ht="12.75">
      <c r="A11" s="3172" t="s">
        <v>2821</v>
      </c>
      <c r="B11" s="3173">
        <v>2021</v>
      </c>
      <c r="C11" s="3174">
        <v>3</v>
      </c>
      <c r="D11" s="3175">
        <v>0.47</v>
      </c>
      <c r="E11" s="3175">
        <v>0.41</v>
      </c>
      <c r="F11" s="3175">
        <v>0.24</v>
      </c>
      <c r="G11" s="3175">
        <v>0.48</v>
      </c>
      <c r="H11" s="3193">
        <v>0.48</v>
      </c>
      <c r="I11" s="3176">
        <f t="shared" si="4"/>
        <v>0.24</v>
      </c>
      <c r="J11" s="3177"/>
      <c r="K11" s="3178">
        <f t="shared" si="5"/>
        <v>4.6999999999999993E-3</v>
      </c>
      <c r="L11" s="3168">
        <f t="shared" si="5"/>
        <v>4.0999999999999995E-3</v>
      </c>
      <c r="M11" s="3168">
        <f t="shared" si="5"/>
        <v>2.3999999999999998E-3</v>
      </c>
      <c r="N11" s="3168">
        <f t="shared" si="5"/>
        <v>4.7999999999999996E-3</v>
      </c>
      <c r="O11" s="3168">
        <f t="shared" si="5"/>
        <v>4.7999999999999996E-3</v>
      </c>
      <c r="P11" s="3168">
        <f t="shared" si="8"/>
        <v>2.3999999999999998E-3</v>
      </c>
      <c r="Q11" s="3177"/>
      <c r="R11" s="3179">
        <f>ROUND(IF([2]项目基本情况!B8="出让",SUMPRODUCT(PRODUCT(1+K11:K13)),SUMPRODUCT(PRODUCT(1+K11:K12))),4)</f>
        <v>1.0139</v>
      </c>
      <c r="S11" s="3179">
        <f>ROUND(IF([2]项目基本情况!B8="出让",SUMPRODUCT(PRODUCT(1+L11:L13)),SUMPRODUCT(PRODUCT(1+L11:L12))),4)</f>
        <v>1.0113000000000001</v>
      </c>
      <c r="T11" s="3179">
        <f>ROUND(IF([2]项目基本情况!B8="出让",SUMPRODUCT(PRODUCT(1+M11:M13)),SUMPRODUCT(PRODUCT(1+M11:M12))),4)</f>
        <v>1.0065</v>
      </c>
      <c r="U11" s="3179">
        <f>ROUND(IF([2]项目基本情况!B8="出让",SUMPRODUCT(PRODUCT(1+N11:N13)),SUMPRODUCT(PRODUCT(1+N11:N12))),4)</f>
        <v>1.0143</v>
      </c>
      <c r="V11" s="3179">
        <f>ROUND(IF([2]项目基本情况!B8="出让",SUMPRODUCT(PRODUCT(1+O11:O13)),SUMPRODUCT(PRODUCT(1+O11:O12))),4)</f>
        <v>1.0148999999999999</v>
      </c>
      <c r="W11" s="3179">
        <f t="shared" si="9"/>
        <v>1.0065</v>
      </c>
      <c r="X11" s="3177"/>
      <c r="Y11" s="3180">
        <f>IF(D11=0,0,ROUND(AVERAGE(D11:D13)/100,4))</f>
        <v>7.9000000000000008E-3</v>
      </c>
      <c r="Z11" s="3180">
        <f>IF(E11=0,0,ROUND(AVERAGE(E11:E13)/100,4))</f>
        <v>4.3E-3</v>
      </c>
      <c r="AA11" s="3180">
        <f>IF(F11=0,0,ROUND(AVERAGE(F11:F13)/100,4))</f>
        <v>1.2999999999999999E-3</v>
      </c>
      <c r="AB11" s="3180">
        <f>IF(G11=0,0,ROUND(AVERAGE(G11:G13)/100,4))</f>
        <v>8.5000000000000006E-3</v>
      </c>
      <c r="AC11" s="3180">
        <f>IF(H11=0,0,ROUND(AVERAGE(H11:H13)/100,4))</f>
        <v>6.1999999999999998E-3</v>
      </c>
      <c r="AD11" s="3180">
        <f t="shared" si="7"/>
        <v>1.2999999999999999E-3</v>
      </c>
    </row>
    <row r="12" spans="1:30" s="3181" customFormat="1" ht="12.75">
      <c r="A12" s="3172" t="s">
        <v>2822</v>
      </c>
      <c r="B12" s="3173">
        <v>2021</v>
      </c>
      <c r="C12" s="3174">
        <v>2</v>
      </c>
      <c r="D12" s="3175">
        <v>0.92</v>
      </c>
      <c r="E12" s="3175">
        <v>0.72</v>
      </c>
      <c r="F12" s="3175">
        <v>0.41</v>
      </c>
      <c r="G12" s="3175">
        <v>0.95</v>
      </c>
      <c r="H12" s="3193">
        <v>1.01</v>
      </c>
      <c r="I12" s="3176">
        <f t="shared" si="4"/>
        <v>0.41</v>
      </c>
      <c r="J12" s="3177"/>
      <c r="K12" s="3178">
        <f t="shared" si="5"/>
        <v>9.1999999999999998E-3</v>
      </c>
      <c r="L12" s="3168">
        <f t="shared" si="5"/>
        <v>7.1999999999999998E-3</v>
      </c>
      <c r="M12" s="3168">
        <f t="shared" si="5"/>
        <v>4.0999999999999995E-3</v>
      </c>
      <c r="N12" s="3168">
        <f t="shared" si="5"/>
        <v>9.4999999999999998E-3</v>
      </c>
      <c r="O12" s="3168">
        <f t="shared" si="5"/>
        <v>1.01E-2</v>
      </c>
      <c r="P12" s="3168">
        <f t="shared" si="8"/>
        <v>4.0999999999999995E-3</v>
      </c>
      <c r="Q12" s="3177"/>
      <c r="R12" s="3179">
        <f>ROUND(IF([2]项目基本情况!B8="出让",SUMPRODUCT(PRODUCT(1+K12:K13)),SUMPRODUCT(PRODUCT(1+K12:K12))),4)</f>
        <v>1.0092000000000001</v>
      </c>
      <c r="S12" s="3179">
        <f>ROUND(IF([2]项目基本情况!B8="出让",SUMPRODUCT(PRODUCT(1+L12:L13)),SUMPRODUCT(PRODUCT(1+L12:L12))),4)</f>
        <v>1.0072000000000001</v>
      </c>
      <c r="T12" s="3179">
        <f>ROUND(IF([2]项目基本情况!B8="出让",SUMPRODUCT(PRODUCT(1+M12:M13)),SUMPRODUCT(PRODUCT(1+M12:M12))),4)</f>
        <v>1.0041</v>
      </c>
      <c r="U12" s="3179">
        <f>ROUND(IF([2]项目基本情况!B8="出让",SUMPRODUCT(PRODUCT(1+N12:N13)),SUMPRODUCT(PRODUCT(1+N12:N12))),4)</f>
        <v>1.0095000000000001</v>
      </c>
      <c r="V12" s="3179">
        <f>ROUND(IF([2]项目基本情况!B8="出让",SUMPRODUCT(PRODUCT(1+O12:O13)),SUMPRODUCT(PRODUCT(1+O12:O12))),4)</f>
        <v>1.0101</v>
      </c>
      <c r="W12" s="3179">
        <f t="shared" si="9"/>
        <v>1.0041</v>
      </c>
      <c r="X12" s="3177"/>
      <c r="Y12" s="3180">
        <f>IF(D12=0,0,ROUND(AVERAGE(D12:D13)/100,4))</f>
        <v>9.4999999999999998E-3</v>
      </c>
      <c r="Z12" s="3180">
        <f>IF(E12=0,0,ROUND(AVERAGE(E12:E13)/100,4))</f>
        <v>4.4000000000000003E-3</v>
      </c>
      <c r="AA12" s="3180">
        <f>IF(F12=0,0,ROUND(AVERAGE(F12:F13)/100,4))</f>
        <v>8.0000000000000004E-4</v>
      </c>
      <c r="AB12" s="3180">
        <f>IF(G12=0,0,ROUND(AVERAGE(G12:G13)/100,4))</f>
        <v>1.03E-2</v>
      </c>
      <c r="AC12" s="3180">
        <f>IF(H12=0,0,ROUND(AVERAGE(H12:H13)/100,4))</f>
        <v>6.8999999999999999E-3</v>
      </c>
      <c r="AD12" s="3180">
        <f t="shared" si="7"/>
        <v>8.0000000000000004E-4</v>
      </c>
    </row>
    <row r="13" spans="1:30" s="3204" customFormat="1" thickBot="1">
      <c r="A13" s="3194" t="s">
        <v>2823</v>
      </c>
      <c r="B13" s="3195">
        <v>2021</v>
      </c>
      <c r="C13" s="3196">
        <v>1</v>
      </c>
      <c r="D13" s="3197">
        <v>0.97</v>
      </c>
      <c r="E13" s="3197">
        <v>0.16</v>
      </c>
      <c r="F13" s="3197">
        <v>-0.25</v>
      </c>
      <c r="G13" s="3197">
        <v>1.1100000000000001</v>
      </c>
      <c r="H13" s="3198">
        <v>0.36</v>
      </c>
      <c r="I13" s="3199">
        <f t="shared" si="4"/>
        <v>-0.25</v>
      </c>
      <c r="J13" s="3200"/>
      <c r="K13" s="3201">
        <f t="shared" si="5"/>
        <v>9.7000000000000003E-3</v>
      </c>
      <c r="L13" s="3202">
        <f t="shared" si="5"/>
        <v>1.6000000000000001E-3</v>
      </c>
      <c r="M13" s="3202">
        <f>F13/100</f>
        <v>-2.5000000000000001E-3</v>
      </c>
      <c r="N13" s="3202">
        <f t="shared" si="5"/>
        <v>1.11E-2</v>
      </c>
      <c r="O13" s="3202">
        <f t="shared" si="5"/>
        <v>3.5999999999999999E-3</v>
      </c>
      <c r="P13" s="3202">
        <f t="shared" si="8"/>
        <v>-2.5000000000000001E-3</v>
      </c>
      <c r="Q13" s="3200"/>
      <c r="R13" s="3203">
        <v>1</v>
      </c>
      <c r="S13" s="3203">
        <v>1</v>
      </c>
      <c r="T13" s="3203">
        <v>1</v>
      </c>
      <c r="U13" s="3203">
        <v>1</v>
      </c>
      <c r="V13" s="3203">
        <v>1</v>
      </c>
      <c r="W13" s="3203">
        <f t="shared" si="9"/>
        <v>1</v>
      </c>
      <c r="X13" s="3200"/>
      <c r="Y13" s="3202">
        <f>IF(D13=0,0,ROUND(AVERAGE(D13:D13)/100,4))</f>
        <v>9.7000000000000003E-3</v>
      </c>
      <c r="Z13" s="3202">
        <f>IF(E13=0,0,ROUND(AVERAGE(E13:E13)/100,4))</f>
        <v>1.6000000000000001E-3</v>
      </c>
      <c r="AA13" s="3202">
        <f>IF(F13=0,0,ROUND(AVERAGE(F13:F13)/100,4))</f>
        <v>-2.5000000000000001E-3</v>
      </c>
      <c r="AB13" s="3202">
        <f>IF(G13=0,0,ROUND(AVERAGE(G13:G13)/100,4))</f>
        <v>1.11E-2</v>
      </c>
      <c r="AC13" s="3202">
        <f>IF(H13=0,0,ROUND(AVERAGE(H13:H13)/100,4))</f>
        <v>3.5999999999999999E-3</v>
      </c>
      <c r="AD13" s="3202">
        <f>AA13</f>
        <v>-2.5000000000000001E-3</v>
      </c>
    </row>
    <row r="14" spans="1:30" s="3005" customFormat="1" ht="14.25" thickTop="1"/>
    <row r="15" spans="1:30" s="3005" customFormat="1"/>
    <row r="16" spans="1:30" s="3005" customFormat="1">
      <c r="I16" s="3205" t="s">
        <v>2824</v>
      </c>
    </row>
    <row r="17" spans="1:30" s="3005" customFormat="1"/>
    <row r="18" spans="1:30" s="3206" customFormat="1" ht="12.75">
      <c r="B18" s="3207" t="s">
        <v>2825</v>
      </c>
      <c r="C18" s="3208"/>
      <c r="D18" s="3208"/>
      <c r="E18" s="3208"/>
      <c r="F18" s="3208"/>
      <c r="G18" s="3208"/>
      <c r="H18" s="3208"/>
      <c r="I18" s="3208"/>
      <c r="J18" s="3161"/>
      <c r="K18" s="3208" t="s">
        <v>2826</v>
      </c>
      <c r="L18" s="3208"/>
      <c r="M18" s="3208"/>
      <c r="N18" s="3208"/>
      <c r="O18" s="3208"/>
      <c r="P18" s="3208"/>
      <c r="Q18" s="3161"/>
      <c r="R18" s="3783" t="s">
        <v>2827</v>
      </c>
      <c r="S18" s="3784"/>
      <c r="T18" s="3784"/>
      <c r="U18" s="3784"/>
      <c r="V18" s="3784"/>
      <c r="W18" s="3784"/>
      <c r="X18" s="3161"/>
      <c r="Y18" s="3783" t="s">
        <v>2828</v>
      </c>
      <c r="Z18" s="3784"/>
      <c r="AA18" s="3784"/>
      <c r="AB18" s="3784"/>
      <c r="AC18" s="3784"/>
      <c r="AD18" s="3784"/>
    </row>
    <row r="19" spans="1:30" s="3139" customFormat="1" ht="14.25" thickBot="1">
      <c r="B19" s="3140"/>
      <c r="C19" s="3141"/>
      <c r="D19" s="3142" t="s">
        <v>2829</v>
      </c>
      <c r="E19" s="3143" t="s">
        <v>2830</v>
      </c>
      <c r="F19" s="3143" t="s">
        <v>2831</v>
      </c>
      <c r="G19" s="3143" t="s">
        <v>2832</v>
      </c>
      <c r="H19" s="3143"/>
      <c r="I19" s="3143" t="s">
        <v>2833</v>
      </c>
      <c r="J19" s="3144"/>
      <c r="K19" s="3142" t="s">
        <v>2829</v>
      </c>
      <c r="L19" s="3143" t="s">
        <v>2830</v>
      </c>
      <c r="M19" s="3143" t="s">
        <v>2831</v>
      </c>
      <c r="N19" s="3143" t="s">
        <v>2832</v>
      </c>
      <c r="O19" s="3143"/>
      <c r="P19" s="3143" t="s">
        <v>2833</v>
      </c>
      <c r="Q19" s="3144"/>
      <c r="R19" s="3142" t="s">
        <v>2829</v>
      </c>
      <c r="S19" s="3143" t="s">
        <v>2830</v>
      </c>
      <c r="T19" s="3143" t="s">
        <v>2831</v>
      </c>
      <c r="U19" s="3143" t="s">
        <v>2832</v>
      </c>
      <c r="V19" s="3143"/>
      <c r="W19" s="3143" t="s">
        <v>2833</v>
      </c>
      <c r="X19" s="3144"/>
      <c r="Y19" s="3142" t="s">
        <v>2829</v>
      </c>
      <c r="Z19" s="3143" t="s">
        <v>2830</v>
      </c>
      <c r="AA19" s="3143" t="s">
        <v>2831</v>
      </c>
      <c r="AB19" s="3143" t="s">
        <v>2832</v>
      </c>
      <c r="AC19" s="3143"/>
      <c r="AD19" s="3143" t="s">
        <v>2833</v>
      </c>
    </row>
    <row r="20" spans="1:30" s="3157" customFormat="1" ht="12.75">
      <c r="A20" s="3145" t="s">
        <v>2834</v>
      </c>
      <c r="B20" s="3146"/>
      <c r="C20" s="3147"/>
      <c r="D20" s="3147"/>
      <c r="E20" s="3147">
        <f t="shared" ref="E20:G20" si="15">ROUND(AVERAGEIF(E21:E30,"&lt;&gt;0"),2)</f>
        <v>0.39</v>
      </c>
      <c r="F20" s="3147">
        <f t="shared" si="15"/>
        <v>0.27</v>
      </c>
      <c r="G20" s="3147">
        <f t="shared" si="15"/>
        <v>0.79</v>
      </c>
      <c r="H20" s="3147"/>
      <c r="I20" s="3147">
        <f>F20</f>
        <v>0.27</v>
      </c>
      <c r="J20" s="3148"/>
      <c r="K20" s="3149"/>
      <c r="L20" s="3150">
        <f t="shared" ref="L20:N20" si="16">ROUND(AVERAGEIF(L21:L30,"&lt;&gt;0"),4)</f>
        <v>3.8999999999999998E-3</v>
      </c>
      <c r="M20" s="3150">
        <f t="shared" si="16"/>
        <v>2.7000000000000001E-3</v>
      </c>
      <c r="N20" s="3150">
        <f t="shared" si="16"/>
        <v>7.9000000000000008E-3</v>
      </c>
      <c r="O20" s="3150"/>
      <c r="P20" s="3150">
        <f>M20</f>
        <v>2.7000000000000001E-3</v>
      </c>
      <c r="Q20" s="3148"/>
      <c r="R20" s="3151"/>
      <c r="S20" s="3152">
        <f>ROUND(SUMPRODUCT(PRODUCT(1+L21:L30)),4)</f>
        <v>1.0277000000000001</v>
      </c>
      <c r="T20" s="3152">
        <f t="shared" ref="T20:U20" si="17">ROUND(SUMPRODUCT(PRODUCT(1+M21:M30)),4)</f>
        <v>1.0192000000000001</v>
      </c>
      <c r="U20" s="3152">
        <f t="shared" si="17"/>
        <v>1.0569</v>
      </c>
      <c r="V20" s="3152"/>
      <c r="W20" s="3151">
        <f>T20</f>
        <v>1.0192000000000001</v>
      </c>
      <c r="X20" s="3148"/>
      <c r="Y20" s="3153"/>
      <c r="Z20" s="3154">
        <f t="shared" ref="Z20:AB20" si="18">ROUND(AVERAGEIF(Z21:Z30,"&lt;&gt;0"),4)</f>
        <v>4.4000000000000003E-3</v>
      </c>
      <c r="AA20" s="3155">
        <f t="shared" si="18"/>
        <v>3.7000000000000002E-3</v>
      </c>
      <c r="AB20" s="3153">
        <f t="shared" si="18"/>
        <v>9.1000000000000004E-3</v>
      </c>
      <c r="AC20" s="3156"/>
      <c r="AD20" s="3153">
        <f>AA20</f>
        <v>3.7000000000000002E-3</v>
      </c>
    </row>
    <row r="21" spans="1:30" s="3158" customFormat="1" ht="12.75">
      <c r="B21" s="3159"/>
      <c r="C21" s="3160"/>
      <c r="D21" s="3160"/>
      <c r="E21" s="3160"/>
      <c r="F21" s="3160"/>
      <c r="G21" s="3160"/>
      <c r="H21" s="3160"/>
      <c r="I21" s="3160"/>
      <c r="J21" s="3161"/>
      <c r="K21" s="3162"/>
      <c r="L21" s="3163"/>
      <c r="M21" s="3163"/>
      <c r="N21" s="3163"/>
      <c r="O21" s="3163"/>
      <c r="P21" s="3163"/>
      <c r="Q21" s="3161"/>
      <c r="R21" s="3164"/>
      <c r="S21" s="3165"/>
      <c r="T21" s="3166"/>
      <c r="U21" s="3164"/>
      <c r="V21" s="3167"/>
      <c r="W21" s="3164"/>
      <c r="X21" s="3161"/>
      <c r="Y21" s="3168"/>
      <c r="Z21" s="3169"/>
      <c r="AA21" s="3170"/>
      <c r="AB21" s="3168"/>
      <c r="AC21" s="3171"/>
      <c r="AD21" s="3168"/>
    </row>
    <row r="22" spans="1:30" s="3181" customFormat="1" ht="12.75">
      <c r="A22" s="3172" t="s">
        <v>2835</v>
      </c>
      <c r="B22" s="3173">
        <v>2023</v>
      </c>
      <c r="C22" s="3174">
        <v>1</v>
      </c>
      <c r="D22" s="3175"/>
      <c r="E22" s="3175">
        <v>0</v>
      </c>
      <c r="F22" s="3175">
        <v>0</v>
      </c>
      <c r="G22" s="3175">
        <v>0</v>
      </c>
      <c r="H22" s="3175"/>
      <c r="I22" s="3176">
        <f t="shared" ref="I22:I30" si="19">F22</f>
        <v>0</v>
      </c>
      <c r="J22" s="3177"/>
      <c r="K22" s="3178"/>
      <c r="L22" s="3168">
        <f t="shared" ref="L22:N30" si="20">E22/100</f>
        <v>0</v>
      </c>
      <c r="M22" s="3168">
        <f t="shared" si="20"/>
        <v>0</v>
      </c>
      <c r="N22" s="3168">
        <f t="shared" si="20"/>
        <v>0</v>
      </c>
      <c r="O22" s="3168"/>
      <c r="P22" s="3168">
        <f>M22</f>
        <v>0</v>
      </c>
      <c r="Q22" s="3177"/>
      <c r="R22" s="3179"/>
      <c r="S22" s="3179">
        <f>ROUND(IF([2]项目基本情况!$B$8="出让",SUMPRODUCT(PRODUCT(1+L22:L$30)),SUMPRODUCT(PRODUCT(1+L22:L$29))),4)</f>
        <v>1.0241</v>
      </c>
      <c r="T22" s="3179">
        <f>ROUND(IF([2]项目基本情况!$B$8="出让",SUMPRODUCT(PRODUCT(1+M22:M$30)),SUMPRODUCT(PRODUCT(1+M22:M$29))),4)</f>
        <v>1.0144</v>
      </c>
      <c r="U22" s="3179">
        <f>ROUND(IF([2]项目基本情况!$B$8="出让",SUMPRODUCT(PRODUCT(1+N22:N$30)),SUMPRODUCT(PRODUCT(1+N22:N$29))),4)</f>
        <v>1.0467</v>
      </c>
      <c r="V22" s="3179"/>
      <c r="W22" s="3179">
        <f>T22</f>
        <v>1.0144</v>
      </c>
      <c r="X22" s="3177"/>
      <c r="Y22" s="3180"/>
      <c r="Z22" s="3209">
        <f>IF(E22=0,0,ROUND(AVERAGE(E22:E30)/100,4))</f>
        <v>0</v>
      </c>
      <c r="AA22" s="3209">
        <f>IF(F22=0,0,ROUND(AVERAGE(F22:F30)/100,4))</f>
        <v>0</v>
      </c>
      <c r="AB22" s="3209">
        <f>IF(G22=0,0,ROUND(AVERAGE(G22:G30)/100,4))</f>
        <v>0</v>
      </c>
      <c r="AC22" s="3210"/>
      <c r="AD22" s="3180">
        <f>IF(I22=0,0,ROUND(AVERAGE(I22:I30)/100,4))</f>
        <v>0</v>
      </c>
    </row>
    <row r="23" spans="1:30" s="3182" customFormat="1" ht="12.75">
      <c r="A23" s="3172" t="s">
        <v>2836</v>
      </c>
      <c r="B23" s="3173">
        <v>2022</v>
      </c>
      <c r="C23" s="3174">
        <v>4</v>
      </c>
      <c r="D23" s="3175"/>
      <c r="E23" s="3175">
        <v>0</v>
      </c>
      <c r="F23" s="3175">
        <v>0</v>
      </c>
      <c r="G23" s="3175">
        <v>0</v>
      </c>
      <c r="H23" s="3175"/>
      <c r="I23" s="3176">
        <f t="shared" si="19"/>
        <v>0</v>
      </c>
      <c r="J23" s="3177"/>
      <c r="K23" s="3178"/>
      <c r="L23" s="3168">
        <f t="shared" si="20"/>
        <v>0</v>
      </c>
      <c r="M23" s="3168">
        <f t="shared" si="20"/>
        <v>0</v>
      </c>
      <c r="N23" s="3168">
        <f t="shared" si="20"/>
        <v>0</v>
      </c>
      <c r="O23" s="3168"/>
      <c r="P23" s="3168">
        <f t="shared" ref="P23:P30" si="21">M23</f>
        <v>0</v>
      </c>
      <c r="Q23" s="3177"/>
      <c r="R23" s="3179"/>
      <c r="S23" s="3179">
        <f>ROUND(IF([2]项目基本情况!$B$8="出让",SUMPRODUCT(PRODUCT(1+L23:L$30)),SUMPRODUCT(PRODUCT(1+L23:L$29))),4)</f>
        <v>1.0241</v>
      </c>
      <c r="T23" s="3179">
        <f>ROUND(IF([2]项目基本情况!$B$8="出让",SUMPRODUCT(PRODUCT(1+M23:M$30)),SUMPRODUCT(PRODUCT(1+M23:M$29))),4)</f>
        <v>1.0144</v>
      </c>
      <c r="U23" s="3179">
        <f>ROUND(IF([2]项目基本情况!$B$8="出让",SUMPRODUCT(PRODUCT(1+N23:N$30)),SUMPRODUCT(PRODUCT(1+N23:N$29))),4)</f>
        <v>1.0467</v>
      </c>
      <c r="V23" s="3179"/>
      <c r="W23" s="3179">
        <f t="shared" ref="W23:W30" si="22">T23</f>
        <v>1.0144</v>
      </c>
      <c r="X23" s="3177"/>
      <c r="Y23" s="3180"/>
      <c r="Z23" s="3209">
        <f t="shared" ref="Z23:AD30" si="23">IF(E23=0,0,ROUND(AVERAGE(E23:E31)/100,4))</f>
        <v>0</v>
      </c>
      <c r="AA23" s="3211">
        <f t="shared" si="23"/>
        <v>0</v>
      </c>
      <c r="AB23" s="3180">
        <f t="shared" si="23"/>
        <v>0</v>
      </c>
      <c r="AC23" s="3210"/>
      <c r="AD23" s="3180">
        <f t="shared" si="23"/>
        <v>0</v>
      </c>
    </row>
    <row r="24" spans="1:30" s="3192" customFormat="1" ht="12.75">
      <c r="A24" s="3183" t="s">
        <v>3360</v>
      </c>
      <c r="B24" s="3184">
        <v>2022</v>
      </c>
      <c r="C24" s="3185">
        <v>3</v>
      </c>
      <c r="D24" s="3186"/>
      <c r="E24" s="3186">
        <v>0.3</v>
      </c>
      <c r="F24" s="3186">
        <v>0.28999999999999998</v>
      </c>
      <c r="G24" s="3186">
        <v>0.83</v>
      </c>
      <c r="H24" s="3187"/>
      <c r="I24" s="3188">
        <f t="shared" si="19"/>
        <v>0.28999999999999998</v>
      </c>
      <c r="J24" s="3189"/>
      <c r="K24" s="3190"/>
      <c r="L24" s="3191">
        <f t="shared" si="20"/>
        <v>3.0000000000000001E-3</v>
      </c>
      <c r="M24" s="3191">
        <f t="shared" si="20"/>
        <v>2.8999999999999998E-3</v>
      </c>
      <c r="N24" s="3191">
        <f t="shared" si="20"/>
        <v>8.3000000000000001E-3</v>
      </c>
      <c r="O24" s="3191"/>
      <c r="P24" s="3191">
        <f t="shared" si="21"/>
        <v>2.8999999999999998E-3</v>
      </c>
      <c r="Q24" s="3189"/>
      <c r="R24" s="3189"/>
      <c r="S24" s="3189">
        <f>ROUND(IF([2]项目基本情况!$B$8="出让",SUMPRODUCT(PRODUCT(1+L24:L$30)),SUMPRODUCT(PRODUCT(1+L24:L$29))),4)</f>
        <v>1.0241</v>
      </c>
      <c r="T24" s="3189">
        <f>ROUND(IF([2]项目基本情况!$B$8="出让",SUMPRODUCT(PRODUCT(1+M24:M$30)),SUMPRODUCT(PRODUCT(1+M24:M$29))),4)</f>
        <v>1.0144</v>
      </c>
      <c r="U24" s="3189">
        <f>ROUND(IF([2]项目基本情况!$B$8="出让",SUMPRODUCT(PRODUCT(1+N24:N$30)),SUMPRODUCT(PRODUCT(1+N24:N$29))),4)</f>
        <v>1.0467</v>
      </c>
      <c r="V24" s="3189"/>
      <c r="W24" s="3189">
        <f t="shared" si="22"/>
        <v>1.0144</v>
      </c>
      <c r="X24" s="3189"/>
      <c r="Y24" s="3191"/>
      <c r="Z24" s="3212">
        <f t="shared" si="23"/>
        <v>3.8999999999999998E-3</v>
      </c>
      <c r="AA24" s="3213">
        <f t="shared" si="23"/>
        <v>2.7000000000000001E-3</v>
      </c>
      <c r="AB24" s="3191">
        <f t="shared" si="23"/>
        <v>7.9000000000000008E-3</v>
      </c>
      <c r="AC24" s="3214"/>
      <c r="AD24" s="3191">
        <f t="shared" si="23"/>
        <v>2.7000000000000001E-3</v>
      </c>
    </row>
    <row r="25" spans="1:30" s="3181" customFormat="1" ht="12.75">
      <c r="A25" s="3172" t="s">
        <v>3359</v>
      </c>
      <c r="B25" s="3173">
        <v>2022</v>
      </c>
      <c r="C25" s="3174">
        <v>2</v>
      </c>
      <c r="D25" s="3175"/>
      <c r="E25" s="3175">
        <v>-0.11</v>
      </c>
      <c r="F25" s="3175">
        <v>-0.13</v>
      </c>
      <c r="G25" s="3175">
        <v>0.53</v>
      </c>
      <c r="H25" s="3193"/>
      <c r="I25" s="3176">
        <f t="shared" si="19"/>
        <v>-0.13</v>
      </c>
      <c r="J25" s="3177"/>
      <c r="K25" s="3178"/>
      <c r="L25" s="3168">
        <f t="shared" si="20"/>
        <v>-1.1000000000000001E-3</v>
      </c>
      <c r="M25" s="3168">
        <f t="shared" si="20"/>
        <v>-1.2999999999999999E-3</v>
      </c>
      <c r="N25" s="3168">
        <f t="shared" si="20"/>
        <v>5.3E-3</v>
      </c>
      <c r="O25" s="3168"/>
      <c r="P25" s="3168">
        <f t="shared" si="21"/>
        <v>-1.2999999999999999E-3</v>
      </c>
      <c r="Q25" s="3177"/>
      <c r="R25" s="3179"/>
      <c r="S25" s="3179">
        <f>ROUND(IF([2]项目基本情况!$B$8="出让",SUMPRODUCT(PRODUCT(1+L25:L$30)),SUMPRODUCT(PRODUCT(1+L25:L$29))),4)</f>
        <v>1.0210999999999999</v>
      </c>
      <c r="T25" s="3179">
        <f>ROUND(IF([2]项目基本情况!$B$8="出让",SUMPRODUCT(PRODUCT(1+M25:M$30)),SUMPRODUCT(PRODUCT(1+M25:M$29))),4)</f>
        <v>1.0114000000000001</v>
      </c>
      <c r="U25" s="3179">
        <f>ROUND(IF([2]项目基本情况!$B$8="出让",SUMPRODUCT(PRODUCT(1+N25:N$30)),SUMPRODUCT(PRODUCT(1+N25:N$29))),4)</f>
        <v>1.0381</v>
      </c>
      <c r="V25" s="3179"/>
      <c r="W25" s="3179">
        <f t="shared" si="22"/>
        <v>1.0114000000000001</v>
      </c>
      <c r="X25" s="3177"/>
      <c r="Y25" s="3180"/>
      <c r="Z25" s="3209">
        <f t="shared" si="23"/>
        <v>4.1000000000000003E-3</v>
      </c>
      <c r="AA25" s="3211">
        <f t="shared" si="23"/>
        <v>2.7000000000000001E-3</v>
      </c>
      <c r="AB25" s="3180">
        <f t="shared" si="23"/>
        <v>7.9000000000000008E-3</v>
      </c>
      <c r="AC25" s="3210"/>
      <c r="AD25" s="3180">
        <f t="shared" si="23"/>
        <v>2.7000000000000001E-3</v>
      </c>
    </row>
    <row r="26" spans="1:30" s="3181" customFormat="1" ht="12.75">
      <c r="A26" s="3172" t="s">
        <v>2837</v>
      </c>
      <c r="B26" s="3173">
        <v>2022</v>
      </c>
      <c r="C26" s="3174">
        <v>1</v>
      </c>
      <c r="D26" s="3175"/>
      <c r="E26" s="3175">
        <v>0.6</v>
      </c>
      <c r="F26" s="3175">
        <v>0.45</v>
      </c>
      <c r="G26" s="3175">
        <v>0.53</v>
      </c>
      <c r="H26" s="3193"/>
      <c r="I26" s="3176">
        <f t="shared" si="19"/>
        <v>0.45</v>
      </c>
      <c r="J26" s="3177"/>
      <c r="K26" s="3178"/>
      <c r="L26" s="3168">
        <f t="shared" si="20"/>
        <v>6.0000000000000001E-3</v>
      </c>
      <c r="M26" s="3168">
        <f t="shared" si="20"/>
        <v>4.5000000000000005E-3</v>
      </c>
      <c r="N26" s="3168">
        <f t="shared" si="20"/>
        <v>5.3E-3</v>
      </c>
      <c r="O26" s="3168"/>
      <c r="P26" s="3168">
        <f t="shared" si="21"/>
        <v>4.5000000000000005E-3</v>
      </c>
      <c r="Q26" s="3177"/>
      <c r="R26" s="3179"/>
      <c r="S26" s="3179">
        <f>ROUND(IF([2]项目基本情况!$B$8="出让",SUMPRODUCT(PRODUCT(1+L26:L$30)),SUMPRODUCT(PRODUCT(1+L26:L$29))),4)</f>
        <v>1.0222</v>
      </c>
      <c r="T26" s="3179">
        <f>ROUND(IF([2]项目基本情况!$B$8="出让",SUMPRODUCT(PRODUCT(1+M26:M$30)),SUMPRODUCT(PRODUCT(1+M26:M$29))),4)</f>
        <v>1.0127999999999999</v>
      </c>
      <c r="U26" s="3179">
        <f>ROUND(IF([2]项目基本情况!$B$8="出让",SUMPRODUCT(PRODUCT(1+N26:N$30)),SUMPRODUCT(PRODUCT(1+N26:N$29))),4)</f>
        <v>1.0326</v>
      </c>
      <c r="V26" s="3179"/>
      <c r="W26" s="3179">
        <f t="shared" si="22"/>
        <v>1.0127999999999999</v>
      </c>
      <c r="X26" s="3177"/>
      <c r="Y26" s="3180"/>
      <c r="Z26" s="3209">
        <f t="shared" si="23"/>
        <v>5.1000000000000004E-3</v>
      </c>
      <c r="AA26" s="3211">
        <f t="shared" si="23"/>
        <v>3.5000000000000001E-3</v>
      </c>
      <c r="AB26" s="3180">
        <f t="shared" si="23"/>
        <v>8.3999999999999995E-3</v>
      </c>
      <c r="AC26" s="3210"/>
      <c r="AD26" s="3180">
        <f t="shared" si="23"/>
        <v>3.5000000000000001E-3</v>
      </c>
    </row>
    <row r="27" spans="1:30" s="3181" customFormat="1" ht="12.75">
      <c r="A27" s="3172" t="s">
        <v>2838</v>
      </c>
      <c r="B27" s="3173">
        <v>2021</v>
      </c>
      <c r="C27" s="3174">
        <v>4</v>
      </c>
      <c r="D27" s="3175"/>
      <c r="E27" s="3175">
        <v>0.57999999999999996</v>
      </c>
      <c r="F27" s="3175">
        <v>0.08</v>
      </c>
      <c r="G27" s="3175">
        <v>0.68</v>
      </c>
      <c r="H27" s="3193"/>
      <c r="I27" s="3176">
        <f t="shared" si="19"/>
        <v>0.08</v>
      </c>
      <c r="J27" s="3177"/>
      <c r="K27" s="3178"/>
      <c r="L27" s="3168">
        <f t="shared" si="20"/>
        <v>5.7999999999999996E-3</v>
      </c>
      <c r="M27" s="3168">
        <f t="shared" si="20"/>
        <v>8.0000000000000004E-4</v>
      </c>
      <c r="N27" s="3168">
        <f t="shared" si="20"/>
        <v>6.8000000000000005E-3</v>
      </c>
      <c r="O27" s="3168"/>
      <c r="P27" s="3168">
        <f t="shared" si="21"/>
        <v>8.0000000000000004E-4</v>
      </c>
      <c r="Q27" s="3177"/>
      <c r="R27" s="3179"/>
      <c r="S27" s="3179">
        <f>ROUND(IF([2]项目基本情况!$B$8="出让",SUMPRODUCT(PRODUCT(1+L27:L$30)),SUMPRODUCT(PRODUCT(1+L27:L$29))),4)</f>
        <v>1.0161</v>
      </c>
      <c r="T27" s="3179">
        <f>ROUND(IF([2]项目基本情况!$B$8="出让",SUMPRODUCT(PRODUCT(1+M27:M$30)),SUMPRODUCT(PRODUCT(1+M27:M$29))),4)</f>
        <v>1.0082</v>
      </c>
      <c r="U27" s="3179">
        <f>ROUND(IF([2]项目基本情况!$B$8="出让",SUMPRODUCT(PRODUCT(1+N27:N$30)),SUMPRODUCT(PRODUCT(1+N27:N$29))),4)</f>
        <v>1.0270999999999999</v>
      </c>
      <c r="V27" s="3179"/>
      <c r="W27" s="3179">
        <f t="shared" si="22"/>
        <v>1.0082</v>
      </c>
      <c r="X27" s="3177"/>
      <c r="Y27" s="3180"/>
      <c r="Z27" s="3209">
        <f t="shared" si="23"/>
        <v>4.8999999999999998E-3</v>
      </c>
      <c r="AA27" s="3211">
        <f t="shared" si="23"/>
        <v>3.3E-3</v>
      </c>
      <c r="AB27" s="3180">
        <f t="shared" si="23"/>
        <v>9.1999999999999998E-3</v>
      </c>
      <c r="AC27" s="3210"/>
      <c r="AD27" s="3180">
        <f t="shared" si="23"/>
        <v>3.3E-3</v>
      </c>
    </row>
    <row r="28" spans="1:30" s="3181" customFormat="1" ht="12.75">
      <c r="A28" s="3172" t="s">
        <v>2839</v>
      </c>
      <c r="B28" s="3173">
        <v>2021</v>
      </c>
      <c r="C28" s="3174">
        <v>3</v>
      </c>
      <c r="D28" s="3175"/>
      <c r="E28" s="3175">
        <v>0.47</v>
      </c>
      <c r="F28" s="3175">
        <v>0.28000000000000003</v>
      </c>
      <c r="G28" s="3175">
        <v>0.91</v>
      </c>
      <c r="H28" s="3193"/>
      <c r="I28" s="3176">
        <f t="shared" si="19"/>
        <v>0.28000000000000003</v>
      </c>
      <c r="J28" s="3177"/>
      <c r="K28" s="3178"/>
      <c r="L28" s="3168">
        <f t="shared" si="20"/>
        <v>4.6999999999999993E-3</v>
      </c>
      <c r="M28" s="3168">
        <f t="shared" si="20"/>
        <v>2.8000000000000004E-3</v>
      </c>
      <c r="N28" s="3168">
        <f t="shared" si="20"/>
        <v>9.1000000000000004E-3</v>
      </c>
      <c r="O28" s="3168"/>
      <c r="P28" s="3168">
        <f t="shared" si="21"/>
        <v>2.8000000000000004E-3</v>
      </c>
      <c r="Q28" s="3177"/>
      <c r="R28" s="3179"/>
      <c r="S28" s="3179">
        <f>ROUND(IF([2]项目基本情况!$B$8="出让",SUMPRODUCT(PRODUCT(1+L28:L$30)),SUMPRODUCT(PRODUCT(1+L28:L$29))),4)</f>
        <v>1.0102</v>
      </c>
      <c r="T28" s="3179">
        <f>ROUND(IF([2]项目基本情况!$B$8="出让",SUMPRODUCT(PRODUCT(1+M28:M$30)),SUMPRODUCT(PRODUCT(1+M28:M$29))),4)</f>
        <v>1.0074000000000001</v>
      </c>
      <c r="U28" s="3179">
        <f>ROUND(IF([2]项目基本情况!$B$8="出让",SUMPRODUCT(PRODUCT(1+N28:N$30)),SUMPRODUCT(PRODUCT(1+N28:N$29))),4)</f>
        <v>1.0202</v>
      </c>
      <c r="V28" s="3179"/>
      <c r="W28" s="3179">
        <f t="shared" si="22"/>
        <v>1.0074000000000001</v>
      </c>
      <c r="X28" s="3177"/>
      <c r="Y28" s="3180"/>
      <c r="Z28" s="3209">
        <f t="shared" si="23"/>
        <v>4.5999999999999999E-3</v>
      </c>
      <c r="AA28" s="3211">
        <f t="shared" si="23"/>
        <v>4.1000000000000003E-3</v>
      </c>
      <c r="AB28" s="3180">
        <f t="shared" si="23"/>
        <v>0.01</v>
      </c>
      <c r="AC28" s="3210"/>
      <c r="AD28" s="3180">
        <f t="shared" si="23"/>
        <v>4.1000000000000003E-3</v>
      </c>
    </row>
    <row r="29" spans="1:30" s="3181" customFormat="1" ht="12.75">
      <c r="A29" s="3172" t="s">
        <v>2840</v>
      </c>
      <c r="B29" s="3173">
        <v>2021</v>
      </c>
      <c r="C29" s="3174">
        <v>2</v>
      </c>
      <c r="D29" s="3175"/>
      <c r="E29" s="3175">
        <v>0.55000000000000004</v>
      </c>
      <c r="F29" s="3175">
        <v>0.46</v>
      </c>
      <c r="G29" s="3175">
        <v>1.1000000000000001</v>
      </c>
      <c r="H29" s="3193"/>
      <c r="I29" s="3176">
        <f t="shared" si="19"/>
        <v>0.46</v>
      </c>
      <c r="J29" s="3177"/>
      <c r="K29" s="3178"/>
      <c r="L29" s="3168">
        <f t="shared" si="20"/>
        <v>5.5000000000000005E-3</v>
      </c>
      <c r="M29" s="3168">
        <f t="shared" si="20"/>
        <v>4.5999999999999999E-3</v>
      </c>
      <c r="N29" s="3168">
        <f t="shared" si="20"/>
        <v>1.1000000000000001E-2</v>
      </c>
      <c r="O29" s="3168"/>
      <c r="P29" s="3168">
        <f t="shared" si="21"/>
        <v>4.5999999999999999E-3</v>
      </c>
      <c r="Q29" s="3177"/>
      <c r="R29" s="3179"/>
      <c r="S29" s="3179">
        <f>ROUND(IF([2]项目基本情况!$B$8="出让",SUMPRODUCT(PRODUCT(1+L29:L$30)),SUMPRODUCT(PRODUCT(1+L29:L$29))),4)</f>
        <v>1.0055000000000001</v>
      </c>
      <c r="T29" s="3179">
        <f>ROUND(IF([2]项目基本情况!$B$8="出让",SUMPRODUCT(PRODUCT(1+M29:M$30)),SUMPRODUCT(PRODUCT(1+M29:M$29))),4)</f>
        <v>1.0045999999999999</v>
      </c>
      <c r="U29" s="3179">
        <f>ROUND(IF([2]项目基本情况!$B$8="出让",SUMPRODUCT(PRODUCT(1+N29:N$30)),SUMPRODUCT(PRODUCT(1+N29:N$29))),4)</f>
        <v>1.0109999999999999</v>
      </c>
      <c r="V29" s="3179"/>
      <c r="W29" s="3179">
        <f t="shared" si="22"/>
        <v>1.0045999999999999</v>
      </c>
      <c r="X29" s="3177"/>
      <c r="Y29" s="3180"/>
      <c r="Z29" s="3209">
        <f t="shared" si="23"/>
        <v>4.4999999999999997E-3</v>
      </c>
      <c r="AA29" s="3211">
        <f t="shared" si="23"/>
        <v>4.7000000000000002E-3</v>
      </c>
      <c r="AB29" s="3180">
        <f t="shared" si="23"/>
        <v>1.04E-2</v>
      </c>
      <c r="AC29" s="3210"/>
      <c r="AD29" s="3180">
        <f t="shared" si="23"/>
        <v>4.7000000000000002E-3</v>
      </c>
    </row>
    <row r="30" spans="1:30" s="3204" customFormat="1" thickBot="1">
      <c r="A30" s="3194" t="s">
        <v>2823</v>
      </c>
      <c r="B30" s="3195">
        <v>2021</v>
      </c>
      <c r="C30" s="3196">
        <v>1</v>
      </c>
      <c r="D30" s="3197"/>
      <c r="E30" s="3197">
        <v>0.35</v>
      </c>
      <c r="F30" s="3197">
        <v>0.48</v>
      </c>
      <c r="G30" s="3197">
        <v>0.98</v>
      </c>
      <c r="H30" s="3198"/>
      <c r="I30" s="3199">
        <f t="shared" si="19"/>
        <v>0.48</v>
      </c>
      <c r="J30" s="3200"/>
      <c r="K30" s="3201"/>
      <c r="L30" s="3202">
        <f t="shared" si="20"/>
        <v>3.4999999999999996E-3</v>
      </c>
      <c r="M30" s="3202">
        <f>F30/100</f>
        <v>4.7999999999999996E-3</v>
      </c>
      <c r="N30" s="3202">
        <f t="shared" si="20"/>
        <v>9.7999999999999997E-3</v>
      </c>
      <c r="O30" s="3202"/>
      <c r="P30" s="3202">
        <f t="shared" si="21"/>
        <v>4.7999999999999996E-3</v>
      </c>
      <c r="Q30" s="3200"/>
      <c r="R30" s="3203"/>
      <c r="S30" s="3203">
        <v>1</v>
      </c>
      <c r="T30" s="3203">
        <v>1</v>
      </c>
      <c r="U30" s="3203">
        <v>1</v>
      </c>
      <c r="V30" s="3203"/>
      <c r="W30" s="3203">
        <f t="shared" si="22"/>
        <v>1</v>
      </c>
      <c r="X30" s="3200"/>
      <c r="Y30" s="3202"/>
      <c r="Z30" s="3215">
        <f t="shared" si="23"/>
        <v>3.5000000000000001E-3</v>
      </c>
      <c r="AA30" s="3216">
        <f t="shared" si="23"/>
        <v>4.7999999999999996E-3</v>
      </c>
      <c r="AB30" s="3202">
        <f t="shared" si="23"/>
        <v>9.7999999999999997E-3</v>
      </c>
      <c r="AC30" s="3217"/>
      <c r="AD30" s="3202">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2433</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2310</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2309</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2308</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2.5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44795</v>
      </c>
      <c r="D13" s="2818">
        <v>3.65</v>
      </c>
      <c r="E13" s="2818">
        <f>D13</f>
        <v>3.65</v>
      </c>
      <c r="F13" s="2818">
        <f>D13</f>
        <v>3.65</v>
      </c>
      <c r="G13" s="2818">
        <f>D13</f>
        <v>3.65</v>
      </c>
      <c r="H13" s="2818">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44701</v>
      </c>
      <c r="D14" s="2813">
        <v>3.7</v>
      </c>
      <c r="E14" s="2813">
        <f>D14</f>
        <v>3.7</v>
      </c>
      <c r="F14" s="2813">
        <f>D14</f>
        <v>3.7</v>
      </c>
      <c r="G14" s="2813">
        <f>D14</f>
        <v>3.7</v>
      </c>
      <c r="H14" s="2813">
        <v>4.45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44581</v>
      </c>
      <c r="D15" s="2813">
        <v>3.7</v>
      </c>
      <c r="E15" s="2813">
        <f>D15</f>
        <v>3.7</v>
      </c>
      <c r="F15" s="2813">
        <f>D15</f>
        <v>3.7</v>
      </c>
      <c r="G15" s="2813">
        <f>D15</f>
        <v>3.7</v>
      </c>
      <c r="H15" s="2813">
        <v>4.5999999999999996</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4">
        <v>44550</v>
      </c>
      <c r="D16" s="2813">
        <v>3.8</v>
      </c>
      <c r="E16" s="2813">
        <f>D16</f>
        <v>3.8</v>
      </c>
      <c r="F16" s="2813">
        <f>D16</f>
        <v>3.8</v>
      </c>
      <c r="G16" s="2813">
        <f>D16</f>
        <v>3.8</v>
      </c>
      <c r="H16" s="2813">
        <v>4.6500000000000004</v>
      </c>
      <c r="I16" s="2813"/>
      <c r="J16" s="281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4">
        <v>43941</v>
      </c>
      <c r="D17" s="2813">
        <v>3.85</v>
      </c>
      <c r="E17" s="2813">
        <v>3.85</v>
      </c>
      <c r="F17" s="2813">
        <v>3.85</v>
      </c>
      <c r="G17" s="2813">
        <v>3.85</v>
      </c>
      <c r="H17" s="2813">
        <v>4.6500000000000004</v>
      </c>
      <c r="I17" s="2813"/>
      <c r="J17" s="281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43789</v>
      </c>
      <c r="D19" s="2813">
        <v>4.1500000000000004</v>
      </c>
      <c r="E19" s="2813">
        <v>4.1500000000000004</v>
      </c>
      <c r="F19" s="2813">
        <v>4.1500000000000004</v>
      </c>
      <c r="G19" s="2813">
        <v>4.1500000000000004</v>
      </c>
      <c r="H19" s="2813">
        <v>4.8</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43728</v>
      </c>
      <c r="D20" s="2813">
        <v>4.2</v>
      </c>
      <c r="E20" s="2813">
        <v>4.2</v>
      </c>
      <c r="F20" s="2813">
        <v>4.2</v>
      </c>
      <c r="G20" s="2813">
        <v>4.2</v>
      </c>
      <c r="H20" s="2813">
        <v>4.8499999999999996</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t="s">
        <v>2307</v>
      </c>
      <c r="C21" s="2815">
        <v>43697</v>
      </c>
      <c r="D21" s="2816">
        <v>4.25</v>
      </c>
      <c r="E21" s="2816">
        <v>4.25</v>
      </c>
      <c r="F21" s="2816">
        <v>4.25</v>
      </c>
      <c r="G21" s="2816">
        <v>4.25</v>
      </c>
      <c r="H21" s="2816">
        <v>4.8499999999999996</v>
      </c>
      <c r="I21" s="2816"/>
      <c r="J21" s="281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9"/>
      <c r="B22" s="2820"/>
      <c r="C22" s="2821">
        <v>42301</v>
      </c>
      <c r="D22" s="2822">
        <v>4.3499999999999996</v>
      </c>
      <c r="E22" s="2822">
        <v>4.3499999999999996</v>
      </c>
      <c r="F22" s="2822">
        <v>4.75</v>
      </c>
      <c r="G22" s="2822">
        <v>4.75</v>
      </c>
      <c r="H22" s="2822">
        <v>4.9000000000000004</v>
      </c>
      <c r="I22" s="2822"/>
      <c r="J22" s="282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N31" sqref="N3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4:N46"/>
  <sheetViews>
    <sheetView topLeftCell="A19" workbookViewId="0">
      <selection activeCell="N44" sqref="N44"/>
    </sheetView>
  </sheetViews>
  <sheetFormatPr defaultRowHeight="13.5"/>
  <sheetData>
    <row r="44" spans="13:14">
      <c r="M44" s="3445" t="s">
        <v>3401</v>
      </c>
      <c r="N44">
        <f>ROUND(N45/N46,1)</f>
        <v>1.2</v>
      </c>
    </row>
    <row r="45" spans="13:14">
      <c r="M45" s="3445" t="s">
        <v>3402</v>
      </c>
      <c r="N45">
        <v>36145.24</v>
      </c>
    </row>
    <row r="46" spans="13:14">
      <c r="M46" s="3445" t="s">
        <v>3403</v>
      </c>
      <c r="N46">
        <v>29914.1</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估价结果一览表</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房地产市场价值</v>
      </c>
      <c r="I2" s="3476"/>
    </row>
    <row r="3" spans="1:9" ht="15">
      <c r="A3" s="3471"/>
      <c r="B3" s="3471"/>
      <c r="C3" s="3471"/>
      <c r="D3" s="854" t="s">
        <v>925</v>
      </c>
      <c r="E3" s="854" t="s">
        <v>931</v>
      </c>
      <c r="F3" s="854" t="s">
        <v>925</v>
      </c>
      <c r="G3" s="854" t="s">
        <v>926</v>
      </c>
      <c r="H3" s="854" t="s">
        <v>925</v>
      </c>
      <c r="I3" s="854" t="s">
        <v>926</v>
      </c>
    </row>
    <row r="4" spans="1:9" ht="45">
      <c r="A4" s="1505" t="str">
        <f>项目基本情况!S2</f>
        <v>北京市朝阳区日坛北路17号院1号楼13层1301、1302号房地产</v>
      </c>
      <c r="B4" s="854">
        <f>项目基本情况!C17</f>
        <v>259.41000000000003</v>
      </c>
      <c r="C4" s="854">
        <f>项目基本情况!C18</f>
        <v>0</v>
      </c>
      <c r="D4" s="854">
        <f ca="1">结果表!D118</f>
        <v>788</v>
      </c>
      <c r="E4" s="854">
        <f ca="1">结果表!E118</f>
        <v>30366</v>
      </c>
      <c r="F4" s="854">
        <f ca="1">结果表!F118</f>
        <v>95</v>
      </c>
      <c r="G4" s="854">
        <f ca="1">结果表!G118</f>
        <v>3677</v>
      </c>
      <c r="H4" s="854">
        <f ca="1">结果表!H118</f>
        <v>883</v>
      </c>
      <c r="I4" s="854">
        <f ca="1">结果表!I118</f>
        <v>34043</v>
      </c>
    </row>
    <row r="5" spans="1:9" ht="30" customHeight="1">
      <c r="A5" s="3471" t="s">
        <v>927</v>
      </c>
      <c r="B5" s="3471"/>
      <c r="C5" s="3471"/>
      <c r="D5" s="3471" t="str">
        <f ca="1">结果表!D119</f>
        <v>柒佰捌拾捌万元整</v>
      </c>
      <c r="E5" s="3471"/>
      <c r="F5" s="3471" t="str">
        <f ca="1">结果表!F119</f>
        <v>玖拾伍万元整</v>
      </c>
      <c r="G5" s="3471"/>
      <c r="H5" s="3471" t="str">
        <f ca="1">结果表!H119</f>
        <v>捌佰捌拾叁万元整</v>
      </c>
      <c r="I5" s="3471"/>
    </row>
    <row r="6" spans="1:9" ht="15.75">
      <c r="A6" s="3470" t="str">
        <f>结果表!A120</f>
        <v/>
      </c>
      <c r="B6" s="3470"/>
      <c r="C6" s="3470"/>
      <c r="D6" s="3470">
        <f>结果表!D120</f>
        <v>0</v>
      </c>
      <c r="E6" s="3470"/>
      <c r="F6" s="3470"/>
      <c r="G6" s="3470"/>
      <c r="H6" s="3470"/>
      <c r="I6" s="3470"/>
    </row>
    <row r="7" spans="1:9" ht="15">
      <c r="A7" s="3471" t="s">
        <v>927</v>
      </c>
      <c r="B7" s="3471"/>
      <c r="C7" s="3471"/>
      <c r="D7" s="3472" t="str">
        <f>结果表!D121</f>
        <v>零元整</v>
      </c>
      <c r="E7" s="3473"/>
      <c r="F7" s="3473"/>
      <c r="G7" s="3473"/>
      <c r="H7" s="3473"/>
      <c r="I7" s="3474"/>
    </row>
    <row r="8" spans="1:9" ht="15.75">
      <c r="A8" s="3470" t="str">
        <f>结果表!A122</f>
        <v/>
      </c>
      <c r="B8" s="3470"/>
      <c r="C8" s="3470"/>
      <c r="D8" s="3470">
        <f ca="1">结果表!D122</f>
        <v>883</v>
      </c>
      <c r="E8" s="3470"/>
      <c r="F8" s="3470"/>
      <c r="G8" s="3470"/>
      <c r="H8" s="3470"/>
      <c r="I8" s="3470"/>
    </row>
    <row r="9" spans="1:9" ht="15">
      <c r="A9" s="3471" t="s">
        <v>927</v>
      </c>
      <c r="B9" s="3471"/>
      <c r="C9" s="3471"/>
      <c r="D9" s="3471" t="str">
        <f ca="1">结果表!D123</f>
        <v>捌佰捌拾叁万元整</v>
      </c>
      <c r="E9" s="3471"/>
      <c r="F9" s="3471"/>
      <c r="G9" s="3471"/>
      <c r="H9" s="3471"/>
      <c r="I9" s="3471"/>
    </row>
    <row r="10" spans="1:9" ht="15.75">
      <c r="A10" s="3470" t="str">
        <f>结果表!A124</f>
        <v/>
      </c>
      <c r="B10" s="3470"/>
      <c r="C10" s="3470"/>
      <c r="D10" s="3470" t="str">
        <f>结果表!D124</f>
        <v>——</v>
      </c>
      <c r="E10" s="3470"/>
      <c r="F10" s="3470"/>
      <c r="G10" s="3470"/>
      <c r="H10" s="3470"/>
      <c r="I10" s="3470"/>
    </row>
    <row r="11" spans="1:9" ht="15">
      <c r="A11" s="3471" t="s">
        <v>927</v>
      </c>
      <c r="B11" s="3471"/>
      <c r="C11" s="3471"/>
      <c r="D11" s="3471" t="e">
        <f>结果表!D125</f>
        <v>#VALUE!</v>
      </c>
      <c r="E11" s="3471"/>
      <c r="F11" s="3471"/>
      <c r="G11" s="3471"/>
      <c r="H11" s="3471"/>
      <c r="I11" s="3471"/>
    </row>
    <row r="12" spans="1:9" ht="15.75">
      <c r="A12" s="3470" t="str">
        <f>结果表!A126</f>
        <v/>
      </c>
      <c r="B12" s="3470"/>
      <c r="C12" s="3470"/>
      <c r="D12" s="3470" t="str">
        <f>结果表!D126</f>
        <v>——</v>
      </c>
      <c r="E12" s="3470"/>
      <c r="F12" s="3470"/>
      <c r="G12" s="3470"/>
      <c r="H12" s="3470"/>
      <c r="I12" s="3470"/>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77" t="str">
        <f>IF(项目基本情况!B8="抵押","4.本次评估估价师所知悉的法定优先受偿款情况说明如下：","——")</f>
        <v>4.本次评估估价师所知悉的法定优先受偿款情况说明如下：</v>
      </c>
      <c r="B14" s="3482"/>
      <c r="C14" s="3482"/>
      <c r="D14" s="3482"/>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79" t="s">
        <v>943</v>
      </c>
      <c r="B16" s="3479"/>
      <c r="C16" s="3479"/>
      <c r="D16" s="3479"/>
    </row>
    <row r="17" spans="1:4" ht="144" customHeight="1">
      <c r="A17" s="3479" t="s">
        <v>944</v>
      </c>
      <c r="B17" s="3479"/>
      <c r="C17" s="3479"/>
      <c r="D17" s="3479"/>
    </row>
    <row r="18" spans="1:4" ht="15.75" customHeight="1">
      <c r="A18" s="3477" t="str">
        <f>IF(项目基本情况!B8="抵押",结果表!K120,"——")</f>
        <v>故，本次评估不存在</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44932</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f ca="1">IF(C14&lt;B2,"已过期",1119980106)</f>
        <v>1119980106</v>
      </c>
      <c r="C14" s="2350">
        <v>44969</v>
      </c>
      <c r="D14" s="2346" t="str">
        <f t="shared" ca="1" si="0"/>
        <v>刘俊财（注册号：1119980106）</v>
      </c>
      <c r="E14" s="2347" t="s">
        <v>2156</v>
      </c>
      <c r="F14" s="1304">
        <f ca="1">IF(G14&lt;B2,"已过期",96010063)</f>
        <v>96010063</v>
      </c>
      <c r="G14" s="2348">
        <v>47483</v>
      </c>
      <c r="H14" s="2349" t="str">
        <f t="shared" ca="1" si="1"/>
        <v>刘俊财（注册号：96010063）</v>
      </c>
    </row>
    <row r="15" spans="1:8" ht="24" customHeight="1">
      <c r="A15" s="1304" t="s">
        <v>2434</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2158</v>
      </c>
      <c r="B17" s="3494"/>
      <c r="C17" s="3494"/>
      <c r="D17" s="3494"/>
      <c r="E17" s="3494"/>
      <c r="F17" s="3494"/>
      <c r="G17" s="3494"/>
      <c r="H17" s="3494"/>
    </row>
    <row r="18" spans="1:8" ht="24" customHeight="1">
      <c r="A18" s="3495" t="s">
        <v>2159</v>
      </c>
      <c r="B18" s="3495"/>
      <c r="C18" s="3495"/>
      <c r="D18" s="2343"/>
      <c r="E18" s="3496" t="s">
        <v>2160</v>
      </c>
      <c r="F18" s="3495"/>
      <c r="G18" s="3495"/>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2435</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土地信息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2023-01-06T01:24:13Z</dcterms:modified>
</cp:coreProperties>
</file>