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90" yWindow="60" windowWidth="14475" windowHeight="1404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土地信息" sheetId="82"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4" i="31"/>
  <c r="N6" i="1"/>
  <c r="F19" i="6"/>
  <c r="N22" i="1" l="1"/>
  <c r="N20" i="1"/>
  <c r="I7" i="6"/>
  <c r="N44" i="82"/>
  <c r="B35" i="1" l="1"/>
  <c r="Y6" i="1"/>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47" i="71"/>
  <c r="D47" i="71"/>
  <c r="D46"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0" i="71"/>
  <c r="D39" i="71"/>
  <c r="C32" i="71"/>
  <c r="D31" i="71"/>
  <c r="C26" i="71"/>
  <c r="D26" i="71"/>
  <c r="D27" i="71"/>
  <c r="V28" i="71"/>
  <c r="P65"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B73" i="43"/>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3" i="76"/>
  <c r="F40" i="15"/>
  <c r="F6" i="73"/>
  <c r="M29" i="15"/>
  <c r="E10" i="76"/>
  <c r="M26" i="67"/>
  <c r="F42" i="15"/>
  <c r="F9" i="15"/>
  <c r="F40" i="67"/>
  <c r="B7" i="76"/>
  <c r="F7" i="73"/>
  <c r="D4" i="73"/>
  <c r="M6" i="67"/>
  <c r="F38" i="15"/>
  <c r="M8" i="15"/>
  <c r="D7" i="73"/>
  <c r="F6" i="67"/>
  <c r="F4" i="73"/>
  <c r="M22" i="67"/>
  <c r="B11" i="76"/>
  <c r="F26" i="15"/>
  <c r="F37" i="67"/>
  <c r="F36" i="67"/>
  <c r="L48" i="15"/>
  <c r="F8" i="15"/>
  <c r="L48" i="67"/>
  <c r="F9" i="67"/>
  <c r="F5" i="73"/>
  <c r="D6" i="73"/>
  <c r="M22" i="15"/>
  <c r="F7" i="15"/>
  <c r="M28" i="67"/>
  <c r="B9" i="76"/>
  <c r="F3" i="73"/>
  <c r="E2" i="69"/>
  <c r="M8" i="67"/>
  <c r="M24" i="67"/>
  <c r="J15" i="15"/>
  <c r="D3" i="73"/>
  <c r="M26" i="15"/>
  <c r="E7" i="76"/>
  <c r="F36" i="15"/>
  <c r="M24" i="15"/>
  <c r="M6" i="15"/>
  <c r="E2" i="68"/>
  <c r="E12" i="76"/>
  <c r="M29" i="67"/>
  <c r="F20" i="31"/>
  <c r="F43" i="67"/>
  <c r="F42" i="67"/>
  <c r="J15" i="67"/>
  <c r="F38" i="67"/>
  <c r="F13" i="67"/>
  <c r="F7" i="67"/>
  <c r="B12" i="76"/>
  <c r="L47" i="67"/>
  <c r="B8" i="76"/>
  <c r="M9" i="67"/>
  <c r="F26" i="67"/>
  <c r="E11" i="76"/>
  <c r="AO13" i="1"/>
  <c r="E13" i="76"/>
  <c r="F13" i="15"/>
  <c r="M9" i="15"/>
  <c r="F6" i="15"/>
  <c r="E9" i="76"/>
  <c r="L47" i="15"/>
  <c r="E8" i="76"/>
  <c r="B10" i="76"/>
  <c r="M23" i="67"/>
  <c r="M28" i="15"/>
  <c r="F37" i="15"/>
  <c r="F43" i="15"/>
  <c r="C76" i="67"/>
  <c r="D5" i="73"/>
  <c r="F8" i="67"/>
  <c r="F16" i="15"/>
  <c r="F16" i="67"/>
  <c r="M23" i="15"/>
  <c r="C76" i="15"/>
  <c r="C21" i="68" l="1"/>
  <c r="C40" i="69"/>
  <c r="G14" i="3"/>
  <c r="G5" i="3" s="1"/>
  <c r="B3" i="3" s="1"/>
  <c r="E384" i="3" s="1"/>
  <c r="K56" i="9"/>
  <c r="B79" i="43"/>
  <c r="G6" i="1"/>
  <c r="I24" i="43"/>
  <c r="C18" i="9"/>
  <c r="D18" i="9" s="1"/>
  <c r="C28" i="67"/>
  <c r="E19" i="71"/>
  <c r="E18" i="71" s="1"/>
  <c r="E17" i="71" s="1"/>
  <c r="E16" i="71" s="1"/>
  <c r="V20" i="71"/>
  <c r="D17" i="71"/>
  <c r="C16" i="71"/>
  <c r="D19" i="53"/>
  <c r="B38" i="72" s="1"/>
  <c r="D16" i="53"/>
  <c r="B34" i="72" s="1"/>
  <c r="AZ557" i="3"/>
  <c r="AC11" i="35"/>
  <c r="J9" i="33"/>
  <c r="AZ398" i="3"/>
  <c r="AZ405" i="3"/>
  <c r="AZ407" i="3"/>
  <c r="AZ410" i="3"/>
  <c r="AZ415" i="3"/>
  <c r="AZ420" i="3"/>
  <c r="AZ426" i="3"/>
  <c r="AZ431" i="3"/>
  <c r="AZ448" i="3"/>
  <c r="AZ452" i="3"/>
  <c r="AZ461" i="3"/>
  <c r="AZ463" i="3"/>
  <c r="AZ468" i="3"/>
  <c r="AZ470" i="3"/>
  <c r="G28" i="6"/>
  <c r="F29" i="6"/>
  <c r="U43" i="33"/>
  <c r="AA41" i="34"/>
  <c r="AZ439" i="3"/>
  <c r="J23" i="35"/>
  <c r="F25" i="37"/>
  <c r="J25" i="37"/>
  <c r="F26" i="37"/>
  <c r="H26" i="37"/>
  <c r="F44" i="39"/>
  <c r="H38" i="40"/>
  <c r="J38" i="40"/>
  <c r="H39" i="40"/>
  <c r="AZ472" i="3"/>
  <c r="AZ475" i="3"/>
  <c r="AZ483" i="3"/>
  <c r="AZ316" i="3"/>
  <c r="AZ332" i="3"/>
  <c r="AZ211" i="3"/>
  <c r="AZ219" i="3"/>
  <c r="AZ236" i="3"/>
  <c r="AZ255" i="3"/>
  <c r="AZ270" i="3"/>
  <c r="AZ274" i="3"/>
  <c r="AZ277" i="3"/>
  <c r="AZ298" i="3"/>
  <c r="AZ301" i="3"/>
  <c r="AZ122" i="3"/>
  <c r="AZ125" i="3"/>
  <c r="AZ22" i="3"/>
  <c r="AZ54" i="3"/>
  <c r="AZ57" i="3"/>
  <c r="AZ70" i="3"/>
  <c r="C43" i="71"/>
  <c r="D42" i="71"/>
  <c r="AZ90" i="3"/>
  <c r="AZ92" i="3"/>
  <c r="AZ112" i="3"/>
  <c r="D35" i="71"/>
  <c r="C36" i="71"/>
  <c r="U18" i="36"/>
  <c r="Y9" i="71"/>
  <c r="Z9" i="71" s="1"/>
  <c r="Y10" i="71"/>
  <c r="Z10" i="71" s="1"/>
  <c r="AA9" i="71"/>
  <c r="AA10" i="71"/>
  <c r="AB24" i="71"/>
  <c r="Y22" i="71"/>
  <c r="Z22" i="71" s="1"/>
  <c r="AB23" i="71"/>
  <c r="Y21" i="71"/>
  <c r="Z21" i="71" s="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3" i="71"/>
  <c r="F67" i="71"/>
  <c r="X24" i="71"/>
  <c r="Y24" i="71"/>
  <c r="Z24" i="71" s="1"/>
  <c r="AB15" i="71"/>
  <c r="AB17" i="71"/>
  <c r="AB11" i="71"/>
  <c r="AB14" i="71"/>
  <c r="Y12" i="71"/>
  <c r="Z12" i="71" s="1"/>
  <c r="Y13" i="71"/>
  <c r="Z13" i="71" s="1"/>
  <c r="X11" i="71"/>
  <c r="Y23" i="71"/>
  <c r="Z23" i="71" s="1"/>
  <c r="X15" i="71"/>
  <c r="AA15" i="71"/>
  <c r="AB12" i="71"/>
  <c r="AB13" i="71"/>
  <c r="Y11" i="71"/>
  <c r="Z11" i="71" s="1"/>
  <c r="X13" i="71"/>
  <c r="X12" i="71"/>
  <c r="AA11" i="71"/>
  <c r="AA12"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7"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441" i="3" l="1"/>
  <c r="E29" i="3"/>
  <c r="E44" i="3"/>
  <c r="AM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3"/>
  <c r="E188" i="3"/>
  <c r="E223" i="3"/>
  <c r="E105" i="3"/>
  <c r="E393" i="3"/>
  <c r="E543" i="3"/>
  <c r="E486" i="3"/>
  <c r="E507" i="3"/>
  <c r="E440" i="3"/>
  <c r="E376" i="3"/>
  <c r="J6" i="3"/>
  <c r="E419" i="3"/>
  <c r="E483" i="3"/>
  <c r="E463" i="3"/>
  <c r="E25" i="3"/>
  <c r="E178" i="3"/>
  <c r="E202" i="3"/>
  <c r="E226" i="3"/>
  <c r="E276" i="3"/>
  <c r="E333" i="3"/>
  <c r="L6" i="3"/>
  <c r="E43" i="3"/>
  <c r="E540" i="3"/>
  <c r="E15" i="3"/>
  <c r="E18" i="3"/>
  <c r="E96" i="3"/>
  <c r="E78" i="3"/>
  <c r="E129" i="3"/>
  <c r="E190" i="3"/>
  <c r="E137" i="3"/>
  <c r="E194" i="3"/>
  <c r="E234" i="3"/>
  <c r="E219" i="3"/>
  <c r="E299" i="3"/>
  <c r="E339" i="3"/>
  <c r="E325" i="3"/>
  <c r="E342" i="3"/>
  <c r="E522" i="3"/>
  <c r="E35" i="3"/>
  <c r="E86" i="3"/>
  <c r="E34" i="3"/>
  <c r="E49" i="3"/>
  <c r="E206" i="3"/>
  <c r="E232" i="3"/>
  <c r="E251" i="3"/>
  <c r="E340" i="3"/>
  <c r="E364" i="3"/>
  <c r="E50" i="3"/>
  <c r="E20" i="3"/>
  <c r="E62" i="3"/>
  <c r="E113" i="3"/>
  <c r="E158" i="3"/>
  <c r="E287" i="3"/>
  <c r="E308" i="3"/>
  <c r="E326" i="3"/>
  <c r="E22" i="3"/>
  <c r="E83" i="3"/>
  <c r="E329" i="3"/>
  <c r="E116" i="3"/>
  <c r="E493" i="3"/>
  <c r="E564" i="3"/>
  <c r="E427" i="3"/>
  <c r="E422" i="3"/>
  <c r="E490" i="3"/>
  <c r="AH6" i="3"/>
  <c r="E498" i="3"/>
  <c r="E401" i="3"/>
  <c r="E40" i="3"/>
  <c r="E108" i="3"/>
  <c r="E119" i="3"/>
  <c r="E242" i="3"/>
  <c r="E346" i="3"/>
  <c r="E372" i="3"/>
  <c r="E60" i="3"/>
  <c r="E473" i="3"/>
  <c r="E455" i="3"/>
  <c r="E79" i="3"/>
  <c r="E38" i="3"/>
  <c r="E100" i="3"/>
  <c r="E170" i="3"/>
  <c r="E174" i="3"/>
  <c r="E220" i="3"/>
  <c r="E275" i="3"/>
  <c r="E235" i="3"/>
  <c r="E324" i="3"/>
  <c r="E383" i="3"/>
  <c r="E392" i="3"/>
  <c r="AQ6" i="3"/>
  <c r="E52" i="3"/>
  <c r="E36" i="3"/>
  <c r="E112" i="3"/>
  <c r="E123" i="3"/>
  <c r="E147" i="3"/>
  <c r="E289" i="3"/>
  <c r="E370" i="3"/>
  <c r="AF6" i="3"/>
  <c r="E102" i="3"/>
  <c r="E80"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N370" i="46"/>
  <c r="F26" i="43"/>
  <c r="N94" i="46"/>
  <c r="E26" i="43"/>
  <c r="D26" i="43" s="1"/>
  <c r="C25" i="43" s="1"/>
  <c r="J26" i="43"/>
  <c r="K16" i="1"/>
  <c r="E59" i="40"/>
  <c r="T36" i="71"/>
  <c r="D36" i="71"/>
  <c r="D43" i="71"/>
  <c r="C44" i="71"/>
  <c r="AC38" i="40"/>
  <c r="W38" i="40"/>
  <c r="AA44" i="39"/>
  <c r="S44" i="39"/>
  <c r="AA26" i="37"/>
  <c r="S26" i="37"/>
  <c r="AA25" i="37"/>
  <c r="S25" i="37"/>
  <c r="C15" i="71"/>
  <c r="T16" i="71"/>
  <c r="B15" i="71"/>
  <c r="B14" i="71" s="1"/>
  <c r="B13" i="71" s="1"/>
  <c r="B12" i="71" s="1"/>
  <c r="S16" i="71"/>
  <c r="F66" i="71"/>
  <c r="Q67" i="71"/>
  <c r="U39" i="40"/>
  <c r="AB39" i="40"/>
  <c r="AB38" i="40"/>
  <c r="U38" i="40"/>
  <c r="AB26" i="37"/>
  <c r="U26" i="37"/>
  <c r="AC25" i="37"/>
  <c r="W25" i="37"/>
  <c r="AC23" i="35"/>
  <c r="W23" i="35"/>
  <c r="AC9" i="33"/>
  <c r="W9" i="3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T44" i="71"/>
  <c r="D44" i="71"/>
  <c r="E11" i="71"/>
  <c r="E10" i="71" s="1"/>
  <c r="E9" i="71" s="1"/>
  <c r="E8" i="71" s="1"/>
  <c r="E7" i="71" s="1"/>
  <c r="E6" i="71" s="1"/>
  <c r="E5" i="71" s="1"/>
  <c r="V12" i="71"/>
  <c r="Q66" i="71"/>
  <c r="Q65" i="71"/>
  <c r="B11" i="71"/>
  <c r="B10" i="71" s="1"/>
  <c r="B9" i="71" s="1"/>
  <c r="B8" i="71" s="1"/>
  <c r="B7" i="71" s="1"/>
  <c r="B6" i="71" s="1"/>
  <c r="B5" i="71" s="1"/>
  <c r="S12" i="71"/>
  <c r="D15" i="71"/>
  <c r="C1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B1" i="74"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C20" i="68" l="1"/>
  <c r="C28" i="68" s="1"/>
  <c r="C27" i="68" s="1"/>
  <c r="C22" i="12"/>
  <c r="C27" i="12" s="1"/>
  <c r="C25"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15"/>
  <c r="M21" i="67"/>
  <c r="C30" i="12" l="1"/>
  <c r="C28"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2" i="21"/>
  <c r="D34" i="9"/>
  <c r="C103" i="9" l="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C5" i="71"/>
  <c r="D5" i="71" s="1"/>
  <c r="M24" i="43" s="1"/>
  <c r="D6"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9"/>
  <c r="D2" i="36"/>
  <c r="D2" i="34"/>
  <c r="D2" i="35"/>
  <c r="D2" i="37"/>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AO12" i="1"/>
  <c r="D20" i="9"/>
  <c r="AO9" i="1"/>
  <c r="AO8" i="1"/>
  <c r="AO10"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101" i="9" s="1"/>
  <c r="G118" i="9"/>
  <c r="C105" i="9" l="1"/>
  <c r="E118" i="9"/>
  <c r="E4" i="52" s="1"/>
  <c r="B48" i="72" s="1"/>
  <c r="I4" i="52"/>
  <c r="H102" i="9"/>
  <c r="H4" i="52"/>
  <c r="C104" i="9"/>
  <c r="H119" i="9"/>
  <c r="H5" i="52" s="1"/>
  <c r="F118" i="9"/>
  <c r="F4" i="52" s="1"/>
  <c r="B51" i="72" s="1"/>
  <c r="H107" i="9"/>
  <c r="D45" i="9"/>
  <c r="D5" i="53"/>
  <c r="M48" i="9"/>
  <c r="G4" i="52"/>
  <c r="B52" i="72" s="1"/>
  <c r="D118" i="9" l="1"/>
  <c r="D4" i="52" s="1"/>
  <c r="B47" i="72" s="1"/>
  <c r="D7" i="53"/>
  <c r="B21" i="72" s="1"/>
  <c r="R24" i="31"/>
  <c r="F119" i="9"/>
  <c r="F5" i="52" s="1"/>
  <c r="B53" i="72" s="1"/>
  <c r="C93" i="9"/>
  <c r="C86" i="9" s="1"/>
  <c r="C64" i="9"/>
  <c r="C63" i="9" s="1"/>
  <c r="C67" i="9" s="1"/>
  <c r="C78" i="9"/>
  <c r="C73" i="9" s="1"/>
  <c r="D53" i="9"/>
  <c r="D52" i="9"/>
  <c r="D55" i="9"/>
  <c r="M53" i="9" s="1"/>
  <c r="C85" i="9"/>
  <c r="C72" i="9"/>
  <c r="D6" i="53"/>
  <c r="B22" i="72" s="1"/>
  <c r="B20" i="72"/>
  <c r="H108" i="9"/>
  <c r="D13" i="53"/>
  <c r="D122" i="9"/>
  <c r="M49" i="9"/>
  <c r="D119" i="9"/>
  <c r="D5" i="52" s="1"/>
  <c r="B49" i="72" s="1"/>
  <c r="S24" i="31" l="1"/>
  <c r="D14" i="74" s="1"/>
  <c r="G14" i="74" s="1"/>
  <c r="B6" i="74" s="1"/>
  <c r="D6" i="74" s="1"/>
  <c r="R25" i="31"/>
  <c r="S25" i="31" s="1"/>
  <c r="C95" i="9"/>
  <c r="C79" i="9"/>
  <c r="C80" i="9" s="1"/>
  <c r="E80" i="9" s="1"/>
  <c r="E81" i="9" s="1"/>
  <c r="D8" i="52"/>
  <c r="D123" i="9"/>
  <c r="D9" i="52" s="1"/>
  <c r="D15" i="53"/>
  <c r="B31" i="72" s="1"/>
  <c r="L63" i="9"/>
  <c r="M63" i="9" s="1"/>
  <c r="L64" i="9"/>
  <c r="M64" i="9" s="1"/>
  <c r="L65" i="9"/>
  <c r="M65" i="9" s="1"/>
  <c r="L66" i="9"/>
  <c r="M66" i="9" s="1"/>
  <c r="L67" i="9"/>
  <c r="M67" i="9" s="1"/>
  <c r="L68" i="9"/>
  <c r="M68" i="9" s="1"/>
  <c r="D14" i="53"/>
  <c r="B32" i="72" s="1"/>
  <c r="B30" i="72"/>
  <c r="C68" i="9"/>
  <c r="D54" i="9" s="1"/>
  <c r="D59" i="9"/>
  <c r="M55" i="9" s="1"/>
  <c r="C96" i="9"/>
  <c r="E96" i="9" s="1"/>
  <c r="E97" i="9" s="1"/>
  <c r="C6" i="74" l="1"/>
  <c r="S22" i="31"/>
  <c r="C81" i="9"/>
  <c r="M69" i="9"/>
  <c r="N69" i="9" s="1"/>
  <c r="C97" i="9"/>
  <c r="D58" i="9" s="1"/>
  <c r="D56" i="9" s="1"/>
  <c r="M54" i="9" s="1"/>
  <c r="N57" i="9" s="1"/>
  <c r="B20" i="31" l="1"/>
  <c r="B21" i="31" s="1"/>
  <c r="R22" i="31"/>
  <c r="P57" i="9"/>
  <c r="N58" i="9"/>
  <c r="N59" i="9"/>
  <c r="E14" i="74" l="1"/>
  <c r="F14" i="74"/>
  <c r="B5" i="74"/>
  <c r="N60" i="9"/>
  <c r="N61" i="9"/>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<sst xmlns="http://schemas.openxmlformats.org/spreadsheetml/2006/main" count="7828" uniqueCount="3430">
  <si>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</si>
  <si>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</si>
  <si>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</si>
  <si>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</si>
  <si>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</si>
  <si>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</si>
  <si>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</si>
  <si>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</si>
  <si>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</si>
  <si>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</si>
  <si>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</si>
  <si>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</si>
  <si>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</si>
  <si>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</si>
  <si>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</si>
  <si>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</si>
  <si>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</si>
  <si>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</si>
  <si>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</si>
  <si>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</si>
  <si>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</si>
  <si>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</si>
  <si>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</si>
  <si>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</si>
  <si>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</si>
  <si>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</si>
  <si>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</si>
  <si>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</si>
  <si>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</si>
  <si>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</si>
  <si>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</si>
  <si>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</si>
  <si>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</si>
  <si>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</si>
  <si>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</si>
  <si>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</si>
  <si>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</si>
  <si>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</si>
  <si>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</si>
  <si>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</si>
  <si>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</si>
  <si>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</si>
  <si>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</si>
  <si>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</si>
  <si>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</si>
  <si>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</si>
  <si>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</si>
  <si>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</si>
  <si>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</si>
  <si>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</si>
  <si>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</si>
  <si>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</si>
  <si>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</si>
  <si>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</si>
  <si>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</si>
  <si>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</si>
  <si>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</si>
  <si>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</si>
  <si>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</si>
  <si>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</si>
  <si>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</si>
  <si>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</si>
  <si>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</si>
  <si>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</si>
  <si>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</si>
  <si>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</si>
  <si>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</si>
  <si>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</si>
  <si>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</si>
  <si>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</si>
  <si>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</si>
  <si>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</si>
  <si>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</si>
  <si>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</si>
  <si>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</si>
  <si>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</si>
  <si>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</si>
  <si>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</si>
  <si>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</si>
  <si>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</si>
  <si>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</si>
  <si>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</si>
  <si>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</si>
  <si>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</si>
  <si>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</si>
  <si>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</si>
  <si>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</si>
  <si>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</si>
  <si>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</si>
  <si>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</si>
  <si>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</si>
  <si>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</si>
  <si>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</si>
  <si>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</si>
  <si>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</si>
  <si>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</si>
  <si>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</si>
  <si>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</si>
  <si>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</si>
  <si>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</si>
  <si>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</si>
  <si>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</si>
  <si>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</si>
  <si>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</si>
  <si>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</si>
  <si>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</si>
  <si>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</si>
  <si>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</si>
  <si>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</si>
  <si>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</si>
  <si>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</si>
  <si>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</si>
  <si>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</si>
  <si>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</si>
  <si>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</si>
  <si>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</si>
  <si>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</si>
  <si>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</si>
  <si>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</si>
  <si>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</si>
  <si>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</si>
  <si>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</si>
  <si>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</si>
  <si>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</si>
  <si>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</si>
  <si>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</si>
  <si>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</si>
  <si>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</si>
  <si>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</si>
  <si>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</si>
  <si>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</si>
  <si>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</si>
  <si>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</si>
  <si>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</si>
  <si>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</si>
  <si>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</si>
  <si>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</si>
  <si>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</si>
  <si>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</si>
  <si>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</si>
  <si>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</si>
  <si>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</si>
  <si>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</si>
  <si>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</si>
  <si>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</si>
  <si>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</si>
  <si>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</si>
  <si>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</si>
  <si>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</si>
  <si>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</si>
  <si>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</si>
  <si>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</si>
  <si>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</si>
  <si>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</si>
  <si>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</si>
  <si>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</si>
  <si>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</si>
  <si>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</si>
  <si>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</si>
  <si>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</si>
  <si>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</si>
  <si>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</si>
  <si>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</si>
  <si>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</si>
  <si>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</si>
  <si>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</si>
  <si>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</si>
  <si>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</si>
  <si>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</si>
  <si>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</si>
  <si>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</si>
  <si>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</si>
  <si>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</si>
  <si>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</si>
  <si>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</si>
  <si>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</si>
  <si>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</si>
  <si>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</si>
  <si>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</si>
  <si>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</si>
  <si>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</si>
  <si>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</si>
  <si>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</si>
  <si>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</si>
  <si>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</si>
  <si>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</si>
  <si>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</si>
  <si>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</si>
  <si>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</si>
  <si>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</si>
  <si>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</si>
  <si>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</si>
  <si>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</si>
  <si>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</si>
  <si>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</si>
  <si>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</si>
  <si>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</si>
  <si>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</si>
  <si>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</si>
  <si>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</si>
  <si>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</si>
  <si>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</si>
  <si>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</si>
  <si>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</si>
  <si>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</si>
  <si>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</si>
  <si>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</si>
  <si>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</si>
  <si>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</si>
  <si>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</si>
  <si>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</si>
  <si>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</si>
  <si>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</si>
  <si>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</si>
  <si>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</si>
  <si>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</si>
  <si>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</si>
  <si>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</si>
  <si>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</si>
  <si>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</si>
  <si>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</si>
  <si>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</si>
  <si>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</si>
  <si>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</si>
  <si>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</si>
  <si>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</si>
  <si>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</si>
  <si>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</si>
  <si>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</si>
  <si>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</si>
  <si>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</si>
  <si>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</si>
  <si>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</si>
  <si>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</si>
  <si>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</si>
  <si>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</si>
  <si>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</si>
  <si>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</si>
  <si>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</si>
  <si>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</si>
  <si>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</si>
  <si>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</si>
  <si>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</si>
  <si>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</si>
  <si>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</si>
  <si>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</si>
  <si>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</si>
  <si>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</si>
  <si>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</si>
  <si>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</si>
  <si>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</si>
  <si>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</si>
  <si>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</si>
  <si>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</si>
  <si>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</si>
  <si>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</si>
  <si>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</si>
  <si>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</si>
  <si>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</si>
  <si>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</si>
  <si>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</si>
  <si>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</si>
  <si>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</si>
  <si>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</si>
  <si>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</si>
  <si>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</si>
  <si>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</si>
  <si>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</si>
  <si>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</si>
  <si>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</si>
  <si>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</si>
  <si>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</si>
  <si>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</si>
  <si>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</si>
  <si>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</si>
  <si>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</si>
  <si>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</si>
  <si>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</si>
  <si>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</si>
  <si>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</si>
  <si>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</si>
  <si>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</si>
  <si>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</si>
  <si>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</si>
  <si>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</si>
  <si>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</si>
  <si>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</si>
  <si>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</si>
  <si>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</si>
  <si>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</si>
  <si>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</si>
  <si>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</si>
  <si>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</si>
  <si>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</si>
  <si>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</si>
  <si>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</si>
  <si>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</si>
  <si>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</si>
  <si>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</si>
  <si>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</si>
  <si>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</si>
  <si>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</si>
  <si>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</si>
  <si>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</si>
  <si>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</si>
  <si>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</si>
  <si>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</si>
  <si>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</si>
  <si>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</si>
  <si>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</si>
  <si>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</si>
  <si>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</si>
  <si>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</si>
  <si>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</si>
  <si>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</si>
  <si>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</si>
  <si>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</si>
  <si>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</si>
  <si>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</si>
  <si>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</si>
  <si>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</si>
  <si>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</si>
  <si>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</si>
  <si>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</si>
  <si>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</si>
  <si>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</si>
  <si>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</si>
  <si>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</si>
  <si>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</si>
  <si>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</si>
  <si>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</si>
  <si>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</si>
  <si>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</si>
  <si>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</si>
  <si>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</si>
  <si>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</si>
  <si>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</si>
  <si>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</si>
  <si>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</si>
  <si>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</si>
  <si>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</si>
  <si>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</si>
  <si>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</si>
  <si>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</si>
  <si>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</si>
  <si>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</si>
  <si>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</si>
  <si>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</si>
  <si>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</si>
  <si>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</si>
  <si>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</si>
  <si>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</si>
  <si>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</si>
  <si>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</si>
  <si>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</si>
  <si>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</si>
  <si>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</si>
  <si>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</si>
  <si>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</si>
  <si>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</si>
  <si>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</si>
  <si>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</si>
  <si>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</si>
  <si>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</si>
  <si>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</si>
  <si>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</si>
  <si>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</si>
  <si>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</si>
  <si>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</si>
  <si>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</si>
  <si>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</si>
  <si>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</si>
  <si>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</si>
  <si>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</si>
  <si>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</si>
  <si>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</si>
  <si>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</si>
  <si>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</si>
  <si>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</si>
  <si>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</si>
  <si>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</si>
  <si>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</si>
  <si>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</si>
  <si>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</si>
  <si>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</si>
  <si>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</si>
  <si>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</si>
  <si>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</si>
  <si>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</si>
  <si>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</si>
  <si>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</si>
  <si>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</si>
  <si>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</si>
  <si>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</si>
  <si>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</si>
  <si>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</si>
  <si>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</si>
  <si>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</si>
  <si>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</si>
  <si>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</si>
  <si>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</si>
  <si>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</si>
  <si>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</si>
  <si>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</si>
  <si>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</si>
  <si>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</si>
  <si>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</si>
  <si>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</si>
  <si>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</si>
  <si>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</si>
  <si>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</si>
  <si>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</si>
  <si>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</si>
  <si>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</si>
  <si>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</si>
  <si>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</si>
  <si>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</si>
  <si>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</si>
  <si>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</si>
  <si>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</si>
  <si>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</si>
  <si>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</si>
  <si>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</si>
  <si>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</si>
  <si>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</si>
  <si>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</si>
  <si>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</si>
  <si>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</si>
  <si>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</si>
  <si>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</si>
  <si>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</si>
  <si>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</si>
  <si>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</si>
  <si>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</si>
  <si>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</si>
  <si>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</si>
  <si>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</si>
  <si>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</si>
  <si>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</si>
  <si>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</si>
  <si>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</si>
  <si>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</si>
  <si>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</si>
  <si>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</si>
  <si>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</si>
  <si>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</si>
  <si>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</si>
  <si>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</si>
  <si>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</si>
  <si>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</si>
  <si>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</si>
  <si>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</si>
  <si>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</si>
  <si>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</si>
  <si>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</si>
  <si>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</si>
  <si>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</si>
  <si>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</si>
  <si>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</si>
  <si>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</si>
  <si>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</si>
  <si>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</si>
  <si>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</si>
  <si>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</si>
  <si>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</si>
  <si>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</si>
  <si>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</si>
  <si>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</si>
  <si>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</si>
  <si>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</si>
  <si>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</si>
  <si>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</si>
  <si>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</si>
  <si>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</si>
  <si>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</si>
  <si>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</si>
  <si>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</si>
  <si>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</si>
  <si>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</si>
  <si>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</si>
  <si>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</si>
  <si>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</si>
  <si>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</si>
  <si>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</si>
  <si>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</si>
  <si>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</si>
  <si>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</si>
  <si>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</si>
  <si>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</si>
  <si>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</si>
  <si>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</si>
  <si>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</si>
  <si>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</si>
  <si>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</si>
  <si>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</si>
  <si>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</si>
  <si>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</si>
  <si>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</si>
  <si>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</si>
  <si>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</si>
  <si>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</si>
  <si>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</si>
  <si>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</si>
  <si>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</si>
  <si>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</si>
  <si>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</si>
  <si>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</si>
  <si>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</si>
  <si>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</si>
  <si>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</si>
  <si>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</si>
  <si>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</si>
  <si>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</si>
  <si>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</si>
  <si>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</si>
  <si>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</si>
  <si>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</si>
  <si>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</si>
  <si>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</si>
  <si>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</si>
  <si>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</si>
  <si>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</si>
  <si>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</si>
  <si>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</si>
  <si>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</si>
  <si>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</si>
  <si>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</si>
  <si>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</si>
  <si>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</si>
  <si>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</si>
  <si>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</si>
  <si>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</si>
  <si>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</si>
  <si>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</si>
  <si>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</si>
  <si>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</si>
  <si>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</si>
  <si>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</si>
  <si>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</si>
  <si>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</si>
  <si>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</si>
  <si>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</si>
  <si>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</si>
  <si>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</si>
  <si>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</si>
  <si>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</si>
  <si>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</si>
  <si>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</si>
  <si>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</si>
  <si>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</si>
  <si>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</si>
  <si>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</si>
  <si>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</si>
  <si>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</si>
  <si>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</si>
  <si>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</si>
  <si>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</si>
  <si>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</si>
  <si>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</si>
  <si>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</si>
  <si>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</si>
  <si>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</si>
  <si>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</si>
  <si>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</si>
  <si>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</si>
  <si>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</si>
  <si>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</si>
  <si>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</si>
  <si>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</si>
  <si>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</si>
  <si>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</si>
  <si>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</si>
  <si>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</si>
  <si>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</si>
  <si>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</si>
  <si>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</si>
  <si>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</si>
  <si>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</si>
  <si>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</si>
  <si>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</si>
  <si>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</si>
  <si>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</si>
  <si>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</si>
  <si>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</si>
  <si>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</si>
  <si>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</si>
  <si>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</si>
  <si>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</si>
  <si>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</si>
  <si>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</si>
  <si>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</si>
  <si>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</si>
  <si>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</si>
  <si>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</si>
  <si>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</si>
  <si>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</si>
  <si>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</si>
  <si>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</si>
  <si>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</si>
  <si>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</si>
  <si>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</si>
  <si>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</si>
  <si>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</si>
  <si>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</si>
  <si>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</si>
  <si>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</si>
  <si>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</si>
  <si>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</si>
  <si>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</si>
  <si>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</si>
  <si>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</si>
  <si>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</si>
  <si>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</si>
  <si>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</si>
  <si>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</si>
  <si>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</si>
  <si>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</si>
  <si>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</si>
  <si>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</si>
  <si>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</si>
  <si>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</si>
  <si>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</si>
  <si>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</si>
  <si>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</si>
  <si>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</si>
  <si>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</si>
  <si>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</si>
  <si>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</si>
  <si>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</si>
  <si>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</si>
  <si>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</si>
  <si>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</si>
  <si>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</si>
  <si>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</si>
  <si>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</si>
  <si>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</si>
  <si>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</si>
  <si>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</si>
  <si>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</si>
  <si>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</si>
  <si>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</si>
  <si>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</si>
  <si>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</si>
  <si>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</si>
  <si>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</si>
  <si>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</si>
  <si>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</si>
  <si>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</si>
  <si>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</si>
  <si>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</si>
  <si>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</si>
  <si>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</si>
  <si>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</si>
  <si>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</si>
  <si>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</si>
  <si>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</si>
  <si>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</si>
  <si>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</si>
  <si>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</si>
  <si>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</si>
  <si>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</si>
  <si>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</si>
  <si>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</si>
  <si>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</si>
  <si>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</si>
  <si>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</si>
  <si>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</si>
  <si>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</si>
  <si>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</si>
  <si>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</si>
  <si>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</si>
  <si>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</si>
  <si>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</si>
  <si>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</si>
  <si>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</si>
  <si>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</si>
  <si>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</si>
  <si>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</si>
  <si>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</si>
  <si>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</si>
  <si>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</si>
  <si>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</si>
  <si>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</si>
  <si>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</si>
  <si>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</si>
  <si>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</si>
  <si>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</si>
  <si>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</si>
  <si>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</si>
  <si>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</si>
  <si>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</si>
  <si>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</si>
  <si>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</si>
  <si>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</si>
  <si>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</si>
  <si>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</si>
  <si>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</si>
  <si>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</si>
  <si>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</si>
  <si>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</si>
  <si>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</si>
  <si>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</si>
  <si>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</si>
  <si>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</si>
  <si>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</si>
  <si>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</si>
  <si>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</si>
  <si>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</si>
  <si>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</si>
  <si>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</si>
  <si>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</si>
  <si>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</si>
  <si>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</si>
  <si>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</si>
  <si>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</si>
  <si>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</si>
  <si>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</si>
  <si>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</si>
  <si>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</si>
  <si>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</si>
  <si>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</si>
  <si>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</si>
  <si>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</si>
  <si>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</si>
  <si>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</si>
  <si>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</si>
  <si>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</si>
  <si>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</si>
  <si>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</si>
  <si>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</si>
  <si>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</si>
  <si>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</si>
  <si>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</si>
  <si>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</si>
  <si>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</si>
  <si>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</si>
  <si>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</si>
  <si>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</si>
  <si>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</si>
  <si>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</si>
  <si>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</si>
  <si>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</si>
  <si>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</si>
  <si>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</si>
  <si>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</si>
  <si>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</si>
  <si>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</si>
  <si>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</si>
  <si>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</si>
  <si>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</si>
  <si>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</si>
  <si>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</si>
  <si>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</si>
  <si>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</si>
  <si>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</si>
  <si>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</si>
  <si>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</si>
  <si>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</si>
  <si>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</si>
  <si>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</si>
  <si>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</si>
  <si>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</si>
  <si>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</si>
  <si>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</si>
  <si>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</si>
  <si>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</si>
  <si>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</si>
  <si>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</si>
  <si>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</si>
  <si>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</si>
  <si>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</si>
  <si>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</si>
  <si>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</si>
  <si>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</si>
  <si>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</si>
  <si>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</si>
  <si>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</si>
  <si>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</si>
  <si>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</si>
  <si>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</si>
  <si>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</si>
  <si>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</si>
  <si>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</si>
  <si>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</si>
  <si>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</si>
  <si>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</si>
  <si>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</si>
  <si>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</si>
  <si>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</si>
  <si>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</si>
  <si>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</si>
  <si>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</si>
  <si>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</si>
  <si>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</si>
  <si>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</si>
  <si>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</si>
  <si>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</si>
  <si>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</si>
  <si>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</si>
  <si>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</si>
  <si>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</si>
  <si>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</si>
  <si>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</si>
  <si>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</si>
  <si>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</si>
  <si>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</si>
  <si>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</si>
  <si>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</si>
  <si>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</si>
  <si>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</si>
  <si>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</si>
  <si>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</si>
  <si>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</si>
  <si>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</si>
  <si>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</si>
  <si>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</si>
  <si>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</si>
  <si>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</si>
  <si>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</si>
  <si>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</si>
  <si>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</si>
  <si>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</si>
  <si>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</si>
  <si>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</si>
  <si>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</si>
  <si>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</si>
  <si>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</si>
  <si>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</si>
  <si>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</si>
  <si>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</si>
  <si>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</si>
  <si>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</si>
  <si>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</si>
  <si>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</si>
  <si>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</si>
  <si>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</si>
  <si>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</si>
  <si>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</si>
  <si>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</si>
  <si>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</si>
  <si>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</si>
  <si>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</si>
  <si>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</si>
  <si>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</si>
  <si>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</si>
  <si>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</si>
  <si>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</si>
  <si>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</si>
  <si>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</si>
  <si>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</si>
  <si>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</si>
  <si>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</si>
  <si>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</si>
  <si>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</si>
  <si>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</si>
  <si>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</si>
  <si>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</si>
  <si>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</si>
  <si>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</si>
  <si>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</si>
  <si>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</si>
  <si>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</si>
  <si>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</si>
  <si>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</si>
  <si>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</si>
  <si>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</si>
  <si>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</si>
  <si>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</si>
  <si>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</si>
  <si>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</si>
  <si>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</si>
  <si>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</si>
  <si>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</si>
  <si>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</si>
  <si>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</si>
  <si>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</si>
  <si>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</si>
  <si>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</si>
  <si>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</si>
  <si>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</si>
  <si>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</si>
  <si>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</si>
  <si>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</si>
  <si>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</si>
  <si>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</si>
  <si>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</si>
  <si>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</si>
  <si>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</si>
  <si>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</si>
  <si>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</si>
  <si>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</si>
  <si>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</si>
  <si>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</si>
  <si>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</si>
  <si>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</si>
  <si>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</si>
  <si>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</si>
  <si>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</si>
  <si>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</si>
  <si>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</si>
  <si>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</si>
  <si>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</si>
  <si>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</si>
  <si>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</si>
  <si>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</si>
  <si>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</si>
  <si>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</si>
  <si>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</si>
  <si>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</si>
  <si>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</si>
  <si>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</si>
  <si>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</si>
  <si>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</si>
  <si>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</si>
  <si>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</si>
  <si>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</si>
  <si>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</si>
  <si>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</si>
  <si>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</si>
  <si>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</si>
  <si>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</si>
  <si>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</si>
  <si>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</si>
  <si>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</si>
  <si>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</si>
  <si>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</si>
  <si>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</si>
  <si>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</si>
  <si>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</si>
  <si>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</si>
  <si>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</si>
  <si>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</si>
  <si>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</si>
  <si>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</si>
  <si>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</si>
  <si>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</si>
  <si>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</si>
  <si>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</si>
  <si>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</si>
  <si>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</si>
  <si>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</si>
  <si>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</si>
  <si>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</si>
  <si>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</si>
  <si>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</si>
  <si>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</si>
  <si>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</si>
  <si>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</si>
  <si>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</si>
  <si>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</si>
  <si>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</si>
  <si>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</si>
  <si>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</si>
  <si>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</si>
  <si>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</si>
  <si>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</si>
  <si>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</si>
  <si>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</si>
  <si>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</si>
  <si>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</si>
  <si>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</si>
  <si>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</si>
  <si>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</si>
  <si>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</si>
  <si>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</si>
  <si>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</si>
  <si>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</si>
  <si>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</si>
  <si>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</si>
  <si>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</si>
  <si>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</si>
  <si>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</si>
  <si>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</si>
  <si>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</si>
  <si>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</si>
  <si>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</si>
  <si>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</si>
  <si>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</si>
  <si>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</si>
  <si>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</si>
  <si>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</si>
  <si>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</si>
  <si>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</si>
  <si>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</si>
  <si>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</si>
  <si>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</si>
  <si>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</si>
  <si>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</si>
  <si>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</si>
  <si>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</si>
  <si>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</si>
  <si>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</si>
  <si>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</si>
  <si>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</si>
  <si>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</si>
  <si>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</si>
  <si>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</si>
  <si>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</si>
  <si>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</si>
  <si>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</si>
  <si>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</si>
  <si>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</si>
  <si>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</si>
  <si>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</si>
  <si>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</si>
  <si>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</si>
  <si>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</si>
  <si>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</si>
  <si>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</si>
  <si>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</si>
  <si>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</si>
  <si>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</si>
  <si>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</si>
  <si>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</si>
  <si>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</si>
  <si>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</si>
  <si>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</si>
  <si>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</si>
  <si>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</si>
  <si>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</si>
  <si>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</si>
  <si>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</si>
  <si>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</si>
  <si>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</si>
  <si>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</si>
  <si>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</si>
  <si>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</si>
  <si>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</si>
  <si>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</si>
  <si>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</si>
  <si>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</si>
  <si>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</si>
  <si>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</si>
  <si>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</si>
  <si>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</si>
  <si>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</si>
  <si>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</si>
  <si>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</si>
  <si>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</si>
  <si>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</si>
  <si>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</si>
  <si>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</si>
  <si>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</si>
  <si>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</si>
  <si>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</si>
  <si>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</si>
  <si>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</si>
  <si>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</si>
  <si>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</si>
  <si>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</si>
  <si>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</si>
  <si>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</si>
  <si>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</si>
  <si>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</si>
  <si>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</si>
  <si>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</si>
  <si>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</si>
  <si>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</si>
  <si>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</si>
  <si>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</si>
  <si>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</si>
  <si>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</si>
  <si>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</si>
  <si>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</si>
  <si>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</si>
  <si>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</si>
  <si>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</si>
  <si>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</si>
  <si>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</si>
  <si>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</si>
  <si>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</si>
  <si>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</si>
  <si>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</si>
  <si>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</si>
  <si>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</si>
  <si>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</si>
  <si>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</si>
  <si>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</si>
  <si>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</si>
  <si>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</si>
  <si>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</si>
  <si>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</si>
  <si>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</si>
  <si>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</si>
  <si>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</si>
  <si>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</si>
  <si>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</si>
  <si>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</si>
  <si>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</si>
  <si>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</si>
  <si>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</si>
  <si>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</si>
  <si>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</si>
  <si>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</si>
  <si>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</si>
  <si>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</si>
  <si>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</si>
  <si>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</si>
  <si>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</si>
  <si>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</si>
  <si>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</si>
  <si>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</si>
  <si>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</si>
  <si>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</si>
  <si>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</si>
  <si>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</si>
  <si>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</si>
  <si>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</si>
  <si>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</si>
  <si>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</si>
  <si>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</si>
  <si>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</si>
  <si>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</si>
  <si>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</si>
  <si>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</si>
  <si>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</si>
  <si>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</si>
  <si>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</si>
  <si>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</si>
  <si>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</si>
  <si>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</si>
  <si>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</si>
  <si>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</si>
  <si>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</si>
  <si>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</si>
  <si>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</si>
  <si>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</si>
  <si>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</si>
  <si>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</si>
  <si>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</si>
  <si>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</si>
  <si>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</si>
  <si>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</si>
  <si>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</si>
  <si>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</si>
  <si>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</si>
  <si>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</si>
  <si>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</si>
  <si>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</si>
  <si>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</si>
  <si>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</si>
  <si>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</si>
  <si>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</si>
  <si>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</si>
  <si>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</si>
  <si>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</si>
  <si>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</si>
  <si>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</si>
  <si>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</si>
  <si>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</si>
  <si>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</si>
  <si>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</si>
  <si>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</si>
  <si>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</si>
  <si>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</si>
  <si>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</si>
  <si>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</si>
  <si>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</si>
  <si>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</si>
  <si>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</si>
  <si>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</si>
  <si>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</si>
  <si>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</si>
  <si>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</si>
  <si>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</si>
  <si>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</si>
  <si>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</si>
  <si>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</si>
  <si>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</si>
  <si>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</si>
  <si>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</si>
  <si>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</si>
  <si>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</si>
  <si>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</si>
  <si>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</si>
  <si>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</si>
  <si>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</si>
  <si>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</si>
  <si>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</si>
  <si>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</si>
  <si>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</si>
  <si>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</si>
  <si>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</si>
  <si>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</si>
  <si>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</si>
  <si>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</si>
  <si>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</si>
  <si>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</si>
  <si>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</si>
  <si>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</si>
  <si>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</si>
  <si>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</si>
  <si>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</si>
  <si>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</si>
  <si>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</si>
  <si>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</si>
  <si>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</si>
  <si>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</si>
  <si>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</si>
  <si>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</si>
  <si>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</si>
  <si>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</si>
  <si>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</si>
  <si>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</si>
  <si>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</si>
  <si>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</si>
  <si>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</si>
  <si>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</si>
  <si>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</si>
  <si>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</si>
  <si>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</si>
  <si>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</si>
  <si>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</si>
  <si>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</si>
  <si>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</si>
  <si>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</si>
  <si>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</si>
  <si>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</si>
  <si>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</si>
  <si>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</si>
  <si>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</si>
  <si>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</si>
  <si>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</si>
  <si>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</si>
  <si>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</si>
  <si>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</si>
  <si>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</si>
  <si>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</si>
  <si>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</si>
  <si>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</si>
  <si>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</si>
  <si>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</si>
  <si>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</si>
  <si>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</si>
  <si>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</si>
  <si>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</si>
  <si>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</si>
  <si>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</si>
  <si>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</si>
  <si>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</si>
  <si>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</si>
  <si>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</si>
  <si>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</si>
  <si>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</si>
  <si>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</si>
  <si>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</si>
  <si>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</si>
  <si>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</si>
  <si>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</si>
  <si>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</si>
  <si>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</si>
  <si>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</si>
  <si>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</si>
  <si>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</si>
  <si>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</si>
  <si>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</si>
  <si>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</si>
  <si>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</si>
  <si>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</si>
  <si>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</si>
  <si>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</si>
  <si>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</si>
  <si>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</si>
  <si>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</si>
  <si>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</si>
  <si>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</si>
  <si>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</si>
  <si>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</si>
  <si>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</si>
  <si>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</si>
  <si>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</si>
  <si>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</si>
  <si>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</si>
  <si>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</si>
  <si>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</si>
  <si>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</si>
  <si>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</si>
  <si>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</si>
  <si>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</si>
  <si>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</si>
  <si>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</si>
  <si>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</si>
  <si>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</si>
  <si>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</si>
  <si>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</si>
  <si>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</si>
  <si>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</si>
  <si>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</si>
  <si>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</si>
  <si>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</si>
  <si>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</si>
  <si>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</si>
  <si>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</si>
  <si>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</si>
  <si>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</si>
  <si>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</si>
  <si>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</si>
  <si>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</si>
  <si>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</si>
  <si>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</si>
  <si>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</si>
  <si>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</si>
  <si>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</si>
  <si>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</si>
  <si>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</si>
  <si>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</si>
  <si>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</si>
  <si>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</si>
  <si>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</si>
  <si>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</si>
  <si>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</si>
  <si>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</si>
  <si>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</si>
  <si>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</si>
  <si>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</si>
  <si>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</si>
  <si>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</si>
  <si>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</si>
  <si>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</si>
  <si>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</si>
  <si>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</si>
  <si>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</si>
  <si>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</si>
  <si>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</si>
  <si>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</si>
  <si>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</si>
  <si>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</si>
  <si>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</si>
  <si>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</si>
  <si>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</si>
  <si>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</si>
  <si>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</si>
  <si>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</si>
  <si>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</si>
  <si>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</si>
  <si>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</si>
  <si>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</si>
  <si>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</si>
  <si>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</si>
  <si>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</si>
  <si>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</si>
  <si>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</si>
  <si>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</si>
  <si>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</si>
  <si>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</si>
  <si>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</si>
  <si>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</si>
  <si>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</si>
  <si>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</si>
  <si>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</si>
  <si>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</si>
  <si>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</si>
  <si>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</si>
  <si>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</si>
  <si>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</si>
  <si>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</si>
  <si>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</si>
  <si>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</si>
  <si>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</si>
  <si>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</si>
  <si>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</si>
  <si>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</si>
  <si>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</si>
  <si>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</si>
  <si>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</si>
  <si>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</si>
  <si>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</si>
  <si>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</si>
  <si>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</si>
  <si>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</si>
  <si>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</si>
  <si>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</si>
  <si>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</si>
  <si>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</si>
  <si>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</si>
  <si>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</si>
  <si>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</si>
  <si>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</si>
  <si>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</si>
  <si>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</si>
  <si>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</si>
  <si>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</si>
  <si>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</si>
  <si>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</si>
  <si>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</si>
  <si>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</si>
  <si>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</si>
  <si>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</si>
  <si>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</si>
  <si>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</si>
  <si>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</si>
  <si>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</si>
  <si>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</si>
  <si>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</si>
  <si>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</si>
  <si>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</si>
  <si>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</si>
  <si>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</si>
  <si>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</si>
  <si>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</si>
  <si>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</si>
  <si>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</si>
  <si>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</si>
  <si>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</si>
  <si>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</si>
  <si>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</si>
  <si>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</si>
  <si>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</si>
  <si>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</si>
  <si>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</si>
  <si>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</si>
  <si>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</si>
  <si>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</si>
  <si>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</si>
  <si>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</si>
  <si>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</si>
  <si>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</si>
  <si>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</si>
  <si>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</si>
  <si>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</si>
  <si>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</si>
  <si>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</si>
  <si>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</si>
  <si>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</si>
  <si>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</si>
  <si>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</si>
  <si>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</si>
  <si>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</si>
  <si>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</si>
  <si>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</si>
  <si>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</si>
  <si>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</si>
  <si>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</si>
  <si>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</si>
  <si>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</si>
  <si>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</si>
  <si>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</si>
  <si>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</si>
  <si>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</si>
  <si>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</si>
  <si>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</si>
  <si>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</si>
  <si>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</si>
  <si>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</si>
  <si>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</si>
  <si>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</si>
  <si>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</si>
  <si>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</si>
  <si>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</si>
  <si>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</si>
  <si>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</si>
  <si>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</si>
  <si>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</si>
  <si>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</si>
  <si>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</si>
  <si>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</si>
  <si>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</si>
  <si>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</si>
  <si>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</si>
  <si>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</si>
  <si>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</si>
  <si>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</si>
  <si>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</si>
  <si>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</si>
  <si>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</si>
  <si>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</si>
  <si>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</si>
  <si>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</si>
  <si>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</si>
  <si>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</si>
  <si>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</si>
  <si>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</si>
  <si>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</si>
  <si>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</si>
  <si>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</si>
  <si>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</si>
  <si>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</si>
  <si>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</si>
  <si>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</si>
  <si>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</si>
  <si>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</si>
  <si>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</si>
  <si>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</si>
  <si>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</si>
  <si>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</si>
  <si>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</si>
  <si>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</si>
  <si>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</si>
  <si>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</si>
  <si>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</si>
  <si>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</si>
  <si>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</si>
  <si>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</si>
  <si>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</si>
  <si>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</si>
  <si>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</si>
  <si>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</si>
  <si>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</si>
  <si>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</si>
  <si>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</si>
  <si>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</si>
  <si>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</si>
  <si>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</si>
  <si>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</si>
  <si>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</si>
  <si>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</si>
  <si>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</si>
  <si>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</si>
  <si>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</si>
  <si>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</si>
  <si>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</si>
  <si>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</si>
  <si>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</si>
  <si>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</si>
  <si>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</si>
  <si>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</si>
  <si>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</si>
  <si>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</si>
  <si>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</si>
  <si>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</si>
  <si>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</si>
  <si>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</si>
  <si>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</si>
  <si>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</si>
  <si>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</si>
  <si>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</si>
  <si>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</si>
  <si>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</si>
  <si>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</si>
  <si>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</si>
  <si>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</si>
  <si>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</si>
  <si>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</si>
  <si>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</si>
  <si>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</si>
  <si>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</si>
  <si>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</si>
  <si>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</si>
  <si>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</si>
  <si>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</si>
  <si>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</si>
  <si>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</si>
  <si>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</si>
  <si>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</si>
  <si>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</si>
  <si>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</si>
  <si>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</si>
  <si>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</si>
  <si>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</si>
  <si>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</si>
  <si>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</si>
  <si>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</si>
  <si>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</si>
  <si>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</si>
  <si>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</si>
  <si>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</si>
  <si>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</si>
  <si>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</si>
  <si>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</si>
  <si>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</si>
  <si>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</si>
  <si>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</si>
  <si>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</si>
  <si>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</si>
  <si>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</si>
  <si>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</si>
  <si>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</si>
  <si>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</si>
  <si>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</si>
  <si>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</si>
  <si>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</si>
  <si>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</si>
  <si>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</si>
  <si>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</si>
  <si>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</si>
  <si>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</si>
  <si>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</si>
  <si>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</si>
  <si>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</si>
  <si>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</si>
  <si>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</si>
  <si>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</si>
  <si>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</si>
  <si>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</si>
  <si>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</si>
  <si>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</si>
  <si>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</si>
  <si>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</si>
  <si>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</si>
  <si>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</si>
  <si>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</si>
  <si>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</si>
  <si>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</si>
  <si>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</si>
  <si>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</si>
  <si>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</si>
  <si>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</si>
  <si>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</si>
  <si>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</si>
  <si>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</si>
  <si>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</si>
  <si>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</si>
  <si>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</si>
  <si>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</si>
  <si>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</si>
  <si>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</si>
  <si>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</si>
  <si>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</si>
  <si>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</si>
  <si>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</si>
  <si>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</si>
  <si>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</si>
  <si>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</si>
  <si>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</si>
  <si>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</si>
  <si>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</si>
  <si>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</si>
  <si>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</si>
  <si>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</si>
  <si>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</si>
  <si>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</si>
  <si>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</si>
  <si>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</si>
  <si>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</si>
  <si>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</si>
  <si>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</si>
  <si>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</si>
  <si>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</si>
  <si>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</si>
  <si>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</si>
  <si>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</si>
  <si>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</si>
  <si>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</si>
  <si>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</si>
  <si>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</si>
  <si>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</si>
  <si>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</si>
  <si>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</si>
  <si>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</si>
  <si>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</si>
  <si>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</si>
  <si>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</si>
  <si>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</si>
  <si>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</si>
  <si>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</si>
  <si>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</si>
  <si>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</si>
  <si>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</si>
  <si>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</si>
  <si>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</si>
  <si>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</si>
  <si>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</si>
  <si>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</si>
  <si>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</si>
  <si>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</si>
  <si>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</si>
  <si>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</si>
  <si>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</si>
  <si>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</si>
  <si>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</si>
  <si>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</si>
  <si>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</si>
  <si>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</si>
  <si>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</si>
  <si>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</si>
  <si>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</si>
  <si>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</si>
  <si>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</si>
  <si>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</si>
  <si>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</si>
  <si>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</si>
  <si>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</si>
  <si>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</si>
  <si>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</si>
  <si>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</si>
  <si>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</si>
  <si>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</si>
  <si>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</si>
  <si>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</si>
  <si>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</si>
  <si>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</si>
  <si>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</si>
  <si>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</si>
  <si>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</si>
  <si>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</si>
  <si>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</si>
  <si>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</si>
  <si>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</si>
  <si>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</si>
  <si>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</si>
  <si>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</si>
  <si>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</si>
  <si>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</si>
  <si>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</si>
  <si>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</si>
  <si>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</si>
  <si>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</si>
  <si>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</si>
  <si>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</si>
  <si>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</si>
  <si>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</si>
  <si>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</si>
  <si>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</si>
  <si>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</si>
  <si>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</si>
  <si>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</si>
  <si>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</si>
  <si>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</si>
  <si>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</si>
  <si>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</si>
  <si>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</si>
  <si>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</si>
  <si>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</si>
  <si>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</si>
  <si>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</si>
  <si>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</si>
  <si>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</si>
  <si>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</si>
  <si>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</si>
  <si>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</si>
  <si>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</si>
  <si>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</si>
  <si>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</si>
  <si>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</si>
  <si>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</si>
  <si>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</si>
  <si>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</si>
  <si>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</si>
  <si>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</si>
  <si>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</si>
  <si>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</si>
  <si>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</si>
  <si>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</si>
  <si>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</si>
  <si>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</si>
  <si>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</si>
  <si>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</si>
  <si>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</si>
  <si>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</si>
  <si>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</si>
  <si>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</si>
  <si>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</si>
  <si>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</si>
  <si>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</si>
  <si>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</si>
  <si>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</si>
  <si>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</si>
  <si>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</si>
  <si>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</si>
  <si>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</si>
  <si>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</si>
  <si>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</si>
  <si>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</si>
  <si>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</si>
  <si>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</si>
  <si>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</si>
  <si>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</si>
  <si>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</si>
  <si>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</si>
  <si>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</si>
  <si>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</si>
  <si>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</si>
  <si>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</si>
  <si>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</si>
  <si>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</si>
  <si>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</si>
  <si>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</si>
  <si>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</si>
  <si>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</si>
  <si>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</si>
  <si>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</si>
  <si>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</si>
  <si>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</si>
  <si>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</si>
  <si>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</si>
  <si>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</si>
  <si>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</si>
  <si>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</si>
  <si>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</si>
  <si>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</si>
  <si>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</si>
  <si>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</si>
  <si>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</si>
  <si>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</si>
  <si>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</si>
  <si>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</si>
  <si>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</si>
  <si>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</si>
  <si>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</si>
  <si>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</si>
  <si>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</si>
  <si>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</si>
  <si>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</si>
  <si>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</si>
  <si>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</si>
  <si>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</si>
  <si>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</si>
  <si>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</si>
  <si>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</si>
  <si>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</si>
  <si>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</si>
  <si>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</si>
  <si>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</si>
  <si>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</si>
  <si>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</si>
  <si>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</si>
  <si>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</si>
  <si>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</si>
  <si>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</si>
  <si>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</si>
  <si>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</si>
  <si>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</si>
  <si>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</si>
  <si>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</si>
  <si>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</si>
  <si>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</si>
  <si>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</si>
  <si>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</si>
  <si>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</si>
  <si>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</si>
  <si>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</si>
  <si>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</si>
  <si>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</si>
  <si>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</si>
  <si>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</si>
  <si>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</si>
  <si>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</si>
  <si>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</si>
  <si>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</si>
  <si>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</si>
  <si>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</si>
  <si>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</si>
  <si>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</si>
  <si>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</si>
  <si>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</si>
  <si>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</si>
  <si>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</si>
  <si>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</si>
  <si>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</si>
  <si>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</si>
  <si>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</si>
  <si>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</si>
  <si>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</si>
  <si>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</si>
  <si>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</si>
  <si>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</si>
  <si>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</si>
  <si>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</si>
  <si>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</si>
  <si>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</si>
  <si>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</si>
  <si>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</si>
  <si>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</si>
  <si>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</si>
  <si>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</si>
  <si>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</si>
  <si>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</si>
  <si>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</si>
  <si>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</si>
  <si>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</si>
  <si>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</si>
  <si>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</si>
  <si>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</si>
  <si>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</si>
  <si>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</si>
  <si>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</si>
  <si>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</si>
  <si>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</si>
  <si>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</si>
  <si>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</si>
  <si>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</si>
  <si>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</si>
  <si>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</si>
  <si>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</si>
  <si>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</si>
  <si>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</si>
  <si>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</si>
  <si>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</si>
  <si>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</si>
  <si>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</si>
  <si>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</si>
  <si>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</si>
  <si>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</si>
  <si>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</si>
  <si>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</si>
  <si>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</si>
  <si>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</si>
  <si>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</si>
  <si>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</si>
  <si>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</si>
  <si>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</si>
  <si>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</si>
  <si>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</si>
  <si>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</si>
  <si>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</si>
  <si>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</si>
  <si>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</si>
  <si>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</si>
  <si>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</si>
  <si>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</si>
  <si>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</si>
  <si>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</si>
  <si>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</si>
  <si>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</si>
  <si>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</si>
  <si>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</si>
  <si>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</si>
  <si>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</si>
  <si>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</si>
  <si>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</si>
  <si>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</si>
  <si>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</si>
  <si>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</si>
  <si>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</si>
  <si>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</si>
  <si>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</si>
  <si>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</si>
  <si>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</si>
  <si>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</si>
  <si>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</si>
  <si>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</si>
  <si>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</si>
  <si>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</si>
  <si>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</si>
  <si>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</si>
  <si>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</si>
  <si>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</si>
  <si>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</si>
  <si>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</si>
  <si>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</si>
  <si>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</si>
  <si>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</si>
  <si>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</si>
  <si>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</si>
  <si>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</si>
  <si>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</si>
  <si>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</si>
  <si>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</si>
  <si>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</si>
  <si>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</si>
  <si>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</si>
  <si>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</si>
  <si>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</si>
  <si>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</si>
  <si>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</si>
  <si>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</si>
  <si>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</si>
  <si>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</si>
  <si>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</si>
  <si>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</si>
  <si>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</si>
  <si>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</si>
  <si>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</si>
  <si>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</si>
  <si>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</si>
  <si>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</si>
  <si>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</si>
  <si>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</si>
  <si>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</si>
  <si>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</si>
  <si>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</si>
  <si>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</si>
  <si>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</si>
  <si>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</si>
  <si>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</si>
  <si>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</si>
  <si>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</si>
  <si>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</si>
  <si>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</si>
  <si>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</si>
  <si>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</si>
  <si>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</si>
  <si>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</si>
  <si>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</si>
  <si>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</si>
  <si>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</si>
  <si>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</si>
  <si>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</si>
  <si>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</si>
  <si>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</si>
  <si>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</si>
  <si>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</si>
  <si>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</si>
  <si>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</si>
  <si>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</si>
  <si>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</si>
  <si>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</si>
  <si>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</si>
  <si>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</si>
  <si>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</si>
  <si>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</si>
  <si>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</si>
  <si>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</si>
  <si>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</si>
  <si>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</si>
  <si>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</si>
  <si>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</si>
  <si>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</si>
  <si>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</si>
  <si>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</si>
  <si>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</si>
  <si>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</si>
  <si>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</si>
  <si>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</si>
  <si>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</si>
  <si>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</si>
  <si>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</si>
  <si>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</si>
  <si>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</si>
  <si>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</si>
  <si>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</si>
  <si>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</si>
  <si>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</si>
  <si>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</si>
  <si>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</si>
  <si>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</si>
  <si>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</si>
  <si>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</si>
  <si>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</si>
  <si>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</si>
  <si>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</si>
  <si>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</si>
  <si>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</si>
  <si>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</si>
  <si>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</si>
  <si>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</si>
  <si>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</si>
  <si>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</si>
  <si>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</si>
  <si>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</si>
  <si>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</si>
  <si>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</si>
  <si>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</si>
  <si>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</si>
  <si>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</si>
  <si>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</si>
  <si>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</si>
  <si>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</si>
  <si>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</si>
  <si>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</si>
  <si>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</si>
  <si>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</si>
  <si>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</si>
  <si>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</si>
  <si>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</si>
  <si>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</si>
  <si>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</si>
  <si>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</si>
  <si>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</si>
  <si>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</si>
  <si>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</si>
  <si>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</si>
  <si>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</si>
  <si>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</si>
  <si>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</si>
  <si>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</si>
  <si>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</si>
  <si>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</si>
  <si>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</si>
  <si>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</si>
  <si>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</si>
  <si>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</si>
  <si>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</si>
  <si>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</si>
  <si>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</si>
  <si>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</si>
  <si>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</si>
  <si>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</si>
  <si>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</si>
  <si>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</si>
  <si>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</si>
  <si>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</si>
  <si>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</si>
  <si>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</si>
  <si>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</si>
  <si>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</si>
  <si>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</si>
  <si>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</si>
  <si>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</si>
  <si>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</si>
  <si>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</si>
  <si>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</si>
  <si>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</si>
  <si>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</si>
  <si>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</si>
  <si>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</si>
  <si>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</si>
  <si>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</si>
  <si>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</si>
  <si>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</si>
  <si>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</si>
  <si>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</si>
  <si>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</si>
  <si>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</si>
  <si>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</si>
  <si>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</si>
  <si>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</si>
  <si>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</si>
  <si>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</si>
  <si>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</si>
  <si>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</si>
  <si>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</si>
  <si>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</si>
  <si>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</si>
  <si>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</si>
  <si>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</si>
  <si>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</si>
  <si>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</si>
  <si>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</si>
  <si>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</si>
  <si>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</si>
  <si>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</si>
  <si>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</si>
  <si>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</si>
  <si>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</si>
  <si>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</si>
  <si>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</si>
  <si>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</si>
  <si>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</si>
  <si>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</si>
  <si>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</si>
  <si>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</si>
  <si>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</si>
  <si>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</si>
  <si>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</si>
  <si>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</si>
  <si>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</si>
  <si>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</si>
  <si>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</si>
  <si>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</si>
  <si>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</si>
  <si>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</si>
  <si>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</si>
  <si>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</si>
  <si>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</si>
  <si>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</si>
  <si>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</si>
  <si>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</si>
  <si>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</si>
  <si>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</si>
  <si>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</si>
  <si>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</si>
  <si>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</si>
  <si>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</si>
  <si>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</si>
  <si>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</si>
  <si>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</si>
  <si>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</si>
  <si>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</si>
  <si>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</si>
  <si>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</si>
  <si>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</si>
  <si>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</si>
  <si>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</si>
  <si>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</si>
  <si>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</si>
  <si>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</si>
  <si>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</si>
  <si>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</si>
  <si>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</si>
  <si>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</si>
  <si>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</si>
  <si>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</si>
  <si>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</si>
  <si>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</si>
  <si>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</si>
  <si>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</si>
  <si>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</si>
  <si>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</si>
  <si>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</si>
  <si>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</si>
  <si>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</si>
  <si>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</si>
  <si>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</si>
  <si>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</si>
  <si>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</si>
  <si>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</si>
  <si>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</si>
  <si>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</si>
  <si>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</si>
  <si>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</si>
  <si>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</si>
  <si>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</si>
  <si>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</si>
  <si>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</si>
  <si>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</si>
  <si>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</si>
  <si>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</si>
  <si>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</si>
  <si>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</si>
  <si>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</si>
  <si>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</si>
  <si>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</si>
  <si>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</si>
  <si>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</si>
  <si>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</si>
  <si>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</si>
  <si>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</si>
  <si>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</si>
  <si>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</si>
  <si>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</si>
  <si>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</si>
  <si>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</si>
  <si>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</si>
  <si>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</si>
  <si>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</si>
  <si>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</si>
  <si>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</si>
  <si>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</si>
  <si>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</si>
  <si>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</si>
  <si>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</si>
  <si>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</si>
  <si>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</si>
  <si>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</si>
  <si>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</si>
  <si>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</si>
  <si>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</si>
  <si>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</si>
  <si>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</si>
  <si>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</si>
  <si>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</si>
  <si>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</si>
  <si>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</si>
  <si>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</si>
  <si>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</si>
  <si>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</si>
  <si>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</si>
  <si>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</si>
  <si>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</si>
  <si>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</si>
  <si>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</si>
  <si>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</si>
  <si>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</si>
  <si>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</si>
  <si>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</si>
  <si>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</si>
  <si>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</si>
  <si>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</si>
  <si>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</si>
  <si>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</si>
  <si>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</si>
  <si>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</si>
  <si>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</si>
  <si>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</si>
  <si>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</si>
  <si>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</si>
  <si>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</si>
  <si>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</si>
  <si>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</si>
  <si>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</si>
  <si>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</si>
  <si>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</si>
  <si>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</si>
  <si>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</si>
  <si>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</si>
  <si>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</si>
  <si>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</si>
  <si>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</si>
  <si>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</si>
  <si>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</si>
  <si>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</si>
  <si>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</si>
  <si>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</si>
  <si>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</si>
  <si>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</si>
  <si>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</si>
  <si>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</si>
  <si>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</si>
  <si>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</si>
  <si>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</si>
  <si>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</si>
  <si>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</si>
  <si>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</si>
  <si>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</si>
  <si>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</si>
  <si>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</si>
  <si>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</si>
  <si>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</si>
  <si>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</si>
  <si>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</si>
  <si>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</si>
  <si>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</si>
  <si>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</si>
  <si>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</si>
  <si>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</si>
  <si>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</si>
  <si>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</si>
  <si>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</si>
  <si>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</si>
  <si>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</si>
  <si>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</si>
  <si>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</si>
  <si>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</si>
  <si>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</si>
  <si>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</si>
  <si>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</si>
  <si>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</si>
  <si>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</si>
  <si>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</si>
  <si>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</si>
  <si>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</si>
  <si>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</si>
  <si>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</si>
  <si>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</si>
  <si>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</si>
  <si>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</si>
  <si>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</si>
  <si>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</si>
  <si>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</si>
  <si>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</si>
  <si>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</si>
  <si>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</si>
  <si>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</si>
  <si>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</si>
  <si>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</si>
  <si>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</si>
  <si>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</si>
  <si>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</si>
  <si>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</si>
  <si>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</si>
  <si>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</si>
  <si>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</si>
  <si>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</si>
  <si>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</si>
  <si>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</si>
  <si>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</si>
  <si>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</si>
  <si>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</si>
  <si>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</si>
  <si>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</si>
  <si>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</si>
  <si>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</si>
  <si>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</si>
  <si>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</si>
  <si>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</si>
  <si>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</si>
  <si>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</si>
  <si>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</si>
  <si>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</si>
  <si>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</si>
  <si>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</si>
  <si>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</si>
  <si>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</si>
  <si>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</si>
  <si>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</si>
  <si>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</si>
  <si>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</si>
  <si>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</si>
  <si>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</si>
  <si>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</si>
  <si>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</si>
  <si>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</si>
  <si>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</si>
  <si>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</si>
  <si>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</si>
  <si>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</si>
  <si>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</si>
  <si>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</si>
  <si>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</si>
  <si>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</si>
  <si>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</si>
  <si>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</si>
  <si>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</si>
  <si>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</si>
  <si>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</si>
  <si>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</si>
  <si>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</si>
  <si>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</si>
  <si>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</si>
  <si>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</si>
  <si>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</si>
  <si>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</si>
  <si>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</si>
  <si>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</si>
  <si>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</si>
  <si>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</si>
  <si>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</si>
  <si>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</si>
  <si>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</si>
  <si>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</si>
  <si>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</si>
  <si>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</si>
  <si>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</si>
  <si>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</si>
  <si>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</si>
  <si>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</si>
  <si>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</si>
  <si>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</si>
  <si>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</si>
  <si>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</si>
  <si>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</si>
  <si>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</si>
  <si>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</si>
  <si>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</si>
  <si>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</si>
  <si>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</si>
  <si>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</si>
  <si>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</si>
  <si>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</si>
  <si>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</si>
  <si>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</si>
  <si>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</si>
  <si>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</si>
  <si>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</si>
  <si>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</si>
  <si>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</si>
  <si>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</si>
  <si>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</si>
  <si>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</si>
  <si>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</si>
  <si>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</si>
  <si>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</si>
  <si>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</si>
  <si>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</si>
  <si>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</si>
  <si>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</si>
  <si>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</si>
  <si>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</si>
  <si>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</si>
  <si>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</si>
  <si>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</si>
  <si>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</si>
  <si>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</si>
  <si>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</si>
  <si>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</si>
  <si>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</si>
  <si>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</si>
  <si>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</si>
  <si>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</si>
  <si>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</si>
  <si>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</si>
  <si>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</si>
  <si>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</si>
  <si>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</si>
  <si>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</si>
  <si>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</si>
  <si>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</si>
  <si>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</si>
  <si>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</si>
  <si>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</si>
  <si>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</si>
  <si>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</si>
  <si>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</si>
  <si>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</si>
  <si>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</si>
  <si>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</si>
  <si>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</si>
  <si>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</si>
  <si>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</si>
  <si>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</si>
  <si>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</si>
  <si>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</si>
  <si>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</si>
  <si>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</si>
  <si>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</si>
  <si>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</si>
  <si>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</si>
  <si>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</si>
  <si>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</si>
  <si>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</si>
  <si>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</si>
  <si>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</si>
  <si>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</si>
  <si>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</si>
  <si>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</si>
  <si>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</si>
  <si>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</si>
  <si>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</si>
  <si>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</si>
  <si>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</si>
  <si>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</si>
  <si>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</si>
  <si>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</si>
  <si>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</si>
  <si>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</si>
  <si>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</si>
  <si>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</si>
  <si>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</si>
  <si>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</si>
  <si>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</si>
  <si>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</si>
  <si>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</si>
  <si>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</si>
  <si>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</si>
  <si>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</si>
  <si>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</si>
  <si>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</si>
  <si>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</si>
  <si>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</si>
  <si>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</si>
  <si>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</si>
  <si>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</si>
  <si>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</si>
  <si>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</si>
  <si>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</si>
  <si>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</si>
  <si>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</si>
  <si>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</si>
  <si>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</si>
  <si>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</si>
  <si>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</si>
  <si>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</si>
  <si>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</si>
  <si>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</si>
  <si>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</si>
  <si>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</si>
  <si>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</si>
  <si>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</si>
  <si>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</si>
  <si>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</si>
  <si>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</si>
  <si>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</si>
  <si>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</si>
  <si>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</si>
  <si>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</si>
  <si>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</si>
  <si>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</si>
  <si>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</si>
  <si>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</si>
  <si>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</si>
  <si>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</si>
  <si>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</si>
  <si>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</si>
  <si>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</si>
  <si>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</si>
  <si>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</si>
  <si>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</si>
  <si>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</si>
  <si>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</si>
  <si>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</si>
  <si>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</si>
  <si>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</si>
  <si>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</si>
  <si>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</si>
  <si>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</si>
  <si>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</si>
  <si>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</si>
  <si>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</si>
  <si>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</si>
  <si>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</si>
  <si>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</si>
  <si>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</si>
  <si>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</si>
  <si>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</si>
  <si>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</si>
  <si>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</si>
  <si>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</si>
  <si>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</si>
  <si>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</si>
  <si>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</si>
  <si>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</si>
  <si>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</si>
  <si>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</si>
  <si>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</si>
  <si>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</si>
  <si>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</si>
  <si>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</si>
  <si>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</si>
  <si>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</si>
  <si>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</si>
  <si>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</si>
  <si>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</si>
  <si>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</si>
  <si>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</si>
  <si>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</si>
  <si>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</si>
  <si>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</si>
  <si>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</si>
  <si>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</si>
  <si>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</si>
  <si>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</si>
  <si>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</si>
  <si>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</si>
  <si>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</si>
  <si>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</si>
  <si>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</si>
  <si>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</si>
  <si>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</si>
  <si>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</si>
  <si>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</si>
  <si>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</si>
  <si>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</si>
  <si>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</si>
  <si>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</si>
  <si>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</si>
  <si>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</si>
  <si>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</si>
  <si>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</si>
  <si>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</si>
  <si>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</si>
  <si>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</si>
  <si>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</si>
  <si>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</si>
  <si>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</si>
  <si>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</si>
  <si>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</si>
  <si>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</si>
  <si>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</si>
  <si>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</si>
  <si>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</si>
  <si>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</si>
  <si>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</si>
  <si>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</si>
  <si>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</si>
  <si>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</si>
  <si>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</si>
  <si>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</si>
  <si>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</si>
  <si>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</si>
  <si>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</si>
  <si>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</si>
  <si>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</si>
  <si>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</si>
  <si>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</si>
  <si>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</si>
  <si>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</si>
  <si>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</si>
  <si>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</si>
  <si>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</si>
  <si>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</si>
  <si>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</si>
  <si>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</si>
  <si>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</si>
  <si>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</si>
  <si>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</si>
  <si>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</si>
  <si>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</si>
  <si>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</si>
  <si>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</si>
  <si>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</si>
  <si>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</si>
  <si>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</si>
  <si>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</si>
  <si>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</si>
  <si>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</si>
  <si>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</si>
  <si>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</si>
  <si>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</si>
  <si>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</si>
  <si>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</si>
  <si>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</si>
  <si>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</si>
  <si>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</si>
  <si>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</si>
  <si>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</si>
  <si>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</si>
  <si>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</si>
  <si>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</si>
  <si>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</si>
  <si>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</si>
  <si>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</si>
  <si>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</si>
  <si>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</si>
  <si>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</si>
  <si>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</si>
  <si>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</si>
  <si>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</si>
  <si>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</si>
  <si>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</si>
  <si>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</si>
  <si>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</si>
  <si>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</si>
  <si>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</si>
  <si>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</si>
  <si>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</si>
  <si>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</si>
  <si>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</si>
  <si>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</si>
  <si>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</si>
  <si>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</si>
  <si>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</si>
  <si>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</si>
  <si>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</si>
  <si>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</si>
  <si>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</si>
  <si>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</si>
  <si>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</si>
  <si>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</si>
  <si>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</si>
  <si>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</si>
  <si>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</si>
  <si>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</si>
  <si>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</si>
  <si>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</si>
  <si>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</si>
  <si>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</si>
  <si>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</si>
  <si>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</si>
  <si>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</si>
  <si>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</si>
  <si>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</si>
  <si>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</si>
  <si>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</si>
  <si>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</si>
  <si>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</si>
  <si>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</si>
  <si>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</si>
  <si>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</si>
  <si>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</si>
  <si>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</si>
  <si>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</si>
  <si>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</si>
  <si>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</si>
  <si>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</si>
  <si>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</si>
  <si>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</si>
  <si>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</si>
  <si>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</si>
  <si>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</si>
  <si>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</si>
  <si>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</si>
  <si>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</si>
  <si>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</si>
  <si>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</si>
  <si>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</si>
  <si>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</si>
  <si>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</si>
  <si>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</si>
  <si>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</si>
  <si>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</si>
  <si>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</si>
  <si>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</si>
  <si>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</si>
  <si>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</si>
  <si>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</si>
  <si>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</si>
  <si>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</si>
  <si>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</si>
  <si>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</si>
  <si>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</si>
  <si>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</si>
  <si>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</si>
  <si>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</si>
  <si>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</si>
  <si>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</si>
  <si>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</si>
  <si>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</si>
  <si>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</si>
  <si>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</si>
  <si>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</si>
  <si>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</si>
  <si>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</si>
  <si>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</si>
  <si>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</si>
  <si>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</si>
  <si>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</si>
  <si>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</si>
  <si>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</si>
  <si>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</si>
  <si>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</si>
  <si>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</si>
  <si>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</si>
  <si>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</si>
  <si>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</si>
  <si>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</si>
  <si>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</si>
  <si>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</si>
  <si>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</si>
  <si>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</si>
  <si>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</si>
  <si>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</si>
  <si>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</si>
  <si>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</si>
  <si>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</si>
  <si>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</si>
  <si>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</si>
  <si>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</si>
  <si>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</si>
  <si>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</si>
  <si>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</si>
  <si>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</si>
  <si>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</si>
  <si>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</si>
  <si>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</si>
  <si>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</si>
  <si>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</si>
  <si>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</si>
  <si>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</si>
  <si>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</si>
  <si>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</si>
  <si>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</si>
  <si>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</si>
  <si>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</si>
  <si>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</si>
  <si>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</si>
  <si>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</si>
  <si>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</si>
  <si>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</si>
  <si>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</si>
  <si>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</si>
  <si>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</si>
  <si>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</si>
  <si>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</si>
  <si>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</si>
  <si>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</si>
  <si>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</si>
  <si>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</si>
  <si>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</si>
  <si>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</si>
  <si>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</si>
  <si>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</si>
  <si>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</si>
  <si>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</si>
  <si>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</si>
  <si>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</si>
  <si>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</si>
  <si>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</si>
  <si>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</si>
  <si>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</si>
  <si>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</si>
  <si>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</si>
  <si>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</si>
  <si>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</si>
  <si>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</si>
  <si>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</si>
  <si>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</si>
  <si>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</si>
  <si>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</si>
  <si>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</si>
  <si>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</si>
  <si>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</si>
  <si>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</si>
  <si>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</si>
  <si>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</si>
  <si>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</si>
  <si>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</si>
  <si>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</si>
  <si>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</si>
  <si>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</si>
  <si>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</si>
  <si>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</si>
  <si>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</si>
  <si>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</si>
  <si>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</si>
  <si>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</si>
  <si>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</si>
  <si>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</si>
  <si>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</si>
  <si>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</si>
  <si>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</si>
  <si>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</si>
  <si>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</si>
  <si>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</si>
  <si>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</si>
  <si>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</si>
  <si>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</si>
  <si>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</si>
  <si>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</si>
  <si>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</si>
  <si>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</si>
  <si>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</si>
  <si>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</si>
  <si>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</si>
  <si>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</si>
  <si>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</si>
  <si>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</si>
  <si>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</si>
  <si>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</si>
  <si>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</si>
  <si>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</si>
  <si>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</si>
  <si>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</si>
  <si>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</si>
  <si>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</si>
  <si>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</si>
  <si>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</si>
  <si>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</si>
  <si>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</si>
  <si>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</si>
  <si>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</si>
  <si>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</si>
  <si>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</si>
  <si>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</si>
  <si>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</si>
  <si>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</si>
  <si>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</si>
  <si>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</si>
  <si>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</si>
  <si>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</si>
  <si>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</si>
  <si>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</si>
  <si>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</si>
  <si>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</si>
  <si>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</si>
  <si>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</si>
  <si>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</si>
  <si>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</si>
  <si>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</si>
  <si>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</si>
  <si>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</si>
  <si>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</si>
  <si>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</si>
  <si>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</si>
  <si>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</si>
  <si>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</si>
  <si>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</si>
  <si>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</si>
  <si>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</si>
  <si>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</si>
  <si>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</si>
  <si>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</si>
  <si>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</si>
  <si>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</si>
  <si>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</si>
  <si>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</si>
  <si>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</si>
  <si>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</si>
  <si>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</si>
  <si>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</si>
  <si>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</si>
  <si>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</si>
  <si>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</si>
  <si>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</si>
  <si>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</si>
  <si>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</si>
  <si>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</si>
  <si>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</si>
  <si>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</si>
  <si>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</si>
  <si>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</si>
  <si>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</si>
  <si>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</si>
  <si>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</si>
  <si>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</si>
  <si>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</si>
  <si>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</si>
  <si>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</si>
  <si>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</si>
  <si>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</si>
  <si>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</si>
  <si>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</si>
  <si>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</si>
  <si>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</si>
  <si>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</si>
  <si>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</si>
  <si>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</si>
  <si>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</si>
  <si>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</si>
  <si>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</si>
  <si>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</si>
  <si>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</si>
  <si>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</si>
  <si>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</si>
  <si>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</si>
  <si>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</si>
  <si>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</si>
  <si>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</si>
  <si>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</si>
  <si>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</si>
  <si>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</si>
  <si>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</si>
  <si>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</si>
  <si>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</si>
  <si>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</si>
  <si>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</si>
  <si>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</si>
  <si>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</si>
  <si>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</si>
  <si>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</si>
  <si>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</si>
  <si>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</si>
  <si>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</si>
  <si>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</si>
  <si>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</si>
  <si>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</si>
  <si>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</si>
  <si>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</si>
  <si>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</si>
  <si>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</si>
  <si>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</si>
  <si>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</si>
  <si>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</si>
  <si>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</si>
  <si>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</si>
  <si>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</si>
  <si>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</si>
  <si>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</si>
  <si>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</si>
  <si>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</si>
  <si>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</si>
  <si>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</si>
  <si>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</si>
  <si>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</si>
  <si>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</si>
  <si>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</si>
  <si>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</si>
  <si>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</si>
  <si>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</si>
  <si>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</si>
  <si>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</si>
  <si>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</si>
  <si>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</si>
  <si>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</si>
  <si>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</si>
  <si>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</si>
  <si>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</si>
  <si>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</si>
  <si>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</si>
  <si>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</si>
  <si>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</si>
  <si>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</si>
  <si>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</si>
  <si>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</si>
  <si>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</si>
  <si>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</si>
  <si>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</si>
  <si>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</si>
  <si>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</si>
  <si>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</si>
  <si>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</si>
  <si>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</si>
  <si>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</si>
  <si>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</si>
  <si>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</si>
  <si>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</si>
  <si>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</si>
  <si>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</si>
  <si>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</si>
  <si>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</si>
  <si>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</si>
  <si>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</si>
  <si>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</si>
  <si>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</si>
  <si>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</si>
  <si>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</si>
  <si>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</si>
  <si>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</si>
  <si>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</si>
  <si>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</si>
  <si>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</si>
  <si>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</si>
  <si>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</si>
  <si>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</si>
  <si>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</si>
  <si>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</si>
  <si>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</si>
  <si>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</si>
  <si>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</si>
  <si>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</si>
  <si>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</si>
  <si>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</si>
  <si>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</si>
  <si>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</si>
  <si>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</si>
  <si>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</si>
  <si>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</si>
  <si>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</si>
  <si>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</si>
  <si>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</si>
  <si>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</si>
  <si>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</si>
  <si>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</si>
  <si>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</si>
  <si>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</si>
  <si>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</si>
  <si>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</si>
  <si>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</si>
  <si>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</si>
  <si>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</si>
  <si>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</si>
  <si>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</si>
  <si>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</si>
  <si>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</si>
  <si>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</si>
  <si>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</si>
  <si>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</si>
  <si>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</si>
  <si>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</si>
  <si>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</si>
  <si>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</si>
  <si>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</si>
  <si>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</si>
  <si>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</si>
  <si>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</si>
  <si>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</si>
  <si>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</si>
  <si>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</si>
  <si>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</si>
  <si>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</si>
  <si>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</si>
  <si>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</si>
  <si>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</si>
  <si>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</si>
  <si>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</si>
  <si>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</si>
  <si>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</si>
  <si>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</si>
  <si>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</si>
  <si>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</si>
  <si>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</si>
  <si>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</si>
  <si>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</si>
  <si>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</si>
  <si>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</si>
  <si>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</si>
  <si>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</si>
  <si>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</si>
  <si>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</si>
  <si>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</si>
  <si>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</si>
  <si>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</si>
  <si>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</si>
  <si>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</si>
  <si>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</si>
  <si>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</si>
  <si>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</si>
  <si>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</si>
  <si>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</si>
  <si>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</si>
  <si>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</si>
  <si>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</si>
  <si>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</si>
  <si>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</si>
  <si>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</si>
  <si>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</si>
  <si>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</si>
  <si>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</si>
  <si>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</si>
  <si>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</si>
  <si>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</si>
  <si>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</si>
  <si>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</si>
  <si>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</si>
  <si>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</si>
  <si>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</si>
  <si>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</si>
  <si>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</si>
  <si>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</si>
  <si>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</si>
  <si>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</si>
  <si>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</si>
  <si>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</si>
  <si>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</si>
  <si>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</si>
  <si>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</si>
  <si>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</si>
  <si>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</si>
  <si>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</si>
  <si>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</si>
  <si>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</si>
  <si>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</si>
  <si>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</si>
  <si>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</si>
  <si>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</si>
  <si>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</si>
  <si>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</si>
  <si>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</si>
  <si>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</si>
  <si>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</si>
  <si>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</si>
  <si>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</si>
  <si>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</si>
  <si>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</si>
  <si>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</si>
  <si>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</si>
  <si>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</si>
  <si>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</si>
  <si>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</si>
  <si>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</si>
  <si>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</si>
  <si>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</si>
  <si>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</si>
  <si>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</si>
  <si>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</si>
  <si>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</si>
  <si>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</si>
  <si>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</si>
  <si>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</si>
  <si>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</si>
  <si>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</si>
  <si>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</si>
  <si>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</si>
  <si>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</si>
  <si>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</si>
  <si>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</si>
  <si>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</si>
  <si>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</si>
  <si>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</si>
  <si>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</si>
  <si>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</si>
  <si>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</si>
  <si>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</si>
  <si>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</si>
  <si>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</si>
  <si>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</si>
  <si>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</si>
  <si>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</si>
  <si>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</si>
  <si>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</si>
  <si>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</si>
  <si>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</si>
  <si>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</si>
  <si>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</si>
  <si>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</si>
  <si>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</si>
  <si>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</si>
  <si>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</si>
  <si>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</si>
  <si>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</si>
  <si>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</si>
  <si>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</si>
  <si>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</si>
  <si>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</si>
  <si>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</si>
  <si>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</si>
  <si>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</si>
  <si>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</si>
  <si>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</si>
  <si>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</si>
  <si>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</si>
  <si>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</si>
  <si>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</si>
  <si>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</si>
  <si>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</si>
  <si>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</si>
  <si>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</si>
  <si>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</si>
  <si>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</si>
  <si>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</si>
  <si>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</si>
  <si>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</si>
  <si>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</si>
  <si>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</si>
  <si>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</si>
  <si>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</si>
  <si>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</si>
  <si>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</si>
  <si>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</si>
  <si>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</si>
  <si>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</si>
  <si>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</si>
  <si>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</si>
  <si>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</si>
  <si>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</si>
  <si>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</si>
  <si>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</si>
  <si>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</si>
  <si>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</si>
  <si>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</si>
  <si>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</si>
  <si>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</si>
  <si>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</si>
  <si>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</si>
  <si>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</si>
  <si>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</si>
  <si>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</si>
  <si>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</si>
  <si>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</si>
  <si>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</si>
  <si>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</si>
  <si>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</si>
  <si>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</si>
  <si>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</si>
  <si>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</si>
  <si>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</si>
  <si>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</si>
  <si>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</si>
  <si>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</si>
  <si>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</si>
  <si>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</si>
  <si>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</si>
  <si>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</si>
  <si>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</si>
  <si>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</si>
  <si>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</si>
  <si>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</si>
  <si>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</si>
  <si>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</si>
  <si>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</si>
  <si>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</si>
  <si>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</si>
  <si>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</si>
  <si>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</si>
  <si>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</si>
  <si>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</si>
  <si>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</si>
  <si>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</si>
  <si>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</si>
  <si>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</si>
  <si>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</si>
  <si>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</si>
  <si>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</si>
  <si>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</si>
  <si>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</si>
  <si>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</si>
  <si>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</si>
  <si>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</si>
  <si>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</si>
  <si>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</si>
  <si>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</si>
  <si>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</si>
  <si>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</si>
  <si>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</si>
  <si>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</si>
  <si>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</si>
  <si>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</si>
  <si>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</si>
  <si>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</si>
  <si>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</si>
  <si>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</si>
  <si>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</si>
  <si>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</si>
  <si>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</si>
  <si>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</si>
  <si>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</si>
  <si>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</si>
  <si>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</si>
  <si>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</si>
  <si>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</si>
  <si>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</si>
  <si>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</si>
  <si>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</si>
  <si>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</si>
  <si>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</si>
  <si>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</si>
  <si>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</si>
  <si>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</si>
  <si>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</si>
  <si>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</si>
  <si>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</si>
  <si>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</si>
  <si>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</si>
  <si>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</si>
  <si>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</si>
  <si>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</si>
  <si>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</si>
  <si>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</si>
  <si>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</si>
  <si>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</si>
  <si>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</si>
  <si>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</si>
  <si>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</si>
  <si>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</si>
  <si>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</si>
  <si>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</si>
  <si>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</si>
  <si>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</si>
  <si>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</si>
  <si>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</si>
  <si>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</si>
  <si>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</si>
  <si>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</si>
  <si>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</si>
  <si>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</si>
  <si>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</si>
  <si>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</si>
  <si>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</si>
  <si>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</si>
  <si>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</si>
  <si>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</si>
  <si>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</si>
  <si>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</si>
  <si>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</si>
  <si>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</si>
  <si>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</si>
  <si>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</si>
  <si>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</si>
  <si>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</si>
  <si>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</si>
  <si>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</si>
  <si>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</si>
  <si>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</si>
  <si>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</si>
  <si>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</si>
  <si>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</si>
  <si>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</si>
  <si>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</si>
  <si>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</si>
  <si>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</si>
  <si>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</si>
  <si>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抵押</t>
  </si>
  <si>
    <t>房地产抵押价值</t>
  </si>
  <si>
    <t>房地产市场价值</t>
  </si>
  <si>
    <t>北京市</t>
  </si>
  <si>
    <t>自然人</t>
  </si>
  <si>
    <t>是</t>
  </si>
  <si>
    <t>地上</t>
  </si>
  <si>
    <t>办公楼</t>
  </si>
  <si>
    <t>办公</t>
    <phoneticPr fontId="7" type="noConversion"/>
  </si>
  <si>
    <t>成新度</t>
  </si>
  <si>
    <t>收益法 (元)</t>
  </si>
  <si>
    <t>利息：取LPR加浮动点数</t>
  </si>
  <si>
    <t>押一</t>
  </si>
  <si>
    <t>钢混</t>
  </si>
  <si>
    <t>非生产用房</t>
  </si>
  <si>
    <t>商务金融用地</t>
  </si>
  <si>
    <t>自定义容积率</t>
  </si>
  <si>
    <t>不临65条商业街</t>
  </si>
  <si>
    <t>有</t>
  </si>
  <si>
    <t>无</t>
  </si>
  <si>
    <t>通路</t>
  </si>
  <si>
    <t>通电</t>
  </si>
  <si>
    <t>通讯</t>
  </si>
  <si>
    <t>通上水</t>
  </si>
  <si>
    <t>通下水</t>
  </si>
  <si>
    <t>平整</t>
  </si>
  <si>
    <t>与级别开发程度不一致</t>
  </si>
  <si>
    <t>未包含在土地购买价格中</t>
  </si>
  <si>
    <t>已包含在土地取得成本中</t>
  </si>
  <si>
    <t>成本法 (元)</t>
  </si>
  <si>
    <t>容积率</t>
    <phoneticPr fontId="134" type="noConversion"/>
  </si>
  <si>
    <t>建筑面积</t>
    <phoneticPr fontId="134" type="noConversion"/>
  </si>
  <si>
    <t>土地面积</t>
    <phoneticPr fontId="134" type="noConversion"/>
  </si>
  <si>
    <t xml:space="preserve"> </t>
    <phoneticPr fontId="40" type="noConversion"/>
  </si>
  <si>
    <t xml:space="preserve"> </t>
    <phoneticPr fontId="24" type="noConversion"/>
  </si>
  <si>
    <t>较好</t>
    <phoneticPr fontId="24" type="noConversion"/>
  </si>
  <si>
    <t>较好</t>
    <phoneticPr fontId="40" type="noConversion"/>
  </si>
  <si>
    <t>七通</t>
    <phoneticPr fontId="24" type="noConversion"/>
  </si>
  <si>
    <t>500-1000米</t>
  </si>
  <si>
    <t>建成年代</t>
    <phoneticPr fontId="3" type="noConversion"/>
  </si>
  <si>
    <t>直线折旧</t>
    <phoneticPr fontId="3" type="noConversion"/>
  </si>
  <si>
    <t>观察成新</t>
    <phoneticPr fontId="3" type="noConversion"/>
  </si>
  <si>
    <t>综合</t>
    <phoneticPr fontId="3" type="noConversion"/>
  </si>
  <si>
    <t>现房</t>
  </si>
  <si>
    <t>项目局部</t>
  </si>
  <si>
    <t>楼面单价</t>
  </si>
  <si>
    <t>成本比率</t>
  </si>
  <si>
    <t>中国银行丰台支行</t>
    <phoneticPr fontId="6" type="noConversion"/>
  </si>
  <si>
    <t>朝阳区日坛北路17号院1号楼13层1301、1302号</t>
    <phoneticPr fontId="6" type="noConversion"/>
  </si>
  <si>
    <t>否</t>
  </si>
  <si>
    <t>较好</t>
  </si>
  <si>
    <t>好</t>
  </si>
  <si>
    <t>一般</t>
  </si>
  <si>
    <t>基准户型1301</t>
    <phoneticPr fontId="24" type="noConversion"/>
  </si>
  <si>
    <t>朝向</t>
    <phoneticPr fontId="3" type="noConversion"/>
  </si>
  <si>
    <t>西北</t>
  </si>
  <si>
    <t>西北</t>
    <phoneticPr fontId="24" type="noConversion"/>
  </si>
  <si>
    <t>西</t>
  </si>
  <si>
    <t>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</si>
</sst>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4" fontId="47" fillId="5" borderId="13" xfId="0" applyNumberFormat="1" applyFont="1" applyFill="1" applyBorder="1" applyAlignment="1" applyProtection="1">
      <alignment horizontal="left" vertical="center"/>
      <protection locked="0"/>
    </xf>
    <xf numFmtId="0" fontId="77" fillId="7" borderId="5" xfId="0" applyFont="1" applyFill="1" applyBorder="1" applyAlignment="1" applyProtection="1">
      <alignment vertical="center"/>
      <protection locked="0"/>
    </xf>
    <xf numFmtId="0" fontId="176" fillId="0" borderId="1" xfId="0" applyFont="1" applyFill="1" applyBorder="1" applyAlignment="1" applyProtection="1">
      <alignment horizontal="center"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504334</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33334" cy="1800000"/>
        </a:xfrm>
        <a:prstGeom prst="rect">
          <a:avLst/>
        </a:prstGeom>
      </xdr:spPr>
    </xdr:pic>
    <xdr:clientData/>
  </xdr:twoCellAnchor>
  <xdr:twoCellAnchor editAs="oneCell">
    <xdr:from>
      <xdr:col>0</xdr:col>
      <xdr:colOff>0</xdr:colOff>
      <xdr:row>11</xdr:row>
      <xdr:rowOff>0</xdr:rowOff>
    </xdr:from>
    <xdr:to>
      <xdr:col>12</xdr:col>
      <xdr:colOff>75162</xdr:colOff>
      <xdr:row>39</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304762" cy="4952381"/>
        </a:xfrm>
        <a:prstGeom prst="rect">
          <a:avLst/>
        </a:prstGeom>
      </xdr:spPr>
    </xdr:pic>
    <xdr:clientData/>
  </xdr:twoCellAnchor>
  <xdr:twoCellAnchor editAs="oneCell">
    <xdr:from>
      <xdr:col>0</xdr:col>
      <xdr:colOff>0</xdr:colOff>
      <xdr:row>40</xdr:row>
      <xdr:rowOff>0</xdr:rowOff>
    </xdr:from>
    <xdr:to>
      <xdr:col>12</xdr:col>
      <xdr:colOff>179924</xdr:colOff>
      <xdr:row>73</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8409524" cy="5761905"/>
        </a:xfrm>
        <a:prstGeom prst="rect">
          <a:avLst/>
        </a:prstGeom>
      </xdr:spPr>
    </xdr:pic>
    <xdr:clientData/>
  </xdr:twoCellAnchor>
  <xdr:twoCellAnchor editAs="oneCell">
    <xdr:from>
      <xdr:col>0</xdr:col>
      <xdr:colOff>0</xdr:colOff>
      <xdr:row>74</xdr:row>
      <xdr:rowOff>0</xdr:rowOff>
    </xdr:from>
    <xdr:to>
      <xdr:col>4</xdr:col>
      <xdr:colOff>504419</xdr:colOff>
      <xdr:row>101</xdr:row>
      <xdr:rowOff>113707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87300"/>
          <a:ext cx="3247619" cy="4742857"/>
        </a:xfrm>
        <a:prstGeom prst="rect">
          <a:avLst/>
        </a:prstGeom>
      </xdr:spPr>
    </xdr:pic>
    <xdr:clientData/>
  </xdr:twoCellAnchor>
  <xdr:twoCellAnchor editAs="oneCell">
    <xdr:from>
      <xdr:col>5</xdr:col>
      <xdr:colOff>0</xdr:colOff>
      <xdr:row>74</xdr:row>
      <xdr:rowOff>0</xdr:rowOff>
    </xdr:from>
    <xdr:to>
      <xdr:col>10</xdr:col>
      <xdr:colOff>142429</xdr:colOff>
      <xdr:row>101</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12687300"/>
          <a:ext cx="3571429" cy="4714286"/>
        </a:xfrm>
        <a:prstGeom prst="rect">
          <a:avLst/>
        </a:prstGeom>
      </xdr:spPr>
    </xdr:pic>
    <xdr:clientData/>
  </xdr:twoCellAnchor>
  <xdr:twoCellAnchor editAs="oneCell">
    <xdr:from>
      <xdr:col>10</xdr:col>
      <xdr:colOff>0</xdr:colOff>
      <xdr:row>74</xdr:row>
      <xdr:rowOff>0</xdr:rowOff>
    </xdr:from>
    <xdr:to>
      <xdr:col>15</xdr:col>
      <xdr:colOff>9095</xdr:colOff>
      <xdr:row>103</xdr:row>
      <xdr:rowOff>123188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687300"/>
          <a:ext cx="3438095" cy="5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438151</xdr:colOff>
      <xdr:row>36</xdr:row>
      <xdr:rowOff>46199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981950" cy="6218399"/>
        </a:xfrm>
        <a:prstGeom prst="rect">
          <a:avLst/>
        </a:prstGeom>
      </xdr:spPr>
    </xdr:pic>
    <xdr:clientData/>
  </xdr:twoCellAnchor>
  <xdr:twoCellAnchor editAs="oneCell">
    <xdr:from>
      <xdr:col>0</xdr:col>
      <xdr:colOff>0</xdr:colOff>
      <xdr:row>35</xdr:row>
      <xdr:rowOff>14175</xdr:rowOff>
    </xdr:from>
    <xdr:to>
      <xdr:col>10</xdr:col>
      <xdr:colOff>303905</xdr:colOff>
      <xdr:row>66</xdr:row>
      <xdr:rowOff>23035</xdr:rowOff>
    </xdr:to>
    <xdr:pic>
      <xdr:nvPicPr>
        <xdr:cNvPr id="3" name="图片 2"/>
        <xdr:cNvPicPr>
          <a:picLocks noChangeAspect="1"/>
        </xdr:cNvPicPr>
      </xdr:nvPicPr>
      <xdr:blipFill>
        <a:blip xmlns:r="http://schemas.openxmlformats.org/officeDocument/2006/relationships" r:embed="rId2"/>
        <a:stretch>
          <a:fillRect/>
        </a:stretch>
      </xdr:blipFill>
      <xdr:spPr>
        <a:xfrm rot="5400000">
          <a:off x="919048" y="5095877"/>
          <a:ext cx="5323810"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北京市朝阳区日坛北路17号院1号楼13层1301、1302号房地产市场价值预评估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受贵公司委托，我公司对北京市朝阳区日坛北路17号院1号楼13层1301、1302号房地产市场价值进行了预评估。</v>
      </c>
    </row>
    <row r="7" spans="1:2" s="1203" customFormat="1">
      <c r="A7" s="1201" t="s">
        <v>566</v>
      </c>
      <c r="B7" s="1202" t="str">
        <f>'预评函-1'!A7</f>
        <v>估价对象为北京市朝阳区日坛北路17号院1号楼13层1301、1302号房地产，为所有。根据《国有土地使用证》[]，估价对象（分摊）出让国有建设用地使用权面积为0平方米，建筑面积为259.41平方米。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为估价委托人在向中国银行丰台支行办理贷款手续过程中，确定房地产抵押贷款额度提供参考依据而评估房地产抵押价值。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883</v>
      </c>
    </row>
    <row r="21" spans="1:2" s="1203" customFormat="1">
      <c r="A21" s="1201" t="s">
        <v>537</v>
      </c>
      <c r="B21" s="1202">
        <f ca="1">'预评函-2'!D7</f>
        <v>34043</v>
      </c>
    </row>
    <row r="22" spans="1:2" s="1203" customFormat="1">
      <c r="A22" s="1201" t="s">
        <v>538</v>
      </c>
      <c r="B22" s="1202" t="str">
        <f ca="1">'预评函-2'!D6</f>
        <v>捌佰捌拾叁万元整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883</v>
      </c>
    </row>
    <row r="31" spans="1:2" s="1203" customFormat="1">
      <c r="A31" s="1201" t="s">
        <v>576</v>
      </c>
      <c r="B31" s="1202">
        <f ca="1">'预评函-2'!D15</f>
        <v>34043</v>
      </c>
    </row>
    <row r="32" spans="1:2" s="1203" customFormat="1">
      <c r="A32" s="1201" t="s">
        <v>543</v>
      </c>
      <c r="B32" s="1202" t="str">
        <f ca="1">'预评函-2'!D14</f>
        <v>捌佰捌拾叁万元整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北京市朝阳区日坛北路17号院1号楼13层1301、1302号房地产</v>
      </c>
    </row>
    <row r="42" spans="1:2" s="1203" customFormat="1">
      <c r="A42" s="1201" t="s">
        <v>590</v>
      </c>
      <c r="B42" s="1202" t="str">
        <f>'预评函-3'!B2</f>
        <v>建筑面积</v>
      </c>
    </row>
    <row r="43" spans="1:2" s="1203" customFormat="1">
      <c r="A43" s="1201" t="s">
        <v>591</v>
      </c>
      <c r="B43" s="1202">
        <f>'预评函-3'!B4</f>
        <v>259.41000000000003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788</v>
      </c>
    </row>
    <row r="48" spans="1:2" s="1203" customFormat="1">
      <c r="A48" s="1201" t="s">
        <v>549</v>
      </c>
      <c r="B48" s="1202">
        <f ca="1">'预评函-3'!E4</f>
        <v>30366</v>
      </c>
    </row>
    <row r="49" spans="1:2" s="1203" customFormat="1">
      <c r="A49" s="1201" t="s">
        <v>550</v>
      </c>
      <c r="B49" s="1202" t="str">
        <f ca="1">'预评函-3'!D5</f>
        <v>柒佰捌拾捌万元整</v>
      </c>
    </row>
    <row r="50" spans="1:2" s="1203" customFormat="1">
      <c r="A50" s="1201" t="s">
        <v>574</v>
      </c>
      <c r="B50" s="1202" t="str">
        <f>'预评函-3'!F2</f>
        <v>在建建筑物价值</v>
      </c>
    </row>
    <row r="51" spans="1:2" s="1203" customFormat="1">
      <c r="A51" s="1201" t="s">
        <v>551</v>
      </c>
      <c r="B51" s="1202">
        <f ca="1">'预评函-3'!F4</f>
        <v>95</v>
      </c>
    </row>
    <row r="52" spans="1:2" s="1203" customFormat="1">
      <c r="A52" s="1201" t="s">
        <v>552</v>
      </c>
      <c r="B52" s="1202">
        <f ca="1">'预评函-3'!G4</f>
        <v>3677</v>
      </c>
    </row>
    <row r="53" spans="1:2" s="1203" customFormat="1">
      <c r="A53" s="1201" t="s">
        <v>580</v>
      </c>
      <c r="B53" s="1202" t="str">
        <f ca="1">'预评函-3'!F5</f>
        <v>玖拾伍万元整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2574</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2575</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2287</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13层1301、1302号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5" t="s">
        <v>2590</v>
      </c>
      <c r="J1" s="3223"/>
      <c r="K1" s="3223"/>
      <c r="L1" s="3223"/>
      <c r="M1" s="3223"/>
      <c r="N1" s="3436"/>
      <c r="O1" s="3436"/>
      <c r="P1" s="3436"/>
      <c r="Q1" s="3436"/>
      <c r="R1" s="3436"/>
    </row>
    <row r="2" spans="1:18">
      <c r="A2" s="3013"/>
      <c r="B2" s="3014"/>
      <c r="C2" s="3014"/>
      <c r="D2" s="3014"/>
      <c r="E2" s="3014"/>
      <c r="F2" s="3015"/>
      <c r="I2" s="3498" t="s">
        <v>2577</v>
      </c>
      <c r="J2" s="3498"/>
      <c r="K2" s="3498"/>
      <c r="L2" s="3498"/>
      <c r="M2" s="3498"/>
      <c r="N2" s="3498"/>
      <c r="O2" s="3498"/>
      <c r="P2" s="3498"/>
      <c r="Q2" s="3498"/>
      <c r="R2" s="3498"/>
    </row>
    <row r="3" spans="1:18">
      <c r="A3" s="3016" t="s">
        <v>2498</v>
      </c>
      <c r="B3" s="3017">
        <f>项目基本情况!D3</f>
        <v>44931</v>
      </c>
      <c r="C3" s="3019"/>
      <c r="D3" s="3019"/>
      <c r="E3" s="3019"/>
      <c r="F3" s="3015"/>
      <c r="I3" s="3437"/>
      <c r="J3" s="3437" t="s">
        <v>2581</v>
      </c>
      <c r="K3" s="3437" t="s">
        <v>2582</v>
      </c>
      <c r="L3" s="3437" t="s">
        <v>2583</v>
      </c>
      <c r="M3" s="3437" t="s">
        <v>2584</v>
      </c>
      <c r="N3" s="3438" t="s">
        <v>2585</v>
      </c>
      <c r="O3" s="3438" t="s">
        <v>2586</v>
      </c>
      <c r="P3" s="3438" t="s">
        <v>2587</v>
      </c>
      <c r="Q3" s="3438" t="s">
        <v>2588</v>
      </c>
      <c r="R3" s="3438" t="s">
        <v>2589</v>
      </c>
    </row>
    <row r="4" spans="1:18">
      <c r="A4" s="3016" t="s">
        <v>2499</v>
      </c>
      <c r="B4" s="3019" t="s">
        <v>2500</v>
      </c>
      <c r="C4" s="3019" t="s">
        <v>2501</v>
      </c>
      <c r="D4" s="3019" t="s">
        <v>2502</v>
      </c>
      <c r="E4" s="3019" t="s">
        <v>2503</v>
      </c>
      <c r="F4" s="3015"/>
      <c r="I4" s="3437" t="s">
        <v>2578</v>
      </c>
      <c r="J4" s="3437">
        <v>80</v>
      </c>
      <c r="K4" s="3437">
        <v>70</v>
      </c>
      <c r="L4" s="3437">
        <v>20</v>
      </c>
      <c r="M4" s="3437">
        <v>30</v>
      </c>
      <c r="N4" s="3019">
        <v>45</v>
      </c>
      <c r="O4" s="3019">
        <v>60</v>
      </c>
      <c r="P4" s="3019">
        <v>50</v>
      </c>
      <c r="Q4" s="3019">
        <v>20</v>
      </c>
      <c r="R4" s="3019">
        <v>375</v>
      </c>
    </row>
    <row r="5" spans="1:18">
      <c r="A5" s="3020">
        <v>40</v>
      </c>
      <c r="B5" s="3017">
        <v>46375</v>
      </c>
      <c r="C5" s="3019">
        <f>ROUNDDOWN(MIN((B5-B3)/365,A5),2)</f>
        <v>3.95</v>
      </c>
      <c r="D5" s="3021">
        <f>IF(ISERROR(ROUND(POWER(1+E5,A5-C5)*(POWER(1+E5,C5)-1)/(POWER(1+E5,A5)-1),3)),0,ROUND(POWER(1+E5,A5-C5)*(POWER(1+E5,C5)-1)/(POWER(1+E5,A5)-1),4))</f>
        <v>0.18129999999999999</v>
      </c>
      <c r="E5" s="3022">
        <v>0.04</v>
      </c>
      <c r="F5" s="3015"/>
      <c r="I5" s="3437" t="s">
        <v>2579</v>
      </c>
      <c r="J5" s="3437">
        <v>70</v>
      </c>
      <c r="K5" s="3437">
        <v>60</v>
      </c>
      <c r="L5" s="3437">
        <v>15</v>
      </c>
      <c r="M5" s="3437">
        <v>25</v>
      </c>
      <c r="N5" s="3019">
        <v>40</v>
      </c>
      <c r="O5" s="3019">
        <v>50</v>
      </c>
      <c r="P5" s="3019">
        <v>40</v>
      </c>
      <c r="Q5" s="3019">
        <v>15</v>
      </c>
      <c r="R5" s="3019">
        <v>315</v>
      </c>
    </row>
    <row r="6" spans="1:18">
      <c r="A6" s="3020">
        <v>50</v>
      </c>
      <c r="B6" s="3017">
        <v>50028</v>
      </c>
      <c r="C6" s="3019">
        <f>ROUNDDOWN(MIN((B6-B3)/365,A6),2)</f>
        <v>13.96</v>
      </c>
      <c r="D6" s="3021">
        <f>IF(ISERROR(ROUND(POWER(1+E6,A6-C6)*(POWER(1+E6,C6)-1)/(POWER(1+E6,A6)-1),3)),0,ROUND(POWER(1+E6,A6-C6)*(POWER(1+E6,C6)-1)/(POWER(1+E6,A6)-1),4))</f>
        <v>0.49070000000000003</v>
      </c>
      <c r="E6" s="3022">
        <v>0.04</v>
      </c>
      <c r="F6" s="3015"/>
      <c r="I6" s="3437" t="s">
        <v>2580</v>
      </c>
      <c r="J6" s="3437">
        <v>60</v>
      </c>
      <c r="K6" s="3437">
        <v>50</v>
      </c>
      <c r="L6" s="3437">
        <v>10</v>
      </c>
      <c r="M6" s="3437">
        <v>20</v>
      </c>
      <c r="N6" s="3019">
        <v>35</v>
      </c>
      <c r="O6" s="3019">
        <v>40</v>
      </c>
      <c r="P6" s="3019">
        <v>30</v>
      </c>
      <c r="Q6" s="3019">
        <v>10</v>
      </c>
      <c r="R6" s="3019">
        <v>255</v>
      </c>
    </row>
    <row r="7" spans="1:18">
      <c r="A7" s="3020">
        <v>70</v>
      </c>
      <c r="B7" s="3017">
        <v>57333</v>
      </c>
      <c r="C7" s="3019">
        <f>ROUNDDOWN(MIN((B7-B3)/365,A7),2)</f>
        <v>33.97</v>
      </c>
      <c r="D7" s="3021">
        <f>IF(ISERROR(ROUND(POWER(1+E7,A7-C7)*(POWER(1+E7,C7)-1)/(POWER(1+E7,A7)-1),3)),0,ROUND(POWER(1+E7,A7-C7)*(POWER(1+E7,C7)-1)/(POWER(1+E7,A7)-1),4))</f>
        <v>0.78669999999999995</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499" t="str">
        <f>IF(B10="北京市","北京市",C10)&amp;F10&amp;IF(结果表!G1="在建","出让国有建设用地使用权及在建建筑物",IF(结果表!G1="土地","出让国有建设用地使用权",))&amp;B9&amp;"预评估"</f>
        <v>北京市朝阳区日坛北路17号院1号楼13层1301、1302号房地产市场价值预评估</v>
      </c>
      <c r="C1" s="3500"/>
      <c r="D1" s="3500"/>
      <c r="E1" s="3500"/>
      <c r="F1" s="3500"/>
      <c r="G1" s="3500"/>
      <c r="H1" s="3500"/>
      <c r="I1" s="350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北京市朝阳区日坛北路17号院1号楼13层1301、1302号房地产市场价值</v>
      </c>
      <c r="T1" s="1745"/>
      <c r="U1" s="1745"/>
      <c r="V1" s="1745"/>
      <c r="W1" s="1745"/>
      <c r="X1" s="1745"/>
      <c r="Y1" s="1745"/>
      <c r="Z1" s="1745"/>
      <c r="AA1" s="1745"/>
      <c r="AB1" s="1745"/>
    </row>
    <row r="2" spans="1:30">
      <c r="A2" s="2367" t="s">
        <v>2167</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北京市朝阳区日坛北路17号院1号楼13层1301、1302号房地产</v>
      </c>
      <c r="T2" s="1745"/>
      <c r="U2" s="1745"/>
      <c r="V2" s="1745"/>
      <c r="W2" s="1745"/>
      <c r="X2" s="1745"/>
      <c r="Y2" s="1745"/>
      <c r="Z2" s="1745"/>
      <c r="AA2" s="1745"/>
      <c r="AB2" s="1745"/>
    </row>
    <row r="3" spans="1:30">
      <c r="A3" s="302" t="s">
        <v>2168</v>
      </c>
      <c r="B3" s="3451">
        <v>44931</v>
      </c>
      <c r="C3" s="2374" t="s">
        <v>2169</v>
      </c>
      <c r="D3" s="2373">
        <f>B3</f>
        <v>44931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3452" t="s">
        <v>3418</v>
      </c>
      <c r="C6" s="2384"/>
      <c r="D6" s="2385"/>
      <c r="E6" s="2659"/>
      <c r="F6" s="2661"/>
      <c r="G6" s="2661"/>
      <c r="H6" s="2661"/>
      <c r="I6" s="2661"/>
      <c r="J6" s="2438"/>
      <c r="K6" s="2612" t="str">
        <f>IF(COUNTIF(B6,"*上海银行*"),"上海银行","")</f>
        <v/>
      </c>
      <c r="L6" s="2610"/>
      <c r="M6" s="2610"/>
      <c r="N6" s="2438"/>
      <c r="O6" s="2449"/>
      <c r="P6" s="2438"/>
      <c r="Q6" s="2438"/>
      <c r="R6" s="2438"/>
    </row>
    <row r="7" spans="1:30">
      <c r="A7" s="2383" t="s">
        <v>2173</v>
      </c>
      <c r="B7" s="2386"/>
      <c r="C7" s="2384"/>
      <c r="D7" s="2385"/>
      <c r="E7" s="2659"/>
      <c r="F7" s="2661"/>
      <c r="G7" s="2661"/>
      <c r="H7" s="2661"/>
      <c r="I7" s="2661"/>
      <c r="J7" s="2438"/>
      <c r="K7" s="2613"/>
      <c r="L7" s="2610"/>
      <c r="M7" s="2610"/>
      <c r="N7" s="2438"/>
      <c r="O7" s="2449"/>
      <c r="P7" s="2438"/>
      <c r="Q7" s="2438"/>
      <c r="R7" s="2438"/>
    </row>
    <row r="8" spans="1:30">
      <c r="A8" s="2387" t="s">
        <v>2174</v>
      </c>
      <c r="B8" s="2388" t="s">
        <v>3371</v>
      </c>
      <c r="C8" s="2389"/>
      <c r="D8" s="3502" t="s">
        <v>2175</v>
      </c>
      <c r="E8" s="2390" t="s">
        <v>3372</v>
      </c>
      <c r="F8" s="2391"/>
      <c r="G8" s="2660"/>
      <c r="H8" s="2660"/>
      <c r="I8" s="2660"/>
      <c r="J8" s="2438"/>
      <c r="K8" s="2611"/>
      <c r="L8" s="2610"/>
      <c r="M8" s="2610"/>
      <c r="N8" s="2438"/>
      <c r="O8" s="2449"/>
      <c r="P8" s="2438"/>
      <c r="Q8" s="2438"/>
      <c r="R8" s="2438"/>
    </row>
    <row r="9" spans="1:30" ht="13.5" thickBot="1">
      <c r="A9" s="2392" t="s">
        <v>2176</v>
      </c>
      <c r="B9" s="2393" t="s">
        <v>3373</v>
      </c>
      <c r="C9" s="2394"/>
      <c r="D9" s="3503"/>
      <c r="E9" s="2393" t="s">
        <v>43</v>
      </c>
      <c r="F9" s="2395"/>
      <c r="G9" s="2662"/>
      <c r="H9" s="2662"/>
      <c r="I9" s="2662"/>
      <c r="J9" s="2438"/>
      <c r="K9" s="2613"/>
      <c r="L9" s="2610"/>
      <c r="M9" s="2610"/>
      <c r="N9" s="2438"/>
      <c r="O9" s="2449"/>
      <c r="P9" s="2438"/>
      <c r="Q9" s="2438"/>
      <c r="R9" s="2438"/>
    </row>
    <row r="10" spans="1:30" ht="13.5" thickTop="1">
      <c r="A10" s="2396" t="s">
        <v>2177</v>
      </c>
      <c r="B10" s="2397" t="s">
        <v>3374</v>
      </c>
      <c r="C10" s="2398"/>
      <c r="D10" s="2382"/>
      <c r="E10" s="2399" t="s">
        <v>2178</v>
      </c>
      <c r="F10" s="3444" t="s">
        <v>3419</v>
      </c>
      <c r="G10" s="2663"/>
      <c r="H10" s="2664"/>
      <c r="I10" s="2665"/>
      <c r="J10" s="2438"/>
      <c r="K10" s="2613"/>
      <c r="L10" s="2610"/>
      <c r="M10" s="2610"/>
      <c r="N10" s="2438"/>
      <c r="O10" s="2449"/>
      <c r="P10" s="2438"/>
      <c r="Q10" s="2438"/>
      <c r="R10" s="2438"/>
    </row>
    <row r="11" spans="1:30">
      <c r="A11" s="2400" t="s">
        <v>2179</v>
      </c>
      <c r="B11" s="2401" t="s">
        <v>3375</v>
      </c>
      <c r="C11" s="2402"/>
      <c r="D11" s="2403"/>
      <c r="E11" s="2370"/>
      <c r="F11" s="2370"/>
      <c r="G11" s="2370"/>
      <c r="H11" s="2370"/>
      <c r="I11" s="2370"/>
      <c r="J11" s="3057"/>
      <c r="K11" s="3056"/>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5" t="s">
        <v>2573</v>
      </c>
      <c r="J12" s="3058"/>
      <c r="K12" s="2610"/>
      <c r="L12" s="2610"/>
      <c r="M12" s="2438"/>
      <c r="N12" s="2449"/>
      <c r="O12" s="2438"/>
      <c r="P12" s="2438"/>
      <c r="Q12" s="2438"/>
      <c r="AD12" s="1745"/>
    </row>
    <row r="13" spans="1:30">
      <c r="A13" s="3421" t="s">
        <v>3335</v>
      </c>
      <c r="B13" s="2406" t="s">
        <v>2188</v>
      </c>
      <c r="C13" s="856"/>
      <c r="D13" s="856"/>
      <c r="E13" s="856">
        <v>55462</v>
      </c>
      <c r="F13" s="856"/>
      <c r="G13" s="856"/>
      <c r="H13" s="856"/>
      <c r="I13" s="856"/>
      <c r="J13" s="3058"/>
      <c r="K13" s="2610"/>
      <c r="L13" s="2610"/>
      <c r="M13" s="2438"/>
      <c r="N13" s="2449"/>
      <c r="O13" s="2438"/>
      <c r="P13" s="2438"/>
      <c r="Q13" s="2438"/>
      <c r="AD13" s="1745"/>
    </row>
    <row r="14" spans="1:30">
      <c r="A14" s="1081"/>
      <c r="B14" s="2406" t="s">
        <v>2189</v>
      </c>
      <c r="C14" s="2407"/>
      <c r="D14" s="2407"/>
      <c r="E14" s="2407">
        <v>50</v>
      </c>
      <c r="F14" s="2407"/>
      <c r="G14" s="2407"/>
      <c r="H14" s="2407"/>
      <c r="I14" s="2407"/>
      <c r="J14" s="3059"/>
      <c r="K14" s="2610"/>
      <c r="L14" s="2610"/>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28.85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399" t="s">
        <v>2191</v>
      </c>
      <c r="B16" s="3509"/>
      <c r="C16" s="3510"/>
      <c r="D16" s="3511"/>
      <c r="E16" s="2412" t="s">
        <v>2192</v>
      </c>
      <c r="F16" s="3512"/>
      <c r="G16" s="3513"/>
      <c r="H16" s="3513"/>
      <c r="I16" s="3514"/>
      <c r="J16" s="2438"/>
      <c r="K16" s="2614"/>
      <c r="L16" s="2450"/>
      <c r="M16" s="2450"/>
      <c r="N16" s="2506"/>
      <c r="O16" s="2450"/>
      <c r="P16" s="2506"/>
      <c r="Q16" s="2438"/>
      <c r="R16" s="2438"/>
    </row>
    <row r="17" spans="1:28">
      <c r="A17" s="313" t="s">
        <v>2193</v>
      </c>
      <c r="B17" s="302" t="s">
        <v>2194</v>
      </c>
      <c r="C17" s="8">
        <f>'数据-汇总表'!E3</f>
        <v>259.41000000000003</v>
      </c>
      <c r="D17" s="2322" t="s">
        <v>2195</v>
      </c>
      <c r="E17" s="3515" t="s">
        <v>2196</v>
      </c>
      <c r="F17" s="3516"/>
      <c r="G17" s="3516"/>
      <c r="H17" s="3516"/>
      <c r="I17" s="3517"/>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518" t="s">
        <v>2200</v>
      </c>
      <c r="F18" s="3519"/>
      <c r="G18" s="3519"/>
      <c r="H18" s="3519"/>
      <c r="I18" s="3520"/>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505" t="s">
        <v>2204</v>
      </c>
      <c r="C20" s="3506"/>
      <c r="D20" s="3507" t="s">
        <v>2205</v>
      </c>
      <c r="E20" s="3508"/>
      <c r="F20" s="2644" t="s">
        <v>1056</v>
      </c>
      <c r="G20" s="2661"/>
      <c r="H20" s="2661"/>
      <c r="I20" s="2661"/>
      <c r="J20" s="2438"/>
      <c r="K20" s="3504"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2207</v>
      </c>
      <c r="C21" s="2631" t="s">
        <v>1057</v>
      </c>
      <c r="D21" s="1568" t="s">
        <v>2208</v>
      </c>
      <c r="E21" s="2632" t="s">
        <v>1057</v>
      </c>
      <c r="F21" s="2645"/>
      <c r="G21" s="2661"/>
      <c r="H21" s="2661"/>
      <c r="I21" s="2661"/>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1058</v>
      </c>
      <c r="D22" s="2660"/>
      <c r="E22" s="2660"/>
      <c r="F22" s="2660"/>
      <c r="G22" s="2661"/>
      <c r="H22" s="2661"/>
      <c r="I22" s="2661"/>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22" t="s">
        <v>2212</v>
      </c>
      <c r="B27" s="320" t="s">
        <v>2213</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22"/>
      <c r="B28" s="302" t="s">
        <v>2214</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22"/>
      <c r="B29" s="302" t="s">
        <v>2215</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3"/>
      <c r="B30" s="302" t="s">
        <v>2216</v>
      </c>
      <c r="C30" s="3524"/>
      <c r="D30" s="3525"/>
      <c r="E30" s="2661"/>
      <c r="F30" s="2661"/>
      <c r="G30" s="2661"/>
      <c r="H30" s="2661"/>
      <c r="I30" s="2661"/>
      <c r="J30" s="2438"/>
      <c r="K30" s="2613"/>
      <c r="L30" s="2610"/>
      <c r="M30" s="2610"/>
      <c r="N30" s="2438"/>
      <c r="O30" s="2449"/>
      <c r="P30" s="2438"/>
      <c r="Q30" s="2438"/>
      <c r="R30" s="2438"/>
      <c r="S30" s="2438"/>
      <c r="T30" s="2438"/>
      <c r="U30" s="2438"/>
      <c r="V30" s="2438"/>
    </row>
    <row r="31" spans="1:28">
      <c r="A31" s="3526" t="s">
        <v>2217</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7"/>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7"/>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c r="C34" s="2026"/>
      <c r="D34" s="2026"/>
      <c r="E34" s="2026"/>
      <c r="F34" s="2026"/>
      <c r="G34" s="2026"/>
      <c r="H34" s="2026"/>
      <c r="I34" s="2661"/>
      <c r="J34" s="2438"/>
      <c r="K34" s="2426">
        <f>COUNTIF(B34:H34,"——")</f>
        <v>0</v>
      </c>
      <c r="L34" s="323" t="s">
        <v>2219</v>
      </c>
      <c r="M34" s="323" t="s">
        <v>2220</v>
      </c>
      <c r="N34" s="323" t="s">
        <v>2221</v>
      </c>
      <c r="O34" s="323" t="s">
        <v>2222</v>
      </c>
      <c r="P34" s="323" t="s">
        <v>2223</v>
      </c>
      <c r="Q34" s="323" t="s">
        <v>2224</v>
      </c>
      <c r="R34" s="323" t="s">
        <v>2225</v>
      </c>
      <c r="S34" s="3521" t="s">
        <v>2226</v>
      </c>
      <c r="T34" s="2427" t="str">
        <f>NUMBERSTRING(7-K34,1)&amp;"通"</f>
        <v>七通</v>
      </c>
      <c r="U34" s="2438"/>
      <c r="V34" s="2438"/>
    </row>
    <row r="35" spans="1:30">
      <c r="A35" s="2428"/>
      <c r="B35" s="3528" t="s">
        <v>2227</v>
      </c>
      <c r="C35" s="3528"/>
      <c r="D35" s="3528"/>
      <c r="E35" s="3528"/>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1" t="s">
        <v>2576</v>
      </c>
      <c r="G36" s="2661"/>
      <c r="H36" s="2661"/>
      <c r="I36" s="2661"/>
      <c r="J36" s="2438"/>
      <c r="K36" s="2613"/>
      <c r="L36" s="2610"/>
      <c r="M36" s="2610"/>
      <c r="N36" s="2438"/>
      <c r="O36" s="2449"/>
      <c r="P36" s="2438"/>
      <c r="Q36" s="2438"/>
      <c r="R36" s="2438"/>
      <c r="S36" s="2438"/>
      <c r="T36" s="2438"/>
      <c r="U36" s="2438"/>
      <c r="V36" s="2438"/>
    </row>
    <row r="37" spans="1:30">
      <c r="A37" s="2627" t="s">
        <v>2228</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c r="C38" s="2431" t="s">
        <v>145</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T57" sqref="T57"/>
      <selection pane="topRight" activeCell="T57" sqref="T57"/>
      <selection pane="bottomLeft" activeCell="T57" sqref="T57"/>
      <selection pane="bottomRight" activeCell="K35" sqref="K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456.71000000000004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456.71000000000004</v>
      </c>
      <c r="H5" s="13">
        <f t="shared" ref="H5:AT5" si="0">SUM(H13:H656)</f>
        <v>456.71000000000004</v>
      </c>
      <c r="I5" s="13">
        <f t="shared" si="0"/>
        <v>456.71000000000004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259.41000000000003</v>
      </c>
      <c r="BA5" s="15">
        <f t="shared" si="1"/>
        <v>259.41000000000003</v>
      </c>
      <c r="BB5" s="15">
        <f t="shared" si="1"/>
        <v>259.41000000000003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1301</v>
      </c>
      <c r="D13" s="1625" t="s">
        <v>3376</v>
      </c>
      <c r="E13" s="13">
        <f>IF($C$3="是",ROUND($A$3*G13/$B$3,2),ROUND($A$3*(G13-AT13)/$B$3,2))</f>
        <v>0</v>
      </c>
      <c r="F13" s="29"/>
      <c r="G13" s="30">
        <f>H13+AC13+AT13</f>
        <v>259.41000000000003</v>
      </c>
      <c r="H13" s="17">
        <f>SUMIF(I$12:AB$12,"总值",I13:AB13)</f>
        <v>259.41000000000003</v>
      </c>
      <c r="I13" s="1626">
        <v>259.41000000000003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1301</v>
      </c>
      <c r="AY13" s="1349">
        <f>ROUND($AY$6*AZ13/$AZ$5,2)</f>
        <v>0</v>
      </c>
      <c r="AZ13" s="13">
        <f>BA13+BL13</f>
        <v>259.41000000000003</v>
      </c>
      <c r="BA13" s="13">
        <f>SUM(BB13:BK13)</f>
        <v>259.41000000000003</v>
      </c>
      <c r="BB13" s="13">
        <f>IF($D13="是",I13-J13,0)</f>
        <v>259.41000000000003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1302</v>
      </c>
      <c r="D14" s="1625" t="s">
        <v>3420</v>
      </c>
      <c r="E14" s="13">
        <f>IF($C$3="是",ROUND($A$3*G14/$B$3,2),ROUND($A$3*(G14-AT14)/$B$3,2))</f>
        <v>0</v>
      </c>
      <c r="F14" s="29"/>
      <c r="G14" s="30">
        <f>H14+AC14+AT14</f>
        <v>197.3</v>
      </c>
      <c r="H14" s="17">
        <f>SUMIF(I$12:AB$12,"总值",I14:AB14)</f>
        <v>197.3</v>
      </c>
      <c r="I14" s="1626">
        <v>197.3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1302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259.41000000000003</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259.41000000000003</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f>基准地价修正!C21</f>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259.41000000000003</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259.41000000000003</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259.41000000000003</v>
      </c>
      <c r="F19" s="2791">
        <f>'数据-基础表'!I13</f>
        <v>259.41000000000003</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259.41000000000003</v>
      </c>
    </row>
    <row r="20" spans="1:19">
      <c r="A20" s="1670"/>
      <c r="B20" s="47" t="s">
        <v>1153</v>
      </c>
      <c r="C20" s="3415"/>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259.41000000000003</v>
      </c>
      <c r="F27" s="1140">
        <f>IF(SUM(F19:F26)=E8,SUM(F19:F26),"地上面积有误")</f>
        <v>259.41000000000003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259.41000000000003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259.41000000000003</v>
      </c>
      <c r="F31" s="677">
        <f>F27+F30</f>
        <v>259.41000000000003</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T57" sqref="T57"/>
      <selection pane="topRight" activeCell="T57" sqref="T57"/>
      <selection pane="bottomLeft" activeCell="T57" sqref="T57"/>
      <selection pane="bottomRight" activeCell="G25" sqref="G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55462</v>
      </c>
      <c r="F6" s="64">
        <f>SUMIF(项目基本情况!C$12:I$12,C6,项目基本情况!C$15:I$15)</f>
        <v>28.85</v>
      </c>
      <c r="G6" s="65">
        <f>IF(ISERROR(ROUND(POWER(1+H6,D6-F6)*(POWER(1+H6,F6)-1)/(POWER(1+H6,D6)-1),3)),0,ROUND(POWER(1+H6,D6-F6)*(POWER(1+H6,F6)-1)/(POWER(1+H6,D6)-1),3))</f>
        <v>0.82699999999999996</v>
      </c>
      <c r="H6" s="732">
        <v>0.05</v>
      </c>
      <c r="I6" s="732">
        <v>5.5E-2</v>
      </c>
      <c r="J6" s="66">
        <v>0.08</v>
      </c>
      <c r="K6" s="1030">
        <f>SUMIF('数据-汇总表'!C$19:C$33,A6,'数据-汇总表'!E$19:E$33)</f>
        <v>259.41000000000003</v>
      </c>
      <c r="L6" s="733">
        <v>4000</v>
      </c>
      <c r="M6" s="67">
        <f t="shared" ref="M6:M14" si="0">ROUND(K6*L6/10000,0)</f>
        <v>104</v>
      </c>
      <c r="N6" s="731">
        <f>N21</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4</v>
      </c>
      <c r="V6" s="70">
        <v>0.03</v>
      </c>
      <c r="W6" s="70">
        <v>0.1</v>
      </c>
      <c r="X6" s="1040"/>
      <c r="Y6" s="71">
        <f>N6</f>
        <v>0.85</v>
      </c>
      <c r="Z6" s="72"/>
      <c r="AA6" s="66"/>
      <c r="AB6" s="66"/>
      <c r="AC6" s="1040"/>
      <c r="AD6" s="73"/>
      <c r="AE6" s="1041">
        <f ca="1">IF(AN6="",0,SUMIF(INDIRECT("'"&amp;AN6&amp;"'"&amp;"!E:E"),$AE$5,INDIRECT("'"&amp;AN6&amp;"'"&amp;"!F:F")))</f>
        <v>28.85</v>
      </c>
      <c r="AF6" s="1348"/>
      <c r="AG6" s="138">
        <f>IF(AF6="",0,AE6-AF6)</f>
        <v>0</v>
      </c>
      <c r="AH6" s="74"/>
      <c r="AI6" s="76">
        <v>365</v>
      </c>
      <c r="AJ6" s="77"/>
      <c r="AK6" s="78">
        <v>8.0000000000000002E-3</v>
      </c>
      <c r="AL6" s="79">
        <v>1E-3</v>
      </c>
      <c r="AM6" s="80">
        <v>0.01</v>
      </c>
      <c r="AN6" s="1715" t="s">
        <v>3381</v>
      </c>
      <c r="AO6" s="52">
        <f ca="1">SUMIF(INDIRECT("'"&amp;AN6&amp;"'"&amp;"!A:A"),"总价",INDIRECT("'"&amp;AN6&amp;"'"&amp;"!B:B"))</f>
        <v>606.73239999999998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0.82699999999999996</v>
      </c>
      <c r="H16" s="90">
        <f>ROUND(SUMPRODUCT(H6:H13,K6:K13)/SUMPRODUCT((H6:H13&gt;0)*(K6:K13)),3)</f>
        <v>0.05</v>
      </c>
      <c r="I16" s="91"/>
      <c r="J16" s="91"/>
      <c r="K16" s="92">
        <f>SUM(K6:K15)</f>
        <v>259.41000000000003</v>
      </c>
      <c r="L16" s="93">
        <f>ROUND(M16*10000/SUM(K6:K14),0)</f>
        <v>4009</v>
      </c>
      <c r="M16" s="93">
        <f>SUM(M6:M14)</f>
        <v>104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9" t="s">
        <v>3410</v>
      </c>
      <c r="N19" s="2667">
        <v>2007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2297</v>
      </c>
      <c r="D20" s="2672"/>
      <c r="E20" s="2669"/>
      <c r="F20" s="2669"/>
      <c r="G20" s="2669"/>
      <c r="H20" s="2669"/>
      <c r="I20" s="2669"/>
      <c r="J20" s="2669"/>
      <c r="K20" s="2668"/>
      <c r="L20" s="2668"/>
      <c r="M20" s="3449" t="s">
        <v>3411</v>
      </c>
      <c r="N20" s="2667">
        <f>ROUND(1-(2023-2007)/60,2)</f>
        <v>0.73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2.5</v>
      </c>
      <c r="C21" s="2669"/>
      <c r="D21" s="2672"/>
      <c r="E21" s="2669"/>
      <c r="F21" s="2669"/>
      <c r="G21" s="2669"/>
      <c r="H21" s="2669"/>
      <c r="I21" s="2669"/>
      <c r="J21" s="2669"/>
      <c r="K21" s="2668"/>
      <c r="L21" s="2668"/>
      <c r="M21" s="3449" t="s">
        <v>3412</v>
      </c>
      <c r="N21" s="3450">
        <v>0.85</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3449" t="s">
        <v>3413</v>
      </c>
      <c r="N22" s="2667">
        <f>ROUND((N21+N20)/2,2)</f>
        <v>0.79</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2301</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51882</v>
      </c>
      <c r="C29" s="2798" t="s">
        <v>2288</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2289</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2290</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2291</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2292</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0.03</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0.03</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3382</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184</v>
      </c>
      <c r="C53" s="2658"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57" sqref="T57"/>
      <selection pane="topRight" activeCell="T57" sqref="T57"/>
      <selection pane="bottomLeft" activeCell="T57" sqref="T57"/>
      <selection pane="bottomRight" activeCell="F36" sqref="F3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4" t="s">
        <v>2280</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446" t="s">
        <v>3404</v>
      </c>
      <c r="D3" s="2463"/>
      <c r="E3" s="2441" t="s">
        <v>2278</v>
      </c>
      <c r="F3" s="2464" t="s">
        <v>2251</v>
      </c>
      <c r="G3" s="2465" t="s">
        <v>2279</v>
      </c>
      <c r="H3" s="799"/>
      <c r="I3" s="799"/>
      <c r="J3" s="799"/>
      <c r="K3" s="799"/>
      <c r="L3" s="799"/>
      <c r="M3" s="799"/>
      <c r="N3" s="799"/>
      <c r="O3" s="799"/>
      <c r="P3" s="799"/>
      <c r="Q3" s="799"/>
      <c r="R3" s="799"/>
    </row>
    <row r="4" spans="1:29" ht="36">
      <c r="A4" s="2441"/>
      <c r="B4" s="323" t="s">
        <v>2252</v>
      </c>
      <c r="C4" s="3447" t="s">
        <v>3405</v>
      </c>
      <c r="D4" s="2463"/>
      <c r="E4" s="2466"/>
      <c r="F4" s="1373" t="s">
        <v>2253</v>
      </c>
      <c r="G4" s="2467" t="s">
        <v>2254</v>
      </c>
      <c r="H4" s="799"/>
      <c r="I4" s="799"/>
      <c r="J4" s="799"/>
      <c r="K4" s="799"/>
      <c r="L4" s="799"/>
      <c r="M4" s="799"/>
      <c r="N4" s="799"/>
      <c r="O4" s="799"/>
      <c r="P4" s="799"/>
      <c r="Q4" s="799"/>
      <c r="R4" s="799"/>
    </row>
    <row r="5" spans="1:29" ht="24">
      <c r="A5" s="2441"/>
      <c r="B5" s="323" t="s">
        <v>2255</v>
      </c>
      <c r="C5" s="3447" t="s">
        <v>3406</v>
      </c>
      <c r="D5" s="2463"/>
      <c r="E5" s="2466"/>
      <c r="F5" s="323" t="s">
        <v>2256</v>
      </c>
      <c r="G5" s="2467" t="s">
        <v>2257</v>
      </c>
      <c r="H5" s="799"/>
      <c r="I5" s="799"/>
      <c r="J5" s="799"/>
      <c r="K5" s="799"/>
      <c r="L5" s="799"/>
      <c r="M5" s="799"/>
      <c r="N5" s="799"/>
      <c r="O5" s="799"/>
      <c r="P5" s="799"/>
      <c r="Q5" s="799"/>
      <c r="R5" s="799"/>
    </row>
    <row r="6" spans="1:29">
      <c r="A6" s="2441"/>
      <c r="B6" s="323" t="s">
        <v>2258</v>
      </c>
      <c r="C6" s="3448" t="s">
        <v>3407</v>
      </c>
      <c r="D6" s="2463"/>
      <c r="E6" s="2466"/>
      <c r="F6" s="323" t="s">
        <v>2259</v>
      </c>
      <c r="G6" s="2467" t="s">
        <v>2260</v>
      </c>
      <c r="H6" s="799"/>
      <c r="I6" s="799"/>
      <c r="J6" s="799"/>
      <c r="K6" s="799"/>
      <c r="L6" s="799"/>
      <c r="M6" s="799"/>
      <c r="N6" s="799"/>
      <c r="O6" s="799"/>
      <c r="P6" s="799"/>
      <c r="Q6" s="799"/>
      <c r="R6" s="799"/>
    </row>
    <row r="7" spans="1:29" ht="24.75" thickBot="1">
      <c r="A7" s="2441"/>
      <c r="B7" s="323" t="s">
        <v>2256</v>
      </c>
      <c r="C7" s="3448" t="s">
        <v>3407</v>
      </c>
      <c r="D7" s="2468"/>
      <c r="E7" s="2469"/>
      <c r="F7" s="2470" t="s">
        <v>2261</v>
      </c>
      <c r="G7" s="2471" t="s">
        <v>2262</v>
      </c>
      <c r="H7" s="799"/>
      <c r="I7" s="799"/>
      <c r="J7" s="799"/>
      <c r="K7" s="799"/>
      <c r="L7" s="799"/>
      <c r="M7" s="799"/>
      <c r="N7" s="799"/>
      <c r="O7" s="799"/>
      <c r="P7" s="799"/>
      <c r="Q7" s="799"/>
      <c r="R7" s="799"/>
    </row>
    <row r="8" spans="1:29">
      <c r="A8" s="2441"/>
      <c r="B8" s="323" t="s">
        <v>2259</v>
      </c>
      <c r="C8" s="3448" t="s">
        <v>3408</v>
      </c>
      <c r="D8" s="2468"/>
      <c r="E8" s="2468"/>
      <c r="F8" s="2472"/>
      <c r="G8" s="2472"/>
      <c r="H8" s="799"/>
      <c r="I8" s="799"/>
      <c r="J8" s="799"/>
      <c r="K8" s="799"/>
      <c r="L8" s="799"/>
      <c r="M8" s="799"/>
      <c r="N8" s="799"/>
      <c r="O8" s="799"/>
      <c r="P8" s="799"/>
      <c r="Q8" s="799"/>
      <c r="R8" s="799"/>
    </row>
    <row r="9" spans="1:29">
      <c r="A9" s="2441"/>
      <c r="B9" s="323" t="s">
        <v>2263</v>
      </c>
      <c r="C9" s="3447" t="s">
        <v>3407</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25.5">
      <c r="A15" s="2443" t="s">
        <v>2267</v>
      </c>
      <c r="B15" s="2494" t="s">
        <v>2250</v>
      </c>
      <c r="C15" s="2495" t="str">
        <f>C3</f>
        <v xml:space="preserve"> </v>
      </c>
      <c r="D15" s="2463"/>
      <c r="E15" s="2444" t="s">
        <v>2268</v>
      </c>
      <c r="F15" s="2494" t="s">
        <v>2269</v>
      </c>
      <c r="G15" s="2496" t="str">
        <f>G3</f>
        <v>估价对象位于XX开发区，园区建设成熟度XX，产业集聚程度XX</v>
      </c>
    </row>
    <row r="16" spans="1:29" ht="38.25">
      <c r="A16" s="2445"/>
      <c r="B16" s="2497" t="s">
        <v>2252</v>
      </c>
      <c r="C16" s="2498" t="str">
        <f>C4</f>
        <v xml:space="preserve"> </v>
      </c>
      <c r="D16" s="2463"/>
      <c r="E16" s="2446"/>
      <c r="F16" s="2499" t="s">
        <v>2253</v>
      </c>
      <c r="G16" s="2500" t="str">
        <f>G4</f>
        <v>估价对象周边道路状况、公共交通通达情况、停车便捷程度，综合评价交通便捷度较好</v>
      </c>
    </row>
    <row r="17" spans="1:18">
      <c r="A17" s="2445"/>
      <c r="B17" s="2497" t="s">
        <v>2255</v>
      </c>
      <c r="C17" s="2498" t="str">
        <f>C5</f>
        <v>较好</v>
      </c>
      <c r="D17" s="2468"/>
      <c r="E17" s="2446"/>
      <c r="F17" s="2499" t="s">
        <v>2270</v>
      </c>
      <c r="G17" s="2501"/>
    </row>
    <row r="18" spans="1:18" ht="25.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c r="A20" s="2445"/>
      <c r="B20" s="2499" t="s">
        <v>2272</v>
      </c>
      <c r="C20" s="2498" t="str">
        <f>C9</f>
        <v>较好</v>
      </c>
      <c r="D20" s="2468"/>
      <c r="E20" s="2446"/>
      <c r="F20" s="323" t="s">
        <v>2259</v>
      </c>
      <c r="G20" s="2500" t="str">
        <f>G6</f>
        <v>估价对象所在区域基础设施水平</v>
      </c>
    </row>
    <row r="21" spans="1:18">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14" sqref="E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259.41000000000003</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44931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883</v>
      </c>
      <c r="C5" s="2509">
        <f ca="1">IF(B5=D14,结果表!H102,ROUND(B5*10000/$B$1,0))</f>
        <v>34043</v>
      </c>
      <c r="D5" s="2509" t="e">
        <f ca="1">ROUND(B5*10000/$B$2,0)</f>
        <v>#DIV/0!</v>
      </c>
      <c r="E5" s="2682"/>
      <c r="F5" s="2683"/>
      <c r="G5" s="2683"/>
      <c r="H5" s="2684"/>
      <c r="I5" s="2684"/>
      <c r="J5" s="2684"/>
      <c r="K5" s="2684"/>
    </row>
    <row r="6" spans="1:11" ht="16.5">
      <c r="A6" s="2509" t="s">
        <v>656</v>
      </c>
      <c r="B6" s="2509">
        <f ca="1">SUM(G14:G23)</f>
        <v>883</v>
      </c>
      <c r="C6" s="2509">
        <f ca="1">IF(B6=G14,结果表!H108,ROUND(B6*10000/$B$1,0))</f>
        <v>34043</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3361</v>
      </c>
      <c r="D10" s="2509" t="s">
        <v>3362</v>
      </c>
      <c r="E10" s="3439"/>
      <c r="F10" s="3443" t="s">
        <v>3363</v>
      </c>
      <c r="G10" s="3440"/>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典型户型修正!B24</f>
        <v>259.41000000000003</v>
      </c>
      <c r="C14" s="2515">
        <v>0</v>
      </c>
      <c r="D14" s="2515">
        <f ca="1">典型户型修正!S24</f>
        <v>883</v>
      </c>
      <c r="E14" s="2515">
        <f ca="1">ROUND(D14*10000/B14,0)</f>
        <v>34039</v>
      </c>
      <c r="F14" s="2515" t="e">
        <f ca="1">ROUND(D14*10000/C14,0)</f>
        <v>#DIV/0!</v>
      </c>
      <c r="G14" s="2515">
        <f ca="1">D14</f>
        <v>883</v>
      </c>
      <c r="H14" s="2515">
        <v>0</v>
      </c>
      <c r="I14" s="2515">
        <v>0</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N38" sqref="N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3414</v>
      </c>
      <c r="H1" s="1750" t="str">
        <f>IF(G1="现房","——","估价对象范围")</f>
        <v>——</v>
      </c>
      <c r="I1" s="1751" t="s">
        <v>3415</v>
      </c>
    </row>
    <row r="2" spans="1:12" ht="21.75" customHeight="1" thickBot="1">
      <c r="A2" s="3613" t="str">
        <f>项目基本情况!S2</f>
        <v>北京市朝阳区日坛北路17号院1号楼13层1301、1302号房地产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3400</v>
      </c>
      <c r="D4" s="1756" t="s">
        <v>3381</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4</v>
      </c>
      <c r="D14" s="3607">
        <v>6</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8" t="s">
        <v>2129</v>
      </c>
      <c r="F18" s="3639"/>
      <c r="G18" s="3639"/>
      <c r="H18" s="3639"/>
      <c r="I18" s="3639"/>
      <c r="K18" s="302" t="s">
        <v>1289</v>
      </c>
      <c r="L18" s="302">
        <f>IF(C1="",'数据-汇总表'!E3,SUMIF(项目类型,C1,'数据-汇总表'!E17:E26)+SUMIF(项目类型,C1,'数据-汇总表'!I17:I26))</f>
        <v>259.41000000000003</v>
      </c>
      <c r="M18" s="302">
        <f>IF(C1="",'数据-汇总表'!E3,SUMIF(项目类型,C1,'数据-汇总表'!E17:E26))</f>
        <v>259.41000000000003</v>
      </c>
    </row>
    <row r="19" spans="1:36" ht="15">
      <c r="A19" s="1761" t="s">
        <v>1290</v>
      </c>
      <c r="B19" s="1762" t="s">
        <v>1291</v>
      </c>
      <c r="C19" s="134">
        <f ca="1">SUMIF(INDIRECT("'"&amp;C4&amp;"'"&amp;"!A:A"),结果表!B19,INDIRECT("'"&amp;C4&amp;"'"&amp;"!B:B"))</f>
        <v>1297.6394</v>
      </c>
      <c r="D19" s="135">
        <f ca="1">SUMIF(INDIRECT("'"&amp;D4&amp;"'"&amp;"!A:A"),结果表!B19,INDIRECT("'"&amp;D4&amp;"'"&amp;"!B:B"))</f>
        <v>606.73239999999998</v>
      </c>
      <c r="E19" s="1761" t="s">
        <v>1292</v>
      </c>
      <c r="F19" s="1762" t="s">
        <v>1291</v>
      </c>
      <c r="G19" s="136">
        <f ca="1">ROUND(C19*$C$18+D19*$D$18,0)</f>
        <v>883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50023</v>
      </c>
      <c r="D20" s="138">
        <f ca="1">SUMIF(INDIRECT("'"&amp;D4&amp;"'"&amp;"!A:A"),结果表!B20,INDIRECT("'"&amp;D4&amp;"'"&amp;"!B:B"))</f>
        <v>23389</v>
      </c>
      <c r="E20" s="1764"/>
      <c r="F20" s="1026" t="s">
        <v>1295</v>
      </c>
      <c r="G20" s="139">
        <f ca="1">ROUND(C20*$C$18+D20*$D$18,0)</f>
        <v>34043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1.1387343085683246</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34043</v>
      </c>
      <c r="D32" s="1775" t="s">
        <v>3416</v>
      </c>
      <c r="E32" s="129"/>
      <c r="F32" s="129"/>
      <c r="G32" s="129"/>
      <c r="H32" s="129"/>
      <c r="I32" s="129"/>
    </row>
    <row r="33" spans="1:15" ht="15">
      <c r="A33" s="786" t="s">
        <v>1306</v>
      </c>
      <c r="B33" s="1776"/>
      <c r="C33" s="1777" t="s">
        <v>3417</v>
      </c>
      <c r="D33" s="1778" t="s">
        <v>3400</v>
      </c>
      <c r="E33" s="1779" t="s">
        <v>1307</v>
      </c>
      <c r="F33" s="1780" t="str">
        <f>IF(D32="楼面单价","取值（单价）","取值（总价）")</f>
        <v>取值（单价）</v>
      </c>
      <c r="G33" s="129"/>
      <c r="H33" s="129"/>
      <c r="I33" s="129"/>
    </row>
    <row r="34" spans="1:15" ht="15">
      <c r="A34" s="1781"/>
      <c r="B34" s="1782" t="s">
        <v>1308</v>
      </c>
      <c r="C34" s="148">
        <f ca="1">IF(C33="自定义",F34,C32-C35)</f>
        <v>30366</v>
      </c>
      <c r="D34" s="861">
        <f ca="1">IF(C33="自定义",ROUND(C34/C32,3),IF(C33="收益比率",SUMIF(INDIRECT("'"&amp;D33&amp;"'"&amp;"!b:b"),"土地收益比率",INDIRECT("'"&amp;D33&amp;"'"&amp;"!c:c")),SUMIF(INDIRECT("'"&amp;D33&amp;"'"&amp;"!b:b"),"土地成本比率",INDIRECT("'"&amp;D33&amp;"'"&amp;"!c:c"))))</f>
        <v>0.89200000000000002</v>
      </c>
      <c r="E34" s="1783" t="s">
        <v>1309</v>
      </c>
      <c r="F34" s="1330"/>
      <c r="G34" s="129"/>
      <c r="H34" s="129"/>
      <c r="I34" s="129"/>
    </row>
    <row r="35" spans="1:15" ht="15.75" thickBot="1">
      <c r="A35" s="1784"/>
      <c r="B35" s="1785" t="s">
        <v>1310</v>
      </c>
      <c r="C35" s="1170">
        <f ca="1">IF(C33="自定义",F35,ROUND(C32*D35,0))</f>
        <v>3677</v>
      </c>
      <c r="D35" s="1171">
        <f ca="1">IF(C33="自定义",ROUND(C35/C32,3),IF(C33="收益比率",SUMIF(INDIRECT("'"&amp;D33&amp;"'"&amp;"!b:b"),"建筑物收益比率",INDIRECT("'"&amp;D33&amp;"'"&amp;"!c:c")),SUMIF(INDIRECT("'"&amp;D33&amp;"'"&amp;"!b:b"),"建筑物成本比率",INDIRECT("'"&amp;D33&amp;"'"&amp;"!c:c"))))</f>
        <v>0.108</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28" t="s">
        <v>1326</v>
      </c>
      <c r="B45" s="3629"/>
      <c r="C45" s="3630"/>
      <c r="D45" s="155">
        <f ca="1">ROUND(H101*F45,0)</f>
        <v>883</v>
      </c>
      <c r="E45" s="156" t="s">
        <v>1327</v>
      </c>
      <c r="F45" s="157">
        <v>1</v>
      </c>
      <c r="G45" s="158" t="s">
        <v>1328</v>
      </c>
      <c r="H45" s="129"/>
      <c r="I45" s="129"/>
      <c r="J45" s="3548" t="s">
        <v>1329</v>
      </c>
      <c r="K45" s="3548"/>
      <c r="L45" s="3548"/>
      <c r="M45" s="3548"/>
      <c r="N45" s="3548"/>
      <c r="O45" s="3548"/>
    </row>
    <row r="46" spans="1:15" ht="14.25" hidden="1" customHeight="1">
      <c r="A46" s="3625" t="s">
        <v>1330</v>
      </c>
      <c r="B46" s="3626"/>
      <c r="C46" s="3626"/>
      <c r="D46" s="3626"/>
      <c r="E46" s="3626"/>
      <c r="F46" s="3626"/>
      <c r="G46" s="3627"/>
      <c r="H46" s="1806"/>
      <c r="I46" s="159"/>
      <c r="J46" s="2520">
        <v>1</v>
      </c>
      <c r="K46" s="3549" t="s">
        <v>1331</v>
      </c>
      <c r="L46" s="3549"/>
      <c r="M46" s="3550"/>
      <c r="N46" s="3550"/>
      <c r="O46" s="3550"/>
    </row>
    <row r="47" spans="1:15" ht="12" hidden="1" customHeight="1">
      <c r="A47" s="160" t="s">
        <v>1332</v>
      </c>
      <c r="B47" s="161"/>
      <c r="C47" s="162"/>
      <c r="D47" s="1087" t="s">
        <v>1333</v>
      </c>
      <c r="E47" s="302" t="s">
        <v>1334</v>
      </c>
      <c r="F47" s="163" t="s">
        <v>1335</v>
      </c>
      <c r="G47" s="2543" t="s">
        <v>1336</v>
      </c>
      <c r="H47" s="2544"/>
      <c r="I47" s="159"/>
      <c r="J47" s="2520">
        <v>2</v>
      </c>
      <c r="K47" s="3549" t="s">
        <v>1337</v>
      </c>
      <c r="L47" s="3549"/>
      <c r="M47" s="3551">
        <f>'数据-取费表'!B2</f>
        <v>44931</v>
      </c>
      <c r="N47" s="3551"/>
      <c r="O47" s="3551"/>
    </row>
    <row r="48" spans="1:15" ht="25.5" hidden="1">
      <c r="A48" s="3611" t="s">
        <v>1338</v>
      </c>
      <c r="B48" s="3612"/>
      <c r="C48" s="361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9" t="s">
        <v>1340</v>
      </c>
      <c r="L48" s="3549"/>
      <c r="M48" s="3552">
        <f ca="1">H101</f>
        <v>883</v>
      </c>
      <c r="N48" s="3552"/>
      <c r="O48" s="3552"/>
    </row>
    <row r="49" spans="1:35" ht="25.5" hidden="1" customHeight="1">
      <c r="A49" s="2333" t="s">
        <v>1341</v>
      </c>
      <c r="B49" s="3597" t="s">
        <v>1342</v>
      </c>
      <c r="C49" s="3597"/>
      <c r="D49" s="1590">
        <v>0</v>
      </c>
      <c r="E49" s="324" t="s">
        <v>1343</v>
      </c>
      <c r="F49" s="2423" t="s">
        <v>28</v>
      </c>
      <c r="G49" s="3580"/>
      <c r="H49" s="2310" t="s">
        <v>2132</v>
      </c>
      <c r="I49" s="2311"/>
      <c r="J49" s="2520">
        <v>4</v>
      </c>
      <c r="K49" s="3549" t="str">
        <f>IF(项目基本情况!E8="房地产抵押价值","房地产抵押价值","抵押担保权已注销时的房地产抵押价值")</f>
        <v>房地产抵押价值</v>
      </c>
      <c r="L49" s="3549"/>
      <c r="M49" s="3552">
        <f ca="1">IF(项目基本情况!E8="房地产抵押价值",H107,H109)</f>
        <v>883</v>
      </c>
      <c r="N49" s="3552"/>
      <c r="O49" s="3552"/>
    </row>
    <row r="50" spans="1:35" ht="25.5" hidden="1" customHeight="1">
      <c r="A50" s="2548"/>
      <c r="B50" s="3597" t="s">
        <v>1344</v>
      </c>
      <c r="C50" s="3597"/>
      <c r="D50" s="2549"/>
      <c r="E50" s="332"/>
      <c r="F50" s="2423"/>
      <c r="G50" s="3581"/>
      <c r="H50" s="2312" t="s">
        <v>2133</v>
      </c>
      <c r="I50" s="2311"/>
      <c r="J50" s="3548" t="s">
        <v>1345</v>
      </c>
      <c r="K50" s="3548"/>
      <c r="L50" s="3548"/>
      <c r="M50" s="3548"/>
      <c r="N50" s="3548"/>
      <c r="O50" s="3548"/>
    </row>
    <row r="51" spans="1:35" ht="20.45" hidden="1" customHeight="1">
      <c r="A51" s="2550"/>
      <c r="B51" s="3597" t="s">
        <v>1346</v>
      </c>
      <c r="C51" s="3597"/>
      <c r="D51" s="1087"/>
      <c r="E51" s="327"/>
      <c r="F51" s="2423"/>
      <c r="G51" s="3582"/>
      <c r="H51" s="2312" t="s">
        <v>2134</v>
      </c>
      <c r="I51" s="2311"/>
      <c r="J51" s="2521" t="s">
        <v>1347</v>
      </c>
      <c r="K51" s="3549" t="s">
        <v>1348</v>
      </c>
      <c r="L51" s="3549"/>
      <c r="M51" s="2521" t="s">
        <v>1349</v>
      </c>
      <c r="N51" s="2521" t="s">
        <v>1350</v>
      </c>
      <c r="O51" s="2521" t="s">
        <v>1351</v>
      </c>
    </row>
    <row r="52" spans="1:35" ht="24" hidden="1" customHeight="1">
      <c r="A52" s="2335" t="s">
        <v>1352</v>
      </c>
      <c r="B52" s="3597" t="s">
        <v>1353</v>
      </c>
      <c r="C52" s="3597"/>
      <c r="D52" s="1087">
        <f ca="1">ROUND(D45*'数据-取费表'!B41/(1+'数据-取费表'!C42),0)</f>
        <v>47</v>
      </c>
      <c r="E52" s="2334" t="s">
        <v>1354</v>
      </c>
      <c r="F52" s="2551">
        <f>'数据-取费表'!B41</f>
        <v>5.6000000000000001E-2</v>
      </c>
      <c r="G52" s="2552"/>
      <c r="H52" s="2541"/>
      <c r="I52" s="1807"/>
      <c r="J52" s="2520">
        <v>1</v>
      </c>
      <c r="K52" s="3574" t="s">
        <v>1355</v>
      </c>
      <c r="L52" s="3574"/>
      <c r="M52" s="2522" t="b">
        <f>D48</f>
        <v>0</v>
      </c>
      <c r="N52" s="2520" t="str">
        <f>E48</f>
        <v>销售额×税（费）率</v>
      </c>
      <c r="O52" s="2523">
        <f>F48</f>
        <v>5.6000000000000001E-2</v>
      </c>
    </row>
    <row r="53" spans="1:35" ht="12" hidden="1" customHeight="1">
      <c r="A53" s="2335" t="s">
        <v>1356</v>
      </c>
      <c r="B53" s="3598" t="s">
        <v>2285</v>
      </c>
      <c r="C53" s="3599"/>
      <c r="D53" s="1087">
        <f ca="1">ROUND(D45*'数据-取费表'!B41/(1+'数据-取费表'!C42),0)</f>
        <v>47</v>
      </c>
      <c r="E53" s="2334" t="s">
        <v>1354</v>
      </c>
      <c r="F53" s="2551">
        <f>'数据-取费表'!B41</f>
        <v>5.6000000000000001E-2</v>
      </c>
      <c r="G53" s="2552"/>
      <c r="H53" s="2541"/>
      <c r="I53" s="1807"/>
      <c r="J53" s="2520">
        <v>2</v>
      </c>
      <c r="K53" s="3574" t="s">
        <v>1357</v>
      </c>
      <c r="L53" s="3574"/>
      <c r="M53" s="2522">
        <f t="shared" ref="M53:O54" ca="1" si="0">D55</f>
        <v>0</v>
      </c>
      <c r="N53" s="2520" t="str">
        <f t="shared" si="0"/>
        <v>销售额×税（费）率</v>
      </c>
      <c r="O53" s="2523" t="str">
        <f t="shared" si="0"/>
        <v>免征</v>
      </c>
    </row>
    <row r="54" spans="1:35" ht="12" hidden="1" customHeight="1">
      <c r="A54" s="2335" t="s">
        <v>1358</v>
      </c>
      <c r="B54" s="3598" t="s">
        <v>2286</v>
      </c>
      <c r="C54" s="3599"/>
      <c r="D54" s="1087">
        <f ca="1">C68</f>
        <v>47</v>
      </c>
      <c r="E54" s="327" t="s">
        <v>1359</v>
      </c>
      <c r="F54" s="2551">
        <f>'数据-取费表'!B41</f>
        <v>5.6000000000000001E-2</v>
      </c>
      <c r="G54" s="2552"/>
      <c r="H54" s="2553"/>
      <c r="I54" s="1807"/>
      <c r="J54" s="2520">
        <v>3</v>
      </c>
      <c r="K54" s="3574" t="s">
        <v>1360</v>
      </c>
      <c r="L54" s="3574"/>
      <c r="M54" s="2522">
        <f t="shared" ca="1" si="0"/>
        <v>500</v>
      </c>
      <c r="N54" s="2520" t="str">
        <f t="shared" si="0"/>
        <v>增值额×税（费）率</v>
      </c>
      <c r="O54" s="2524" t="str">
        <f t="shared" si="0"/>
        <v>免征</v>
      </c>
    </row>
    <row r="55" spans="1:35" ht="24" hidden="1" customHeight="1">
      <c r="A55" s="3634" t="s">
        <v>1361</v>
      </c>
      <c r="B55" s="3612"/>
      <c r="C55" s="3612"/>
      <c r="D55" s="2324">
        <f ca="1">IF(H55="个人住宅",0,ROUND(D45*I55,0))</f>
        <v>0</v>
      </c>
      <c r="E55" s="2334" t="s">
        <v>1362</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8</v>
      </c>
      <c r="N55" s="2040" t="str">
        <f>E59</f>
        <v>差额计税</v>
      </c>
      <c r="O55" s="2526">
        <f>F59</f>
        <v>0.01</v>
      </c>
    </row>
    <row r="56" spans="1:35" ht="24.75" hidden="1">
      <c r="A56" s="3634" t="s">
        <v>1363</v>
      </c>
      <c r="B56" s="3612"/>
      <c r="C56" s="3612"/>
      <c r="D56" s="2324">
        <f ca="1">IF(H56="个人住宅",D57,D58)</f>
        <v>500</v>
      </c>
      <c r="E56" s="2334" t="s">
        <v>1364</v>
      </c>
      <c r="F56" s="2551" t="str">
        <f>IF(H56="正常",F58,"免征")</f>
        <v>免征</v>
      </c>
      <c r="G56" s="2554" t="s">
        <v>1365</v>
      </c>
      <c r="H56" s="2555"/>
      <c r="I56" s="1808"/>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hidden="1">
      <c r="A57" s="2335" t="s">
        <v>1341</v>
      </c>
      <c r="B57" s="3598" t="s">
        <v>1366</v>
      </c>
      <c r="C57" s="3599"/>
      <c r="D57" s="1590">
        <v>0</v>
      </c>
      <c r="E57" s="324" t="s">
        <v>1343</v>
      </c>
      <c r="F57" s="302"/>
      <c r="G57" s="2552"/>
      <c r="H57" s="2556"/>
      <c r="I57" s="1808"/>
      <c r="J57" s="3574">
        <f>IF(AND(J55="",J56=""),4,IF(项目基本情况!K6="上海银行",结果表!J56+1,结果表!J55+1))</f>
        <v>5</v>
      </c>
      <c r="K57" s="3574" t="s">
        <v>1367</v>
      </c>
      <c r="L57" s="2527" t="s">
        <v>1368</v>
      </c>
      <c r="M57" s="2528"/>
      <c r="N57" s="2529">
        <f ca="1">SUMIF(M52:M56,"&lt;9e307")</f>
        <v>508</v>
      </c>
      <c r="O57" s="2530"/>
      <c r="P57" s="2686">
        <f ca="1">N57/M49</f>
        <v>0.57531143827859565</v>
      </c>
    </row>
    <row r="58" spans="1:35" ht="24.75" hidden="1">
      <c r="A58" s="2335" t="s">
        <v>1352</v>
      </c>
      <c r="B58" s="3598" t="s">
        <v>1369</v>
      </c>
      <c r="C58" s="3597"/>
      <c r="D58" s="2324">
        <f ca="1">IF(H58="转让取得",C81,C97)</f>
        <v>500</v>
      </c>
      <c r="E58" s="2334" t="s">
        <v>1364</v>
      </c>
      <c r="F58" s="302" t="s">
        <v>28</v>
      </c>
      <c r="G58" s="2552"/>
      <c r="H58" s="2555"/>
      <c r="I58" s="1808"/>
      <c r="J58" s="3574"/>
      <c r="K58" s="3574"/>
      <c r="L58" s="2527" t="s">
        <v>1370</v>
      </c>
      <c r="M58" s="2531"/>
      <c r="N58" s="2532" t="str">
        <f ca="1">NUMBERSTRING(INT(N57*10000),2)&amp;"元整"</f>
        <v>伍佰零捌万元整</v>
      </c>
      <c r="O58" s="2533"/>
    </row>
    <row r="59" spans="1:35" ht="24.75" hidden="1" thickBot="1">
      <c r="A59" s="3578" t="s">
        <v>1371</v>
      </c>
      <c r="B59" s="3579"/>
      <c r="C59" s="3579"/>
      <c r="D59" s="2557">
        <f ca="1">IF(H59="非个人房产","——",IF(H59="个人住宅（满五唯一有凭证）",0,IF(H59="个人其他（无凭证）",ROUND(D45*F59,0),ROUND(C67*F59,0))))</f>
        <v>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2135</v>
      </c>
      <c r="J59" s="3576">
        <f>J57+1</f>
        <v>6</v>
      </c>
      <c r="K59" s="3574" t="s">
        <v>1372</v>
      </c>
      <c r="L59" s="2520" t="s">
        <v>1368</v>
      </c>
      <c r="M59" s="2534"/>
      <c r="N59" s="2535">
        <f ca="1">M49-N57</f>
        <v>375</v>
      </c>
      <c r="O59" s="2536"/>
    </row>
    <row r="60" spans="1:35" ht="12" hidden="1" customHeight="1">
      <c r="A60" s="1809"/>
      <c r="B60" s="1747"/>
      <c r="C60" s="1747"/>
      <c r="D60" s="1747"/>
      <c r="E60" s="1578"/>
      <c r="F60" s="1808"/>
      <c r="G60" s="1808"/>
      <c r="H60" s="1810"/>
      <c r="I60" s="129"/>
      <c r="J60" s="3577"/>
      <c r="K60" s="3574"/>
      <c r="L60" s="2527" t="s">
        <v>1370</v>
      </c>
      <c r="M60" s="2531"/>
      <c r="N60" s="2532" t="str">
        <f ca="1">NUMBERSTRING(INT(N59*10000),2)&amp;"元整"</f>
        <v>叁佰柒拾伍万元整</v>
      </c>
      <c r="O60" s="2533"/>
    </row>
    <row r="61" spans="1:35" ht="13.5" hidden="1" thickBot="1">
      <c r="A61" s="3633" t="s">
        <v>1373</v>
      </c>
      <c r="B61" s="3633"/>
      <c r="C61" s="3633"/>
      <c r="D61" s="3633"/>
      <c r="E61" s="3633"/>
      <c r="F61" s="1808"/>
      <c r="G61" s="1808"/>
      <c r="H61" s="1810"/>
      <c r="I61" s="129"/>
      <c r="J61" s="2520">
        <f>J59+1</f>
        <v>7</v>
      </c>
      <c r="K61" s="3574" t="s">
        <v>1374</v>
      </c>
      <c r="L61" s="3574"/>
      <c r="M61" s="2537"/>
      <c r="N61" s="2538">
        <f ca="1">ROUND(N59*10000/'数据-汇总表'!E3,0)</f>
        <v>14456</v>
      </c>
      <c r="O61" s="2539"/>
    </row>
    <row r="62" spans="1:35" ht="12.75" hidden="1">
      <c r="A62" s="3593" t="s">
        <v>1375</v>
      </c>
      <c r="B62" s="3594"/>
      <c r="C62" s="2021"/>
      <c r="D62" s="2021" t="s">
        <v>1376</v>
      </c>
      <c r="E62" s="166" t="s">
        <v>1377</v>
      </c>
      <c r="F62" s="1808"/>
      <c r="G62" s="1808"/>
      <c r="H62" s="1810"/>
      <c r="I62" s="129"/>
    </row>
    <row r="63" spans="1:35" ht="12.75" hidden="1">
      <c r="A63" s="173" t="s">
        <v>330</v>
      </c>
      <c r="B63" s="167" t="s">
        <v>1378</v>
      </c>
      <c r="C63" s="2561">
        <f ca="1">ROUND((C64+C65)/(1+'数据-取费表'!C42),0)</f>
        <v>841</v>
      </c>
      <c r="D63" s="167"/>
      <c r="E63" s="168"/>
      <c r="F63" s="1808"/>
      <c r="G63" s="1808"/>
      <c r="H63" s="1810"/>
      <c r="I63" s="129"/>
      <c r="J63" s="3557" t="s">
        <v>1379</v>
      </c>
      <c r="K63" s="1332" t="s">
        <v>1380</v>
      </c>
      <c r="L63" s="1332">
        <f ca="1">IF(M49&gt;10000,M49*0.5%,IF(AND(M49&gt;1000,M49&lt;=10000),M49*1%,IF(AND(M49&gt;100,M49&lt;=1000),M49*3%,IF(AND(M49&gt;10,M49&lt;=100),M49*5%,M49*8%))))</f>
        <v>26.49</v>
      </c>
      <c r="M63" s="302">
        <f ca="1">ROUND(L63,1)</f>
        <v>26.5</v>
      </c>
      <c r="N63" s="2540"/>
      <c r="Z63" s="1752"/>
      <c r="AI63" s="1753"/>
    </row>
    <row r="64" spans="1:35" ht="14.25" hidden="1" customHeight="1">
      <c r="A64" s="169" t="s">
        <v>325</v>
      </c>
      <c r="B64" s="170" t="s">
        <v>1381</v>
      </c>
      <c r="C64" s="2562">
        <f ca="1">D45</f>
        <v>883</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6.1809999999999992</v>
      </c>
      <c r="M64" s="302">
        <f t="shared" ref="M64:M65" ca="1" si="1">ROUND(L64,1)</f>
        <v>6.2</v>
      </c>
      <c r="N64" s="2541" t="s">
        <v>1383</v>
      </c>
      <c r="Z64" s="1752"/>
      <c r="AI64" s="1753"/>
    </row>
    <row r="65" spans="1:35" ht="14.25" hidden="1" customHeight="1">
      <c r="A65" s="169" t="s">
        <v>326</v>
      </c>
      <c r="B65" s="170" t="s">
        <v>1384</v>
      </c>
      <c r="C65" s="2563"/>
      <c r="D65" s="170"/>
      <c r="E65" s="172"/>
      <c r="F65" s="1808"/>
      <c r="G65" s="1808"/>
      <c r="H65" s="1810"/>
      <c r="I65" s="129"/>
      <c r="J65" s="3557"/>
      <c r="K65" s="1332" t="s">
        <v>1385</v>
      </c>
      <c r="L65" s="1332">
        <f ca="1">IF(M49&gt;1000,M49*0.1%,IF(AND(M49&gt;500,M49&lt;=1000),M49*0.5%,IF(AND(M49&gt;50,M49&lt;=500),M49*1%,IF(AND(M49&gt;1,M49&lt;=50),M49*1.5%))))</f>
        <v>4.415</v>
      </c>
      <c r="M65" s="302">
        <f t="shared" ca="1" si="1"/>
        <v>4.4000000000000004</v>
      </c>
      <c r="N65" s="2541" t="s">
        <v>1383</v>
      </c>
      <c r="Z65" s="1752"/>
      <c r="AI65" s="1753"/>
    </row>
    <row r="66" spans="1:35" ht="14.25" hidden="1" customHeight="1">
      <c r="A66" s="173" t="s">
        <v>327</v>
      </c>
      <c r="B66" s="174" t="s">
        <v>1386</v>
      </c>
      <c r="C66" s="2564"/>
      <c r="D66" s="174" t="s">
        <v>26</v>
      </c>
      <c r="E66" s="1338" t="s">
        <v>671</v>
      </c>
      <c r="F66" s="1808"/>
      <c r="G66" s="1808"/>
      <c r="H66" s="1810"/>
      <c r="I66" s="129"/>
      <c r="J66" s="3557"/>
      <c r="K66" s="1332" t="s">
        <v>1387</v>
      </c>
      <c r="L66" s="1332">
        <f ca="1">M49*0.5%</f>
        <v>4.415</v>
      </c>
      <c r="M66" s="302">
        <f ca="1">IF(L66&gt;0.5,0.5,ROUND(L66,0))</f>
        <v>0.5</v>
      </c>
      <c r="N66" s="2541" t="s">
        <v>1388</v>
      </c>
      <c r="Z66" s="1752"/>
      <c r="AI66" s="1753"/>
    </row>
    <row r="67" spans="1:35" ht="14.25" hidden="1" customHeight="1">
      <c r="A67" s="173" t="s">
        <v>328</v>
      </c>
      <c r="B67" s="174" t="s">
        <v>1389</v>
      </c>
      <c r="C67" s="2565">
        <f ca="1">C63-C66</f>
        <v>841</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2.4575</v>
      </c>
      <c r="M67" s="302">
        <f ca="1">ROUND(L67*0.9,1)</f>
        <v>2.2000000000000002</v>
      </c>
      <c r="N67" s="2540"/>
      <c r="Z67" s="1752"/>
      <c r="AI67" s="1753"/>
    </row>
    <row r="68" spans="1:35" ht="14.25" hidden="1" customHeight="1" thickBot="1">
      <c r="A68" s="176" t="s">
        <v>329</v>
      </c>
      <c r="B68" s="177" t="s">
        <v>1391</v>
      </c>
      <c r="C68" s="2566">
        <f ca="1">IF(C67&lt;=0,0,ROUND(C67*D68,0))</f>
        <v>47</v>
      </c>
      <c r="D68" s="2567">
        <f>'数据-取费表'!B41</f>
        <v>5.6000000000000001E-2</v>
      </c>
      <c r="E68" s="178"/>
      <c r="F68" s="1808"/>
      <c r="G68" s="1808"/>
      <c r="H68" s="1810"/>
      <c r="I68" s="129"/>
      <c r="J68" s="3557"/>
      <c r="K68" s="1332" t="s">
        <v>1392</v>
      </c>
      <c r="L68" s="1332">
        <f ca="1">IF(M49&gt;10000,M49*0.5%,IF(AND(M49&gt;5000,M49&lt;=10000),M49*1%,IF(AND(M49&gt;1000,M49&lt;=5000),M49*2%,IF(AND(M49&gt;200,M49&lt;=1000),M49*3%,M49*5%))))</f>
        <v>26.49</v>
      </c>
      <c r="M68" s="302">
        <f ca="1">ROUND(L68,1)</f>
        <v>26.5</v>
      </c>
      <c r="N68" s="2540"/>
      <c r="Z68" s="1752"/>
      <c r="AI68" s="1753"/>
    </row>
    <row r="69" spans="1:35" s="1772" customFormat="1" ht="16.5" hidden="1" customHeight="1">
      <c r="A69" s="1811"/>
      <c r="B69" s="1812"/>
      <c r="C69" s="1813"/>
      <c r="D69" s="1814"/>
      <c r="E69" s="1815"/>
      <c r="F69" s="1578"/>
      <c r="G69" s="1578"/>
      <c r="H69" s="1577"/>
      <c r="I69" s="1747"/>
      <c r="J69" s="3557"/>
      <c r="K69" s="1332" t="s">
        <v>1393</v>
      </c>
      <c r="L69" s="1332"/>
      <c r="M69" s="302">
        <f ca="1">ROUND(SUM(M63:M68),0)</f>
        <v>66</v>
      </c>
      <c r="N69" s="2542">
        <f ca="1">M69/M49</f>
        <v>7.4745186862967161E-2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1" t="s">
        <v>1394</v>
      </c>
      <c r="B70" s="3602"/>
      <c r="C70" s="3602"/>
      <c r="D70" s="3602"/>
      <c r="E70" s="3602"/>
      <c r="F70" s="3602"/>
      <c r="G70" s="3602"/>
      <c r="H70" s="3602"/>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3" t="s">
        <v>1375</v>
      </c>
      <c r="B71" s="3594"/>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841</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5</v>
      </c>
      <c r="D78" s="2574">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836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500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841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559" t="s">
        <v>2127</v>
      </c>
      <c r="H90" s="3560"/>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90" t="s">
        <v>1422</v>
      </c>
      <c r="F92" s="3591"/>
      <c r="G92" s="3591"/>
      <c r="H92" s="3592"/>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5</v>
      </c>
      <c r="D93" s="2574">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836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500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2" t="str">
        <f>C4</f>
        <v>成本法 (元)</v>
      </c>
      <c r="D101" s="2583" t="str">
        <f>D4</f>
        <v>收益法 (元)</v>
      </c>
      <c r="E101" s="3553" t="s">
        <v>1431</v>
      </c>
      <c r="F101" s="3554"/>
      <c r="G101" s="1827" t="s">
        <v>1432</v>
      </c>
      <c r="H101" s="2592">
        <f ca="1">H118</f>
        <v>883</v>
      </c>
      <c r="I101" s="129"/>
    </row>
    <row r="102" spans="1:35" ht="18.75" customHeight="1">
      <c r="A102" s="3585" t="s">
        <v>1433</v>
      </c>
      <c r="B102" s="2581" t="s">
        <v>1432</v>
      </c>
      <c r="C102" s="2582">
        <f ca="1">IF(D32="楼面单价",ROUND(C19,0),C19)</f>
        <v>1298</v>
      </c>
      <c r="D102" s="2583">
        <f ca="1">IF(D32="楼面单价",ROUND(D19,0),D19)</f>
        <v>607</v>
      </c>
      <c r="E102" s="3553"/>
      <c r="F102" s="3554"/>
      <c r="G102" s="1827" t="s">
        <v>1434</v>
      </c>
      <c r="H102" s="2552">
        <f ca="1">I118</f>
        <v>34043</v>
      </c>
      <c r="I102" s="129"/>
    </row>
    <row r="103" spans="1:35" ht="42.75" customHeight="1">
      <c r="A103" s="3585"/>
      <c r="B103" s="2581" t="s">
        <v>1434</v>
      </c>
      <c r="C103" s="2584">
        <f ca="1">C20</f>
        <v>50023</v>
      </c>
      <c r="D103" s="2585">
        <f ca="1">D20</f>
        <v>23389</v>
      </c>
      <c r="E103" s="3546" t="s">
        <v>1435</v>
      </c>
      <c r="F103" s="3547"/>
      <c r="G103" s="1828" t="s">
        <v>1436</v>
      </c>
      <c r="H103" s="2592">
        <f>IF(D36="正常操作",H104+H105+H106,H105+H106)</f>
        <v>0</v>
      </c>
      <c r="I103" s="129"/>
    </row>
    <row r="104" spans="1:35" ht="18.75" customHeight="1">
      <c r="A104" s="3585" t="s">
        <v>1437</v>
      </c>
      <c r="B104" s="2586" t="s">
        <v>1432</v>
      </c>
      <c r="C104" s="2587">
        <f ca="1">H118</f>
        <v>883</v>
      </c>
      <c r="D104" s="2588"/>
      <c r="E104" s="1674" t="s">
        <v>1438</v>
      </c>
      <c r="F104" s="1666"/>
      <c r="G104" s="1828" t="s">
        <v>1436</v>
      </c>
      <c r="H104" s="2593">
        <f>IF(D36="同一抵押权人同一抵押物续贷",C36&amp;"（续贷，未扣减，详见特别提示）",C36)</f>
        <v>0</v>
      </c>
      <c r="I104" s="129"/>
    </row>
    <row r="105" spans="1:35" ht="18.75" customHeight="1" thickBot="1">
      <c r="A105" s="3595"/>
      <c r="B105" s="2589" t="s">
        <v>1434</v>
      </c>
      <c r="C105" s="2590">
        <f ca="1">I118</f>
        <v>34043</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6" t="str">
        <f>IF(项目基本情况!E8="已注销","——","3.房地产抵押价值")</f>
        <v>3.房地产抵押价值</v>
      </c>
      <c r="F107" s="3554"/>
      <c r="G107" s="1827" t="s">
        <v>1432</v>
      </c>
      <c r="H107" s="2592">
        <f ca="1">IF(E107="——","——",H101-H103)</f>
        <v>883</v>
      </c>
      <c r="I107" s="129"/>
    </row>
    <row r="108" spans="1:35" ht="18.75" customHeight="1">
      <c r="A108" s="129"/>
      <c r="B108" s="129"/>
      <c r="C108" s="129"/>
      <c r="D108" s="129"/>
      <c r="E108" s="3586"/>
      <c r="F108" s="3554"/>
      <c r="G108" s="1827" t="s">
        <v>1434</v>
      </c>
      <c r="H108" s="2552">
        <f ca="1">IF(H107=H101,H102,ROUND(H107*10000/'数据-汇总表'!E3,0))</f>
        <v>34043</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5" t="str">
        <f>IF(E109="——","——",H101-H105-H106)</f>
        <v>——</v>
      </c>
      <c r="I109" s="129"/>
    </row>
    <row r="110" spans="1:35" ht="18.75" customHeight="1">
      <c r="A110" s="129"/>
      <c r="B110" s="129"/>
      <c r="C110" s="129"/>
      <c r="D110" s="129"/>
      <c r="E110" s="3586"/>
      <c r="F110" s="3554"/>
      <c r="G110" s="1827" t="s">
        <v>1434</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2" t="str">
        <f>IF(E111="——","——",N59)</f>
        <v>——</v>
      </c>
      <c r="I111" s="129"/>
    </row>
    <row r="112" spans="1:35" ht="18.75" customHeight="1" thickBot="1">
      <c r="A112" s="129"/>
      <c r="B112" s="129"/>
      <c r="C112" s="129"/>
      <c r="D112" s="129"/>
      <c r="E112" s="3588"/>
      <c r="F112" s="3589"/>
      <c r="G112" s="1830" t="s">
        <v>1434</v>
      </c>
      <c r="H112" s="2596"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597" t="str">
        <f>项目基本情况!S2</f>
        <v>北京市朝阳区日坛北路17号院1号楼13层1301、1302号房地产</v>
      </c>
      <c r="B118" s="2329">
        <f>M18</f>
        <v>259.41000000000003</v>
      </c>
      <c r="C118" s="2329">
        <f>M19</f>
        <v>0</v>
      </c>
      <c r="D118" s="2329">
        <f ca="1">ROUND(IF(D32="总价",C34,E118*B118/10000),0)</f>
        <v>788</v>
      </c>
      <c r="E118" s="2329">
        <f ca="1">ROUND(IF(C33="自定义",IF(D32="楼面单价",C34,D118*10000/B118),I118-G118),0)</f>
        <v>30366</v>
      </c>
      <c r="F118" s="2329">
        <f ca="1">ROUND(IF(D32="总价",C35,G118*B118/10000),0)</f>
        <v>95</v>
      </c>
      <c r="G118" s="2329">
        <f ca="1">ROUND(IF(D32="楼面单价",C35,F118*10000/B118),0)</f>
        <v>3677</v>
      </c>
      <c r="H118" s="2329">
        <f ca="1">ROUND(IF(D32="总价",C32,I118*B118/10000),0)</f>
        <v>883</v>
      </c>
      <c r="I118" s="2329">
        <f ca="1">ROUND(IF(D32="楼面单价",C32,H118*10000/B118),0)</f>
        <v>34043</v>
      </c>
    </row>
    <row r="119" spans="1:27" ht="18.75" customHeight="1">
      <c r="A119" s="3561" t="s">
        <v>1452</v>
      </c>
      <c r="B119" s="3561"/>
      <c r="C119" s="3561"/>
      <c r="D119" s="3567" t="str">
        <f ca="1">NUMBERSTRING(INT(D118*10000),2)&amp;"元整"</f>
        <v>柒佰捌拾捌万元整</v>
      </c>
      <c r="E119" s="3568"/>
      <c r="F119" s="3567" t="str">
        <f ca="1">NUMBERSTRING(INT(F118*10000),2)&amp;"元整"</f>
        <v>玖拾伍万元整</v>
      </c>
      <c r="G119" s="3568"/>
      <c r="H119" s="3567" t="str">
        <f ca="1">NUMBERSTRING(INT(H118*10000),2)&amp;"元整"</f>
        <v>捌佰捌拾叁万元整</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f ca="1">H107</f>
        <v>883</v>
      </c>
      <c r="E122" s="3563"/>
      <c r="F122" s="3563"/>
      <c r="G122" s="3563"/>
      <c r="H122" s="3563"/>
      <c r="I122" s="3564"/>
      <c r="AA122" s="725"/>
    </row>
    <row r="123" spans="1:27" ht="18.75" customHeight="1">
      <c r="A123" s="3561" t="s">
        <v>1452</v>
      </c>
      <c r="B123" s="3561"/>
      <c r="C123" s="3561"/>
      <c r="D123" s="3567" t="str">
        <f ca="1">NUMBERSTRING(INT(D122*10000),2)&amp;"元整"</f>
        <v>捌佰捌拾叁万元整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T57" sqref="T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76881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2963687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51882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51882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259.41000000000003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259.41000000000003</v>
      </c>
      <c r="E19" s="211">
        <f>'数据-取费表'!B31</f>
        <v>200</v>
      </c>
      <c r="F19" s="231"/>
      <c r="G19" s="1856"/>
    </row>
    <row r="20" spans="1:7" s="214" customFormat="1" ht="13.5" customHeight="1">
      <c r="A20" s="255" t="s">
        <v>1493</v>
      </c>
      <c r="B20" s="210" t="s">
        <v>1494</v>
      </c>
      <c r="C20" s="232">
        <f ca="1">ROUND((C5+C19)*F20,0)</f>
        <v>1557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5633</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5551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81</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10689</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10689</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76742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259.41000000000003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1.6000000000000001E-3</v>
      </c>
      <c r="D44" s="238"/>
      <c r="E44" s="238"/>
      <c r="F44" s="239"/>
      <c r="G44" s="3642"/>
    </row>
    <row r="45" spans="1:7" s="214" customFormat="1" ht="13.5" customHeight="1">
      <c r="A45" s="255" t="s">
        <v>1547</v>
      </c>
      <c r="B45" s="244" t="s">
        <v>1513</v>
      </c>
      <c r="C45" s="245">
        <f ca="1">C46</f>
        <v>24</v>
      </c>
      <c r="D45" s="235">
        <f ca="1">C47</f>
        <v>6.0000000000000001E-3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139</v>
      </c>
      <c r="D51" s="232"/>
      <c r="E51" s="232"/>
      <c r="F51" s="264"/>
      <c r="G51" s="234" t="s">
        <v>1560</v>
      </c>
    </row>
    <row r="52" spans="1:7" s="208" customFormat="1" ht="16.5" thickBot="1">
      <c r="A52" s="265" t="s">
        <v>1561</v>
      </c>
      <c r="B52" s="266"/>
      <c r="C52" s="267">
        <f ca="1">C31+C51</f>
        <v>76881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北京市朝阳区日坛北路17号院1号楼13层1301、1302号房地产市场价值预评估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10" zoomScale="90" zoomScaleNormal="70" zoomScaleSheetLayoutView="90" workbookViewId="0">
      <selection activeCell="C34" sqref="C3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1297.6394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50023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7830418</v>
      </c>
      <c r="D5" s="211" t="s">
        <v>1469</v>
      </c>
      <c r="E5" s="212" t="s">
        <v>1470</v>
      </c>
      <c r="F5" s="212" t="s">
        <v>1471</v>
      </c>
      <c r="G5" s="213"/>
    </row>
    <row r="6" spans="1:8" s="214" customFormat="1" ht="13.5" customHeight="1">
      <c r="A6" s="778" t="s">
        <v>1472</v>
      </c>
      <c r="B6" s="215" t="s">
        <v>1473</v>
      </c>
      <c r="C6" s="216">
        <f>ROUND(基准地价修正!C33*基准地价修正!D33,0)</f>
        <v>7548312</v>
      </c>
      <c r="D6" s="217"/>
      <c r="E6" s="218"/>
      <c r="F6" s="218"/>
      <c r="G6" s="219"/>
    </row>
    <row r="7" spans="1:8" s="214" customFormat="1" ht="13.5" customHeight="1">
      <c r="A7" s="778" t="s">
        <v>1474</v>
      </c>
      <c r="B7" s="215" t="s">
        <v>1475</v>
      </c>
      <c r="C7" s="220">
        <f>ROUND(C6*F7,0)</f>
        <v>230224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51882</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51882</v>
      </c>
      <c r="D10" s="845">
        <f ca="1">IF(B1="",'数据-汇总表'!E6,IF(INDIRECT("'数据-取费表'!c"&amp;$G$1)="住宅",INDIRECT("'数据-取费表'!s"&amp;$G$1),INDIRECT("'数据-取费表'!k"&amp;$G$1)+INDIRECT("'数据-取费表'!s"&amp;$G$1)))</f>
        <v>259.41000000000003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259.41000000000003</v>
      </c>
      <c r="E19" s="211">
        <f>'数据-取费表'!B31</f>
        <v>200</v>
      </c>
      <c r="F19" s="231"/>
      <c r="G19" s="1856" t="s">
        <v>3399</v>
      </c>
    </row>
    <row r="20" spans="1:7" s="214" customFormat="1" ht="13.5" customHeight="1">
      <c r="A20" s="255" t="s">
        <v>1574</v>
      </c>
      <c r="B20" s="210" t="s">
        <v>1575</v>
      </c>
      <c r="C20" s="232">
        <f ca="1">ROUND((C5+C19)*F20,0)</f>
        <v>234913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850115</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837866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12249</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1613066</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1613066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11581247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1156969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1037640</v>
      </c>
      <c r="D34" s="217"/>
      <c r="E34" s="220"/>
      <c r="F34" s="257"/>
      <c r="G34" s="219"/>
    </row>
    <row r="35" spans="1:7" ht="13.5" customHeight="1">
      <c r="A35" s="780" t="s">
        <v>351</v>
      </c>
      <c r="B35" s="215" t="s">
        <v>1527</v>
      </c>
      <c r="C35" s="220">
        <f ca="1">ROUND(C34*F35,0)</f>
        <v>51882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51882</v>
      </c>
      <c r="D37" s="217">
        <f ca="1">D19</f>
        <v>259.41000000000003</v>
      </c>
      <c r="E37" s="249">
        <f>'数据-取费表'!B35</f>
        <v>200</v>
      </c>
      <c r="F37" s="259"/>
      <c r="G37" s="261"/>
    </row>
    <row r="38" spans="1:7" ht="13.5" customHeight="1">
      <c r="A38" s="780" t="s">
        <v>354</v>
      </c>
      <c r="B38" s="215" t="s">
        <v>1533</v>
      </c>
      <c r="C38" s="220">
        <f ca="1">ROUND(C34*F38,0)</f>
        <v>15565</v>
      </c>
      <c r="D38" s="220"/>
      <c r="E38" s="220"/>
      <c r="F38" s="259">
        <f>'数据-取费表'!B36</f>
        <v>1.4999999999999999E-2</v>
      </c>
      <c r="G38" s="219" t="s">
        <v>1528</v>
      </c>
    </row>
    <row r="39" spans="1:7" s="214" customFormat="1" ht="13.5" customHeight="1">
      <c r="A39" s="255" t="s">
        <v>1534</v>
      </c>
      <c r="B39" s="210" t="s">
        <v>1535</v>
      </c>
      <c r="C39" s="232">
        <f ca="1">ROUND(C33*F20,0)</f>
        <v>34709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62136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60326</v>
      </c>
      <c r="D42" s="238"/>
      <c r="E42" s="238"/>
      <c r="F42" s="239"/>
      <c r="G42" s="3640" t="s">
        <v>1591</v>
      </c>
    </row>
    <row r="43" spans="1:7" ht="13.5" customHeight="1">
      <c r="A43" s="780" t="s">
        <v>347</v>
      </c>
      <c r="B43" s="215" t="s">
        <v>1545</v>
      </c>
      <c r="C43" s="238">
        <f ca="1">ROUND(IF('数据-取费表'!B22&lt;=1,C39*F22*'数据-取费表'!B20/2,C39*(POWER((1+F22),'数据-取费表'!B20/2)-1)),0)</f>
        <v>1810</v>
      </c>
      <c r="D43" s="238"/>
      <c r="E43" s="238"/>
      <c r="F43" s="239"/>
      <c r="G43" s="3641"/>
    </row>
    <row r="44" spans="1:7" ht="13.5" customHeight="1">
      <c r="A44" s="780" t="s">
        <v>348</v>
      </c>
      <c r="B44" s="215" t="s">
        <v>1546</v>
      </c>
      <c r="C44" s="238">
        <f ca="1">ROUND(IF('数据-取费表'!B22&lt;=1,C40*F22*'数据-取费表'!B20/2,C40*(POWER((1+F22),'数据-取费表'!B20/2)-1)),4)</f>
        <v>1.6000000000000001E-3</v>
      </c>
      <c r="D44" s="238"/>
      <c r="E44" s="238"/>
      <c r="F44" s="239"/>
      <c r="G44" s="3642"/>
    </row>
    <row r="45" spans="1:7" s="214" customFormat="1" ht="13.5" customHeight="1">
      <c r="A45" s="255" t="s">
        <v>1547</v>
      </c>
      <c r="B45" s="244" t="s">
        <v>1513</v>
      </c>
      <c r="C45" s="245">
        <f ca="1">C46</f>
        <v>238336</v>
      </c>
      <c r="D45" s="235">
        <f ca="1">C47</f>
        <v>6.0000000000000001E-3</v>
      </c>
      <c r="E45" s="236" t="s">
        <v>1539</v>
      </c>
      <c r="F45" s="246">
        <f ca="1">F27</f>
        <v>0.2</v>
      </c>
      <c r="G45" s="247" t="s">
        <v>1548</v>
      </c>
    </row>
    <row r="46" spans="1:7" s="214" customFormat="1" ht="13.5" customHeight="1">
      <c r="A46" s="780" t="s">
        <v>346</v>
      </c>
      <c r="B46" s="248" t="s">
        <v>1549</v>
      </c>
      <c r="C46" s="249">
        <f ca="1">ROUND((C33+C39)*F27,0)</f>
        <v>238336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1641349</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1395147</v>
      </c>
      <c r="D51" s="232"/>
      <c r="E51" s="232"/>
      <c r="F51" s="264"/>
      <c r="G51" s="234" t="s">
        <v>1560</v>
      </c>
    </row>
    <row r="52" spans="1:7" s="208" customFormat="1" ht="16.5" thickBot="1">
      <c r="A52" s="265" t="s">
        <v>1561</v>
      </c>
      <c r="B52" s="266"/>
      <c r="C52" s="267">
        <f ca="1">C31+C51</f>
        <v>12976394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62313</v>
      </c>
      <c r="C2" s="276" t="s">
        <v>1595</v>
      </c>
      <c r="D2" s="276"/>
      <c r="E2" s="2802"/>
      <c r="F2" s="2802"/>
      <c r="G2" s="2802"/>
      <c r="H2" s="2802"/>
      <c r="I2" s="2802"/>
      <c r="J2" s="2802"/>
      <c r="K2" s="2802"/>
    </row>
    <row r="3" spans="1:33" ht="18" customHeight="1" thickBot="1">
      <c r="A3" s="203" t="s">
        <v>1464</v>
      </c>
      <c r="B3" s="204">
        <f ca="1">ROUND(B2*10000/IF(C1="",'数据-汇总表'!E3,INDIRECT("'数据-取费表'!K"&amp;$K$1)),0)</f>
        <v>2402105</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259.41000000000003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259.41000000000003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-51877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259.41000000000003</v>
      </c>
      <c r="E20" s="21">
        <f>'数据-取费表'!B28</f>
        <v>200</v>
      </c>
      <c r="F20" s="804"/>
      <c r="G20" s="12"/>
      <c r="H20" s="809"/>
      <c r="I20" s="809"/>
      <c r="J20" s="809"/>
      <c r="K20" s="810"/>
    </row>
    <row r="21" spans="1:33" s="803" customFormat="1" ht="13.5" customHeight="1">
      <c r="A21" s="790" t="s">
        <v>357</v>
      </c>
      <c r="B21" s="813" t="s">
        <v>1628</v>
      </c>
      <c r="C21" s="814">
        <f ca="1">C16+C17+C18</f>
        <v>-51877</v>
      </c>
      <c r="D21" s="815"/>
      <c r="E21" s="281"/>
      <c r="F21" s="281"/>
      <c r="G21" s="131" t="s">
        <v>1629</v>
      </c>
      <c r="H21" s="807"/>
      <c r="I21" s="807"/>
      <c r="J21" s="807"/>
      <c r="K21" s="808"/>
    </row>
    <row r="22" spans="1:33" s="803" customFormat="1" ht="13.5" customHeight="1">
      <c r="A22" s="790" t="s">
        <v>1601</v>
      </c>
      <c r="B22" s="813" t="s">
        <v>1630</v>
      </c>
      <c r="C22" s="814">
        <f ca="1">ROUND(C21*F22,0)</f>
        <v>-1556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-10687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-10687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62313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90" zoomScaleNormal="70" zoomScaleSheetLayoutView="90" workbookViewId="0">
      <selection activeCell="T57" sqref="T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2107</v>
      </c>
      <c r="E6" s="302" t="s">
        <v>696</v>
      </c>
      <c r="F6" s="303">
        <f ca="1">INDIRECT("'数据-取费表'!u"&amp;$G$1)</f>
        <v>0</v>
      </c>
      <c r="G6" s="1384"/>
      <c r="H6" s="1069" t="s">
        <v>398</v>
      </c>
      <c r="I6" s="3645" t="s">
        <v>694</v>
      </c>
      <c r="J6" s="301">
        <f ca="1">ROUND(M6*M8*M7*(1-M9)/10000,0)</f>
        <v>0</v>
      </c>
      <c r="K6" s="155"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259.41000000000003</v>
      </c>
      <c r="E1" s="1995"/>
      <c r="F1" s="1995"/>
      <c r="G1" s="1995"/>
      <c r="H1" s="1995"/>
      <c r="I1" s="1995"/>
      <c r="J1" s="1995"/>
      <c r="K1" s="1119"/>
      <c r="L1" s="1996" t="s">
        <v>1928</v>
      </c>
      <c r="M1" s="863">
        <f>SUMPRODUCT((区片价!B5:B9=I2)*(区片价!C3:G3=E2)*(区片价!C5:G9))</f>
        <v>32510</v>
      </c>
      <c r="N1" s="866">
        <f>SUMPRODUCT((因素修正幅度!B5:B9=I2)*(因素修正幅度!C3:G3=E2)*(因素修正幅度!C5:G9))</f>
        <v>8.2000000000000003E-2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755</v>
      </c>
      <c r="C2" s="1999" t="s">
        <v>1935</v>
      </c>
      <c r="D2" s="2000" t="s">
        <v>1936</v>
      </c>
      <c r="E2" s="3420"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44247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29105</v>
      </c>
      <c r="C3" s="1999" t="s">
        <v>1941</v>
      </c>
      <c r="D3" s="2000" t="s">
        <v>1942</v>
      </c>
      <c r="E3" s="3418" t="s">
        <v>3386</v>
      </c>
      <c r="F3" s="2004" t="s">
        <v>3387</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35127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55"/>
      <c r="B4" s="3656"/>
      <c r="C4" s="3656"/>
      <c r="D4" s="3657"/>
      <c r="E4" s="3657"/>
      <c r="F4" s="3657"/>
      <c r="G4" s="3657"/>
      <c r="H4" s="3657"/>
      <c r="I4" s="3657"/>
      <c r="J4" s="36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30352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32479</v>
      </c>
      <c r="D5" s="1339">
        <f>ROUND(C6*C17+C20,0)</f>
        <v>32479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27466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26177</v>
      </c>
      <c r="U6" s="1213"/>
      <c r="V6" s="3359">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6"/>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52" t="s">
        <v>1960</v>
      </c>
      <c r="X8" s="36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5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5"/>
      <c r="AE11" s="2785"/>
      <c r="AF11" s="2785"/>
      <c r="AG11" s="2785"/>
      <c r="AH11" s="2785"/>
      <c r="AI11" s="2785"/>
      <c r="AJ11" s="2786"/>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5"/>
      <c r="AE12" s="2785"/>
      <c r="AF12" s="2785"/>
      <c r="AG12" s="2785"/>
      <c r="AH12" s="2785"/>
      <c r="AI12" s="2785"/>
      <c r="AJ12" s="2786"/>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5"/>
      <c r="AE13" s="2785"/>
      <c r="AF13" s="2785"/>
      <c r="AG13" s="2785"/>
      <c r="AH13" s="2785"/>
      <c r="AI13" s="2785"/>
      <c r="AJ13" s="2786"/>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5"/>
      <c r="AE14" s="2785"/>
      <c r="AF14" s="2785"/>
      <c r="AG14" s="2785"/>
      <c r="AH14" s="2785"/>
      <c r="AI14" s="2785"/>
      <c r="AJ14" s="2786"/>
    </row>
    <row r="15" spans="1:36" ht="15">
      <c r="A15" s="3295"/>
      <c r="B15" s="2042"/>
      <c r="C15" s="2043" t="s">
        <v>3389</v>
      </c>
      <c r="D15" s="2044" t="s">
        <v>3390</v>
      </c>
      <c r="E15" s="2045" t="s">
        <v>3409</v>
      </c>
      <c r="F15" s="3310" t="s">
        <v>3247</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5"/>
      <c r="AE15" s="2785"/>
      <c r="AF15" s="2785"/>
      <c r="AG15" s="2785"/>
      <c r="AH15" s="2785"/>
      <c r="AI15" s="2785"/>
      <c r="AJ15" s="2786"/>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5"/>
      <c r="AE16" s="2785"/>
      <c r="AF16" s="2785"/>
      <c r="AG16" s="2785"/>
      <c r="AH16" s="2785"/>
      <c r="AI16" s="2785"/>
      <c r="AJ16" s="2786"/>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3251</v>
      </c>
      <c r="E18" s="3326"/>
      <c r="F18" s="3321" t="s">
        <v>3254</v>
      </c>
      <c r="G18" s="3325">
        <f>ROUND(1-(1/(POWER(1+G24,E18))),4)</f>
        <v>0</v>
      </c>
      <c r="H18" s="3321" t="s">
        <v>3256</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59" t="s">
        <v>3257</v>
      </c>
      <c r="B20" s="167" t="s">
        <v>1994</v>
      </c>
      <c r="C20" s="3322">
        <f>ROUND(IF(F21="与级别开发程度一致",0,(G21-E21)/C21),0)</f>
        <v>-31</v>
      </c>
      <c r="D20" s="3338" t="s">
        <v>1998</v>
      </c>
      <c r="E20" s="3339"/>
      <c r="F20" s="3665" t="s">
        <v>1995</v>
      </c>
      <c r="G20" s="3666"/>
      <c r="H20" s="3323" t="s">
        <v>3391</v>
      </c>
      <c r="I20" s="3323" t="s">
        <v>3392</v>
      </c>
      <c r="J20" s="3324" t="s">
        <v>3393</v>
      </c>
      <c r="K20" s="2047" t="s">
        <v>3394</v>
      </c>
      <c r="L20" s="2047" t="s">
        <v>3395</v>
      </c>
      <c r="M20" s="2047" t="s">
        <v>3396</v>
      </c>
      <c r="N20" s="2047" t="s">
        <v>43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6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44931</v>
      </c>
      <c r="H23" s="3340" t="s">
        <v>3259</v>
      </c>
      <c r="I23" s="3341" t="str">
        <f>IF(H23="季度增幅（自定义）",SUMIF(N25:N28,E2,O25:O28),"")</f>
        <v/>
      </c>
      <c r="J23" s="3342" t="s">
        <v>3258</v>
      </c>
      <c r="K23" s="1125"/>
      <c r="L23" s="2055" t="s">
        <v>2004</v>
      </c>
      <c r="M23" s="1328">
        <f>ROUND(SUMIF(地价!B2:G2,E2,地价!B16:G16),0)</f>
        <v>350</v>
      </c>
      <c r="N23" s="2056" t="s">
        <v>2005</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0.84470000000000001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28.85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3338</v>
      </c>
      <c r="C25" s="771">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1.0466</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755</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7">
        <f>ROUND($E$24*(1+M31),3)</f>
        <v>5.3999999999999999E-2</v>
      </c>
      <c r="N32" s="2567">
        <f>ROUND($E$24*(1+N31),3)</f>
        <v>5.1999999999999998E-2</v>
      </c>
      <c r="O32" s="2567">
        <f>ROUND($E$24*(1+O31),3)</f>
        <v>0.05</v>
      </c>
      <c r="P32" s="2567">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29098</v>
      </c>
      <c r="D33" s="2098">
        <f>'数据-汇总表'!E3</f>
        <v>259.41000000000003</v>
      </c>
      <c r="E33" s="773">
        <f>ROUND(C33*D33/10000,0)</f>
        <v>755</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7275</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3"/>
      <c r="B37" s="2113" t="s">
        <v>2036</v>
      </c>
      <c r="C37" s="175">
        <f>ROUND(D5*C22*C23*C24*C28*F37,0)</f>
        <v>20369</v>
      </c>
      <c r="D37" s="2098"/>
      <c r="E37" s="171">
        <f>ROUND(C37*D37/10000,0)</f>
        <v>0</v>
      </c>
      <c r="F37" s="171">
        <f>SUMIF(修正!A57:A68,G2,修正!B57:B68)</f>
        <v>0.7</v>
      </c>
      <c r="G37" s="171">
        <f>ROUND(IF(E2="工业",C37*$M$42,C37*$M$41),0)</f>
        <v>5092</v>
      </c>
      <c r="H37" s="171">
        <f>D37</f>
        <v>0</v>
      </c>
      <c r="I37" s="171">
        <f>ROUND(G37*H37/10000,0)</f>
        <v>0</v>
      </c>
      <c r="J37" s="3008"/>
      <c r="K37" s="3357" t="s">
        <v>3269</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4"/>
      <c r="B38" s="2041" t="s">
        <v>2037</v>
      </c>
      <c r="C38" s="175">
        <f>ROUND(D5*C22*C23*C24*C28*F38,0)</f>
        <v>11639</v>
      </c>
      <c r="D38" s="2098"/>
      <c r="E38" s="171">
        <f t="shared" ref="E38:E42" si="4">ROUND(C38*D38/10000,0)</f>
        <v>0</v>
      </c>
      <c r="F38" s="171">
        <f>SUMIF(修正!A57:A68,G2,修正!C57:C68)</f>
        <v>0.4</v>
      </c>
      <c r="G38" s="171">
        <f>ROUND(IF(E2="工业",C38*$M$42,C38*$M$41),0)</f>
        <v>2910</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64"/>
      <c r="B39" s="2041" t="s">
        <v>3262</v>
      </c>
      <c r="C39" s="175">
        <f>ROUND(D5*C22*C23*C24*C28*F39,0)</f>
        <v>8729</v>
      </c>
      <c r="D39" s="2098"/>
      <c r="E39" s="171">
        <f t="shared" si="4"/>
        <v>0</v>
      </c>
      <c r="F39" s="171">
        <f>SUMIF(修正!A57:A68,G2,修正!D57:D68)</f>
        <v>0.3</v>
      </c>
      <c r="G39" s="171">
        <f>ROUND(IF(E2="工业",C39*$M$42,C39*$M$41),0)</f>
        <v>2182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8729</v>
      </c>
      <c r="D40" s="2098"/>
      <c r="E40" s="171">
        <f t="shared" si="4"/>
        <v>0</v>
      </c>
      <c r="F40" s="175">
        <f>SUMIF(修正!A57:A68,G2,修正!E57:E68)</f>
        <v>0.3</v>
      </c>
      <c r="G40" s="171">
        <f>ROUND(IF(E2="工业",C40*$M$42,C40*$M$41),0)</f>
        <v>2182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 xml:space="preserve"> </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1.0466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t="s">
        <v>3421</v>
      </c>
      <c r="D61" s="1065">
        <f t="shared" ref="D61:D69" si="12">SUMIF($J$60:$N$60,C61,J61:N61)</f>
        <v>1.0200000000000001E-2</v>
      </c>
      <c r="E61" s="744">
        <f>ROUND(SUM(D61:D69),4)</f>
        <v>4.6600000000000003E-2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t="s">
        <v>3421</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t="s">
        <v>3422</v>
      </c>
      <c r="D63" s="1065">
        <f t="shared" si="12"/>
        <v>8.9999999999999993E-3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3421</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t="s">
        <v>3421</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3422</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t="s">
        <v>3421</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2609</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3276</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3280</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3281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3282</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61" t="s">
        <v>3297</v>
      </c>
      <c r="B103" s="3661"/>
      <c r="C103" s="3661"/>
      <c r="D103" s="3661"/>
      <c r="E103" s="3661"/>
      <c r="F103" s="3661"/>
      <c r="G103" s="3661"/>
      <c r="H103" s="3661"/>
      <c r="I103" s="3661"/>
      <c r="J103" s="3661"/>
      <c r="K103" s="3388"/>
      <c r="L103" s="3388"/>
      <c r="M103" s="3388"/>
      <c r="N103" s="3388"/>
    </row>
    <row r="104" spans="1:14">
      <c r="A104" s="3662" t="s">
        <v>3298</v>
      </c>
      <c r="B104" s="3662" t="s">
        <v>3299</v>
      </c>
      <c r="C104" s="3389" t="s">
        <v>3300</v>
      </c>
      <c r="D104" s="3390"/>
      <c r="E104" s="3390"/>
      <c r="F104" s="3390"/>
      <c r="G104" s="3390"/>
      <c r="H104" s="3390"/>
      <c r="I104" s="3390"/>
      <c r="J104" s="3391"/>
      <c r="K104" s="3392"/>
      <c r="L104" s="3392"/>
      <c r="M104" s="3392"/>
      <c r="N104" s="3392"/>
    </row>
    <row r="105" spans="1:14">
      <c r="A105" s="3662"/>
      <c r="B105" s="366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64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4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51" t="s">
        <v>3314</v>
      </c>
      <c r="B113" s="3651"/>
      <c r="C113" s="3651"/>
      <c r="D113" s="3651"/>
      <c r="E113" s="3651"/>
      <c r="F113" s="3651"/>
      <c r="G113" s="3651"/>
      <c r="H113" s="3651"/>
      <c r="I113" s="3651"/>
      <c r="J113" s="36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0.95379999999999998</v>
      </c>
      <c r="E116" s="2000" t="s">
        <v>3317</v>
      </c>
      <c r="F116" s="3400" t="str">
        <f>E2</f>
        <v>办公</v>
      </c>
      <c r="G116" s="2000" t="s">
        <v>3318</v>
      </c>
      <c r="H116" s="3400" t="str">
        <f>G2</f>
        <v>一级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2609</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28.85</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606.73239999999998</v>
      </c>
      <c r="C2" s="1387" t="s">
        <v>879</v>
      </c>
      <c r="D2" s="1471">
        <f ca="1">C40+J29+L46</f>
        <v>6067324</v>
      </c>
      <c r="E2" s="1388" t="s">
        <v>880</v>
      </c>
      <c r="F2" s="1389"/>
      <c r="G2" s="2702"/>
      <c r="H2" s="2691"/>
      <c r="I2" s="2691"/>
      <c r="J2" s="2691"/>
      <c r="K2" s="2692"/>
      <c r="L2" s="2691"/>
      <c r="M2" s="2691"/>
    </row>
    <row r="3" spans="1:37" ht="18" customHeight="1" thickBot="1">
      <c r="A3" s="1390" t="s">
        <v>881</v>
      </c>
      <c r="B3" s="1391">
        <f ca="1">IF(ISERROR(D2/F43),0,ROUND(D2/F43,0))</f>
        <v>23389</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341291</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340865</v>
      </c>
      <c r="D6" s="155" t="s">
        <v>2104</v>
      </c>
      <c r="E6" s="302" t="s">
        <v>696</v>
      </c>
      <c r="F6" s="303">
        <f ca="1">INDIRECT("'数据-取费表'!u"&amp;$G$1)</f>
        <v>4</v>
      </c>
      <c r="G6" s="1384"/>
      <c r="H6" s="1069" t="s">
        <v>398</v>
      </c>
      <c r="I6" s="3645" t="s">
        <v>694</v>
      </c>
      <c r="J6" s="301">
        <f ca="1">ROUND(M6*M8*M7*(1-M9),0)</f>
        <v>0</v>
      </c>
      <c r="K6" s="1376" t="s">
        <v>2105</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259.41000000000003</v>
      </c>
      <c r="G7" s="1384"/>
      <c r="H7" s="304"/>
      <c r="I7" s="3646"/>
      <c r="J7" s="306"/>
      <c r="K7" s="307"/>
      <c r="L7" s="302" t="s">
        <v>697</v>
      </c>
      <c r="M7" s="303">
        <f ca="1">F7</f>
        <v>259.41000000000003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426</v>
      </c>
      <c r="D10" s="1366" t="s">
        <v>2114</v>
      </c>
      <c r="E10" s="313" t="s">
        <v>701</v>
      </c>
      <c r="F10" s="1116" t="s">
        <v>3383</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1395147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1037640</v>
      </c>
      <c r="D14" s="1345" t="s">
        <v>708</v>
      </c>
      <c r="E14" s="1342"/>
      <c r="F14" s="319"/>
      <c r="G14" s="1384"/>
      <c r="H14" s="982" t="s">
        <v>398</v>
      </c>
      <c r="I14" s="302" t="s">
        <v>709</v>
      </c>
      <c r="J14" s="21">
        <f ca="1">C29</f>
        <v>1641349</v>
      </c>
      <c r="K14" s="12"/>
      <c r="L14" s="807"/>
      <c r="M14" s="808"/>
    </row>
    <row r="15" spans="1:37" s="1397" customFormat="1" ht="18" customHeight="1" thickBot="1">
      <c r="A15" s="982" t="s">
        <v>399</v>
      </c>
      <c r="B15" s="302" t="s">
        <v>710</v>
      </c>
      <c r="C15" s="21">
        <f ca="1">ROUND(C14*F15,0)</f>
        <v>51882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13131</v>
      </c>
      <c r="K16" s="1087" t="s">
        <v>715</v>
      </c>
      <c r="L16" s="1088"/>
      <c r="M16" s="1072"/>
    </row>
    <row r="17" spans="1:37" s="1397" customFormat="1" ht="18" customHeight="1">
      <c r="A17" s="982" t="s">
        <v>681</v>
      </c>
      <c r="B17" s="302" t="s">
        <v>716</v>
      </c>
      <c r="C17" s="21">
        <f ca="1">ROUND(F17*(F43+INDIRECT("'数据-取费表'!S"&amp;$G$1)),0)</f>
        <v>51882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15565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1156969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34709</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13131</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62136</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-13131</v>
      </c>
      <c r="K25" s="1095" t="s">
        <v>753</v>
      </c>
      <c r="L25" s="1096"/>
      <c r="M25" s="1097"/>
    </row>
    <row r="26" spans="1:37" ht="18" customHeight="1">
      <c r="A26" s="982" t="s">
        <v>397</v>
      </c>
      <c r="B26" s="302" t="s">
        <v>754</v>
      </c>
      <c r="C26" s="21">
        <f ca="1">ROUND((C19+C20)*F26,0)</f>
        <v>238336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1641349</v>
      </c>
      <c r="D29" s="1092"/>
      <c r="E29" s="1090"/>
      <c r="F29" s="1093"/>
      <c r="G29" s="1396"/>
      <c r="H29" s="334" t="s">
        <v>396</v>
      </c>
      <c r="I29" s="335" t="s">
        <v>768</v>
      </c>
      <c r="J29" s="336">
        <f ca="1">ROUND(J26/(1+F40)^F41,0)</f>
        <v>0</v>
      </c>
      <c r="K29" s="337" t="s">
        <v>769</v>
      </c>
      <c r="L29" s="338"/>
      <c r="M29" s="339">
        <f ca="1">INDIRECT("'数据-取费表'!k"&amp;$G$1)</f>
        <v>259.41000000000003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40663</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22724</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13131</v>
      </c>
      <c r="D36" s="1344" t="s">
        <v>771</v>
      </c>
      <c r="E36" s="302" t="s">
        <v>712</v>
      </c>
      <c r="F36" s="328">
        <f ca="1">INDIRECT("'数据-取费表'!Ak"&amp;$G$1)</f>
        <v>8.0000000000000002E-3</v>
      </c>
      <c r="G36" s="1384"/>
      <c r="H36" s="2696"/>
      <c r="I36" s="1398"/>
      <c r="J36" s="1399"/>
      <c r="K36" s="2541"/>
      <c r="L36" s="2696"/>
      <c r="M36" s="2696"/>
    </row>
    <row r="37" spans="1:18" ht="18" customHeight="1">
      <c r="A37" s="982" t="s">
        <v>437</v>
      </c>
      <c r="B37" s="302" t="s">
        <v>742</v>
      </c>
      <c r="C37" s="21">
        <f ca="1">ROUND(C13*F37,0)</f>
        <v>1395</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ROUND(C5*F38,0)</f>
        <v>3413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300628</v>
      </c>
      <c r="D39" s="1095" t="s">
        <v>773</v>
      </c>
      <c r="E39" s="1096"/>
      <c r="F39" s="1097"/>
      <c r="G39" s="1384"/>
      <c r="H39" s="2696"/>
      <c r="I39" s="1398"/>
      <c r="J39" s="1399"/>
      <c r="K39" s="2700"/>
      <c r="L39" s="2696"/>
      <c r="M39" s="2696"/>
    </row>
    <row r="40" spans="1:18" ht="18" customHeight="1">
      <c r="A40" s="299" t="s">
        <v>395</v>
      </c>
      <c r="B40" s="300" t="s">
        <v>774</v>
      </c>
      <c r="C40" s="301">
        <f ca="1">ROUND(C39*(1-((1+F42)/(1+F40))^F41)/(F40-F42),0)</f>
        <v>6004934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28.85</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23148</v>
      </c>
      <c r="D43" s="337" t="s">
        <v>777</v>
      </c>
      <c r="E43" s="338" t="s">
        <v>778</v>
      </c>
      <c r="F43" s="339">
        <f ca="1">INDIRECT("'数据-取费表'!k"&amp;$G$1)</f>
        <v>259.41000000000003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-621.26859999999999</v>
      </c>
      <c r="D45" s="3430" t="s">
        <v>3356</v>
      </c>
      <c r="E45" s="1400"/>
      <c r="F45" s="1400"/>
      <c r="O45" s="1403" t="s">
        <v>808</v>
      </c>
      <c r="P45" s="1461"/>
      <c r="Q45" s="1461"/>
      <c r="R45" s="1461"/>
    </row>
    <row r="46" spans="1:18" s="1384" customFormat="1" ht="13.5" thickBot="1">
      <c r="A46" s="1404" t="s">
        <v>809</v>
      </c>
      <c r="C46" s="1405">
        <f ca="1">ROUND(C45,0)</f>
        <v>-621</v>
      </c>
      <c r="D46" s="1406" t="str">
        <f>C2</f>
        <v>万元</v>
      </c>
      <c r="I46" s="1407" t="s">
        <v>810</v>
      </c>
      <c r="J46" s="1408"/>
      <c r="K46" s="1409"/>
      <c r="L46" s="1410">
        <f ca="1">IF(M47="住宅",0,IF(L48&gt;J51,L60,J60))</f>
        <v>62390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3384</v>
      </c>
      <c r="K47" s="1416" t="s">
        <v>816</v>
      </c>
      <c r="L47" s="1417">
        <f ca="1">INDIRECT("'数据-取费表'!d"&amp;$G$1)</f>
        <v>50</v>
      </c>
      <c r="M47" s="1380" t="str">
        <f>IF(ISNUMBER(FIND("住宅",C1)),"住宅","非住宅")</f>
        <v>非住宅</v>
      </c>
      <c r="O47" s="1418" t="s">
        <v>403</v>
      </c>
      <c r="P47" s="1419" t="s">
        <v>817</v>
      </c>
      <c r="Q47" s="1420">
        <f ca="1">C40+J29</f>
        <v>6004934</v>
      </c>
      <c r="R47" s="1420" t="s">
        <v>818</v>
      </c>
    </row>
    <row r="48" spans="1:18" s="1384" customFormat="1" ht="28.5" thickBot="1">
      <c r="A48" s="1110" t="s">
        <v>438</v>
      </c>
      <c r="B48" s="300" t="s">
        <v>692</v>
      </c>
      <c r="C48" s="1359">
        <f ca="1">C49+C53+C55</f>
        <v>0</v>
      </c>
      <c r="D48" s="1112"/>
      <c r="E48" s="1113"/>
      <c r="F48" s="962"/>
      <c r="G48" s="722"/>
      <c r="H48" s="723"/>
      <c r="I48" s="1421" t="s">
        <v>819</v>
      </c>
      <c r="J48" s="1422" t="s">
        <v>3385</v>
      </c>
      <c r="K48" s="1423" t="s">
        <v>820</v>
      </c>
      <c r="L48" s="1424">
        <f ca="1">INDIRECT("'数据-取费表'!f"&amp;$G$1)</f>
        <v>28.85</v>
      </c>
      <c r="O48" s="1418" t="s">
        <v>404</v>
      </c>
      <c r="P48" s="1419" t="s">
        <v>821</v>
      </c>
      <c r="Q48" s="1420">
        <f ca="1">J60</f>
        <v>62390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1641349</v>
      </c>
      <c r="R49" s="1420" t="s">
        <v>818</v>
      </c>
    </row>
    <row r="50" spans="1:18" s="1384" customFormat="1" ht="13.5" thickBot="1">
      <c r="A50" s="976"/>
      <c r="B50" s="979"/>
      <c r="C50" s="980"/>
      <c r="D50" s="953"/>
      <c r="E50" s="1056" t="s">
        <v>697</v>
      </c>
      <c r="F50" s="1057">
        <f ca="1">F7</f>
        <v>259.41000000000003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3338551</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v>8.5000000000000006E-2</v>
      </c>
      <c r="K52" s="1437" t="s">
        <v>833</v>
      </c>
      <c r="L52" s="1438"/>
      <c r="O52" s="1428" t="s">
        <v>408</v>
      </c>
      <c r="P52" s="1419" t="s">
        <v>834</v>
      </c>
      <c r="Q52" s="1420">
        <f ca="1">J53</f>
        <v>28.85</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28.85</v>
      </c>
      <c r="K53" s="3643" t="s">
        <v>837</v>
      </c>
      <c r="L53" s="3644"/>
      <c r="O53" s="1418" t="s">
        <v>409</v>
      </c>
      <c r="P53" s="1419" t="s">
        <v>838</v>
      </c>
      <c r="Q53" s="1420">
        <f ca="1">Q47+Q48</f>
        <v>6067324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1395147</v>
      </c>
      <c r="D56" s="1447"/>
      <c r="E56" s="1448"/>
      <c r="F56" s="1440"/>
      <c r="I56" s="1449" t="s">
        <v>842</v>
      </c>
      <c r="J56" s="1450" t="s">
        <v>3420</v>
      </c>
      <c r="K56" s="1421" t="s">
        <v>843</v>
      </c>
      <c r="L56" s="1424" t="str">
        <f ca="1">IF(L48&lt;J51,"——",L48-J51)</f>
        <v>——</v>
      </c>
      <c r="O56" s="1418" t="s">
        <v>403</v>
      </c>
      <c r="P56" s="1419" t="s">
        <v>817</v>
      </c>
      <c r="Q56" s="1420">
        <f ca="1">C40+J29</f>
        <v>6004934</v>
      </c>
      <c r="R56" s="1420" t="s">
        <v>818</v>
      </c>
    </row>
    <row r="57" spans="1:18" s="1384" customFormat="1" ht="24.75" thickBot="1">
      <c r="A57" s="1451"/>
      <c r="B57" s="950" t="s">
        <v>767</v>
      </c>
      <c r="C57" s="238">
        <f ca="1">C29</f>
        <v>1641349</v>
      </c>
      <c r="D57" s="1452"/>
      <c r="E57" s="1453"/>
      <c r="F57" s="1454"/>
      <c r="I57" s="1455" t="s">
        <v>844</v>
      </c>
      <c r="J57" s="1456">
        <f ca="1">IF(OR(M47="住宅",J51&lt;L48,J56="是"),"——",J51-L48)</f>
        <v>15.149999999999999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14526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656540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62390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6004934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13131</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1395</v>
      </c>
      <c r="D65" s="964" t="s">
        <v>743</v>
      </c>
      <c r="E65" s="950" t="s">
        <v>744</v>
      </c>
      <c r="F65" s="330">
        <f t="shared" ca="1" si="0"/>
        <v>1E-3</v>
      </c>
      <c r="I65" s="1462" t="s">
        <v>867</v>
      </c>
      <c r="J65" s="1463">
        <v>40</v>
      </c>
      <c r="K65" s="1463">
        <v>30</v>
      </c>
      <c r="L65" s="1463">
        <v>50</v>
      </c>
      <c r="M65" s="1465">
        <v>0.02</v>
      </c>
      <c r="O65" s="1418" t="s">
        <v>403</v>
      </c>
      <c r="P65" s="1419" t="s">
        <v>868</v>
      </c>
      <c r="Q65" s="1420">
        <f ca="1">C40+J29</f>
        <v>6004934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-14526</v>
      </c>
      <c r="D67" s="963" t="s">
        <v>753</v>
      </c>
      <c r="E67" s="968"/>
      <c r="F67" s="969"/>
      <c r="O67" s="1428" t="s">
        <v>405</v>
      </c>
      <c r="P67" s="1419" t="s">
        <v>850</v>
      </c>
      <c r="Q67" s="1466">
        <f ca="1">L51</f>
        <v>3338551</v>
      </c>
      <c r="R67" s="1420" t="s">
        <v>870</v>
      </c>
    </row>
    <row r="68" spans="1:18" s="1384" customFormat="1" ht="16.5" thickBot="1">
      <c r="A68" s="947" t="s">
        <v>395</v>
      </c>
      <c r="B68" s="948" t="s">
        <v>774</v>
      </c>
      <c r="C68" s="301">
        <f ca="1">ROUND(C67*(1-((1+F70)/(1+F68))^F69)/(F68-F70),0)</f>
        <v>-207752</v>
      </c>
      <c r="D68" s="965" t="s">
        <v>758</v>
      </c>
      <c r="E68" s="950" t="s">
        <v>759</v>
      </c>
      <c r="F68" s="312">
        <f ca="1">F40</f>
        <v>5.5E-2</v>
      </c>
      <c r="O68" s="1428" t="s">
        <v>406</v>
      </c>
      <c r="P68" s="1467" t="s">
        <v>871</v>
      </c>
      <c r="Q68" s="1420">
        <f ca="1">ROUND(Q69-Q70*Q71,0)</f>
        <v>189016</v>
      </c>
      <c r="R68" s="1420" t="s">
        <v>414</v>
      </c>
    </row>
    <row r="69" spans="1:18" s="1384" customFormat="1" ht="13.5" thickBot="1">
      <c r="A69" s="951"/>
      <c r="B69" s="952"/>
      <c r="C69" s="306"/>
      <c r="D69" s="970" t="s">
        <v>762</v>
      </c>
      <c r="E69" s="950" t="s">
        <v>763</v>
      </c>
      <c r="F69" s="333">
        <f ca="1">F41</f>
        <v>28.85</v>
      </c>
      <c r="O69" s="1428" t="s">
        <v>411</v>
      </c>
      <c r="P69" s="1467" t="s">
        <v>872</v>
      </c>
      <c r="Q69" s="1420">
        <f ca="1">C39</f>
        <v>300628</v>
      </c>
      <c r="R69" s="1420" t="s">
        <v>818</v>
      </c>
    </row>
    <row r="70" spans="1:18" s="1384" customFormat="1" ht="13.5" thickBot="1">
      <c r="A70" s="954"/>
      <c r="B70" s="955"/>
      <c r="C70" s="310"/>
      <c r="D70" s="966"/>
      <c r="E70" s="950" t="s">
        <v>766</v>
      </c>
      <c r="F70" s="1054"/>
      <c r="O70" s="1428" t="s">
        <v>412</v>
      </c>
      <c r="P70" s="1467" t="s">
        <v>873</v>
      </c>
      <c r="Q70" s="1420">
        <f ca="1">C13</f>
        <v>1395147</v>
      </c>
      <c r="R70" s="1420" t="s">
        <v>818</v>
      </c>
    </row>
    <row r="71" spans="1:18" s="1384" customFormat="1" ht="13.5" thickBot="1">
      <c r="A71" s="971" t="s">
        <v>396</v>
      </c>
      <c r="B71" s="972" t="s">
        <v>776</v>
      </c>
      <c r="C71" s="336">
        <f ca="1">ROUND(C68/F71,0)</f>
        <v>-801</v>
      </c>
      <c r="D71" s="973" t="s">
        <v>777</v>
      </c>
      <c r="E71" s="974" t="s">
        <v>778</v>
      </c>
      <c r="F71" s="339">
        <f ca="1">F43</f>
        <v>259.41000000000003</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111612</v>
      </c>
      <c r="D75" s="1384"/>
      <c r="E75" s="1384"/>
      <c r="F75" s="1384"/>
      <c r="K75" s="1402"/>
      <c r="L75" s="1384"/>
      <c r="O75" s="1418" t="s">
        <v>409</v>
      </c>
      <c r="P75" s="1419" t="s">
        <v>838</v>
      </c>
      <c r="Q75" s="1420">
        <f ca="1">Q65+Q66</f>
        <v>6004934</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0.629</v>
      </c>
    </row>
    <row r="80" spans="1:18">
      <c r="B80" s="340" t="s">
        <v>800</v>
      </c>
      <c r="C80" s="274">
        <f ca="1">ROUND(C75/C39,3)</f>
        <v>0.371</v>
      </c>
    </row>
    <row r="81" spans="2:3">
      <c r="B81" s="270" t="s">
        <v>801</v>
      </c>
      <c r="C81" s="238"/>
    </row>
    <row r="82" spans="2:3">
      <c r="B82" s="273" t="s">
        <v>802</v>
      </c>
      <c r="C82" s="275">
        <f ca="1">1-C83</f>
        <v>0.76800000000000002</v>
      </c>
    </row>
    <row r="83" spans="2:3">
      <c r="B83" s="273" t="s">
        <v>803</v>
      </c>
      <c r="C83" s="274">
        <f ca="1">ROUND(C13/C40,3)</f>
        <v>0.23200000000000001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C1" zoomScale="90" zoomScaleNormal="90" workbookViewId="0">
      <selection activeCell="T57" sqref="T57"/>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5" t="s">
        <v>2312</v>
      </c>
      <c r="B2" s="2839" t="e">
        <f>IF(D2="——",C40,C40+E2)</f>
        <v>#DIV/0!</v>
      </c>
      <c r="C2" s="2840" t="s">
        <v>2313</v>
      </c>
      <c r="D2" s="3441" t="s">
        <v>3364</v>
      </c>
      <c r="E2" s="3442"/>
      <c r="F2" s="2842"/>
      <c r="G2" s="2843"/>
      <c r="H2" s="2844"/>
      <c r="I2" s="2845"/>
      <c r="J2" s="3667" t="s">
        <v>2314</v>
      </c>
      <c r="K2" s="3668"/>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669" t="s">
        <v>2324</v>
      </c>
      <c r="K3" s="3670"/>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669" t="s">
        <v>2326</v>
      </c>
      <c r="K4" s="3670"/>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671" t="s">
        <v>2330</v>
      </c>
      <c r="B6" s="3672"/>
      <c r="C6" s="3673"/>
      <c r="D6" s="2866"/>
      <c r="E6" s="2867"/>
      <c r="F6" s="2868"/>
      <c r="G6" s="2869"/>
      <c r="H6" s="2844"/>
      <c r="I6" s="2845"/>
      <c r="J6" s="3674">
        <v>1</v>
      </c>
      <c r="K6" s="3675"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674"/>
      <c r="K7" s="3676"/>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678" t="s">
        <v>2344</v>
      </c>
      <c r="C8" s="3679"/>
      <c r="D8" s="2885" t="s">
        <v>2345</v>
      </c>
      <c r="E8" s="2886" t="s">
        <v>2346</v>
      </c>
      <c r="F8" s="2887" t="s">
        <v>2347</v>
      </c>
      <c r="G8" s="2888"/>
      <c r="H8" s="2844"/>
      <c r="I8" s="2845"/>
      <c r="J8" s="3674"/>
      <c r="K8" s="3676"/>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678" t="s">
        <v>2350</v>
      </c>
      <c r="C9" s="3679"/>
      <c r="D9" s="2885">
        <f>ROUND(D6*E9,0)</f>
        <v>0</v>
      </c>
      <c r="E9" s="2889"/>
      <c r="F9" s="2890" t="s">
        <v>2351</v>
      </c>
      <c r="G9" s="2869"/>
      <c r="H9" s="2844"/>
      <c r="I9" s="2845"/>
      <c r="J9" s="3674"/>
      <c r="K9" s="3676"/>
      <c r="L9" s="2879" t="s">
        <v>2352</v>
      </c>
      <c r="M9" s="2880"/>
      <c r="N9" s="2856"/>
      <c r="O9" s="2881"/>
      <c r="P9" s="2881"/>
      <c r="Q9" s="2882">
        <v>365</v>
      </c>
      <c r="R9" s="2883">
        <f t="shared" si="0"/>
        <v>0</v>
      </c>
      <c r="S9" s="2837"/>
      <c r="T9" s="2837"/>
      <c r="U9" s="2837"/>
      <c r="V9" s="2845"/>
    </row>
    <row r="10" spans="1:22" s="2849" customFormat="1" ht="13.15" customHeight="1">
      <c r="A10" s="2884">
        <v>2</v>
      </c>
      <c r="B10" s="3678" t="s">
        <v>2353</v>
      </c>
      <c r="C10" s="3679"/>
      <c r="D10" s="2885">
        <f>ROUND(D6*E10,0)</f>
        <v>0</v>
      </c>
      <c r="E10" s="2889"/>
      <c r="F10" s="2890" t="s">
        <v>2354</v>
      </c>
      <c r="G10" s="2869"/>
      <c r="H10" s="2844"/>
      <c r="I10" s="2845"/>
      <c r="J10" s="3674"/>
      <c r="K10" s="3676"/>
      <c r="L10" s="2879" t="s">
        <v>2355</v>
      </c>
      <c r="M10" s="2880"/>
      <c r="N10" s="2856"/>
      <c r="O10" s="2881"/>
      <c r="P10" s="2881"/>
      <c r="Q10" s="2882">
        <v>365</v>
      </c>
      <c r="R10" s="2883">
        <f t="shared" si="0"/>
        <v>0</v>
      </c>
      <c r="S10" s="2837"/>
      <c r="T10" s="2837"/>
      <c r="U10" s="2837"/>
      <c r="V10" s="2845"/>
    </row>
    <row r="11" spans="1:22" s="2849" customFormat="1" ht="13.15" customHeight="1">
      <c r="A11" s="2884">
        <v>3</v>
      </c>
      <c r="B11" s="3678" t="s">
        <v>2356</v>
      </c>
      <c r="C11" s="3679"/>
      <c r="D11" s="2885">
        <f>D12+D14+D15+D16</f>
        <v>0</v>
      </c>
      <c r="E11" s="2891" t="e">
        <f>D11/D6</f>
        <v>#DIV/0!</v>
      </c>
      <c r="F11" s="2887"/>
      <c r="G11" s="2888"/>
      <c r="H11" s="2844"/>
      <c r="I11" s="2845"/>
      <c r="J11" s="3674"/>
      <c r="K11" s="3676"/>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680" t="s">
        <v>2359</v>
      </c>
      <c r="C12" s="3681"/>
      <c r="D12" s="2893">
        <f>ROUND(D13*1.2%*(1-30%),0)</f>
        <v>0</v>
      </c>
      <c r="E12" s="2894">
        <v>1.2E-2</v>
      </c>
      <c r="F12" s="2887" t="s">
        <v>2360</v>
      </c>
      <c r="G12" s="2888"/>
      <c r="H12" s="2844"/>
      <c r="I12" s="2845"/>
      <c r="J12" s="3674"/>
      <c r="K12" s="3676"/>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674"/>
      <c r="K13" s="3676"/>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680" t="s">
        <v>2365</v>
      </c>
      <c r="C14" s="3681"/>
      <c r="D14" s="2893">
        <f>ROUND(E14*B5/10000,0)</f>
        <v>0</v>
      </c>
      <c r="E14" s="2882"/>
      <c r="F14" s="2887" t="s">
        <v>2366</v>
      </c>
      <c r="G14" s="2888"/>
      <c r="H14" s="2844"/>
      <c r="I14" s="2845"/>
      <c r="J14" s="3674"/>
      <c r="K14" s="3677"/>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680" t="s">
        <v>2369</v>
      </c>
      <c r="C15" s="3681"/>
      <c r="D15" s="2893">
        <f>ROUND(D6*E15,0)</f>
        <v>0</v>
      </c>
      <c r="E15" s="2894">
        <v>5.5E-2</v>
      </c>
      <c r="F15" s="2887" t="s">
        <v>2370</v>
      </c>
      <c r="G15" s="2869"/>
      <c r="H15" s="2844"/>
      <c r="I15" s="2845"/>
      <c r="J15" s="3674">
        <v>2</v>
      </c>
      <c r="K15" s="3675"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680" t="s">
        <v>2378</v>
      </c>
      <c r="C16" s="3681"/>
      <c r="D16" s="2904">
        <f>D6*E16</f>
        <v>0</v>
      </c>
      <c r="E16" s="2905"/>
      <c r="F16" s="2890" t="s">
        <v>2379</v>
      </c>
      <c r="G16" s="2869"/>
      <c r="H16" s="2844"/>
      <c r="I16" s="2845"/>
      <c r="J16" s="3674"/>
      <c r="K16" s="3676"/>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682" t="s">
        <v>2381</v>
      </c>
      <c r="C17" s="3683"/>
      <c r="D17" s="2907">
        <f>ROUND(D6*E17,0)</f>
        <v>0</v>
      </c>
      <c r="E17" s="2908"/>
      <c r="F17" s="2909" t="s">
        <v>2382</v>
      </c>
      <c r="G17" s="2869"/>
      <c r="H17" s="2844"/>
      <c r="I17" s="2845"/>
      <c r="J17" s="3674"/>
      <c r="K17" s="3676"/>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674"/>
      <c r="K18" s="3676"/>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674"/>
      <c r="K19" s="3677"/>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4">
        <v>3</v>
      </c>
      <c r="K20" s="3675"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674"/>
      <c r="K21" s="3676"/>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674"/>
      <c r="K22" s="3676"/>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674"/>
      <c r="K23" s="3676"/>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674"/>
      <c r="K24" s="3677"/>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684">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68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667" t="s">
        <v>2314</v>
      </c>
      <c r="K32" s="3668"/>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669" t="s">
        <v>2324</v>
      </c>
      <c r="K33" s="3670"/>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669" t="s">
        <v>2326</v>
      </c>
      <c r="K34" s="367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674">
        <v>1</v>
      </c>
      <c r="K36" s="3675"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674"/>
      <c r="K37" s="3676"/>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4"/>
      <c r="K38" s="3676"/>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674"/>
      <c r="K39" s="3676"/>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674"/>
      <c r="K40" s="3677"/>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4">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68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T57" sqref="T5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606.73239999999998</v>
      </c>
      <c r="C2" s="1872" t="s">
        <v>1651</v>
      </c>
      <c r="D2" s="1873" t="s">
        <v>1652</v>
      </c>
      <c r="E2" s="2604">
        <f>SUM(E6:E13)</f>
        <v>259.41000000000003</v>
      </c>
      <c r="F2" s="2703"/>
      <c r="G2" s="1489"/>
      <c r="H2" s="1489"/>
      <c r="I2" s="1489"/>
      <c r="J2" s="1489"/>
      <c r="K2" s="1489"/>
      <c r="L2" s="1489"/>
      <c r="M2" s="1489"/>
      <c r="N2" s="1489"/>
      <c r="O2" s="1489"/>
      <c r="P2" s="1489"/>
      <c r="Q2" s="1489"/>
      <c r="R2" s="1489"/>
      <c r="S2" s="1489"/>
    </row>
    <row r="3" spans="1:22" ht="15.75">
      <c r="A3" s="1870" t="s">
        <v>686</v>
      </c>
      <c r="B3" s="2598">
        <f ca="1">ROUND(B2*10000/E2,0)</f>
        <v>23389</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86" t="s">
        <v>1654</v>
      </c>
      <c r="C5" s="3687"/>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606.73239999999998</v>
      </c>
      <c r="C6" s="1872" t="s">
        <v>1651</v>
      </c>
      <c r="D6" s="2705"/>
      <c r="E6" s="2603">
        <f>IF(OR(A6=0,F6="否"),0,'数据-取费表'!K6+'数据-取费表'!S6)</f>
        <v>259.41000000000003</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259.41000000000003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1"/>
      <c r="M4" s="2712"/>
      <c r="N4" s="2712"/>
      <c r="O4" s="2712"/>
      <c r="P4" s="3710" t="s">
        <v>1672</v>
      </c>
      <c r="Q4" s="3711"/>
      <c r="R4" s="3693" t="s">
        <v>1668</v>
      </c>
      <c r="S4" s="3694"/>
      <c r="T4" s="3693" t="s">
        <v>1669</v>
      </c>
      <c r="U4" s="3694"/>
      <c r="V4" s="3718" t="s">
        <v>1670</v>
      </c>
      <c r="W4" s="3718"/>
      <c r="X4" s="1355"/>
      <c r="Y4" s="3693" t="s">
        <v>1672</v>
      </c>
      <c r="Z4" s="3694"/>
      <c r="AA4" s="3688" t="s">
        <v>1668</v>
      </c>
      <c r="AB4" s="3688" t="s">
        <v>1669</v>
      </c>
      <c r="AC4" s="3688" t="s">
        <v>1670</v>
      </c>
    </row>
    <row r="5" spans="1:29" ht="15">
      <c r="A5" s="358"/>
      <c r="B5" s="359"/>
      <c r="C5" s="3699" t="s">
        <v>1673</v>
      </c>
      <c r="D5" s="3700"/>
      <c r="E5" s="3697" t="s">
        <v>1674</v>
      </c>
      <c r="F5" s="3698"/>
      <c r="G5" s="3699" t="s">
        <v>1675</v>
      </c>
      <c r="H5" s="3700"/>
      <c r="I5" s="3699" t="s">
        <v>1676</v>
      </c>
      <c r="J5" s="3700"/>
      <c r="K5" s="1890"/>
      <c r="L5" s="2711"/>
      <c r="M5" s="2712"/>
      <c r="N5" s="2712"/>
      <c r="O5" s="2712"/>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1890" t="s">
        <v>1678</v>
      </c>
      <c r="L6" s="2711"/>
      <c r="M6" s="2712"/>
      <c r="N6" s="2712"/>
      <c r="O6" s="2712"/>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5"/>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05"/>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05"/>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05"/>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15">
      <c r="A15" s="391" t="s">
        <v>1690</v>
      </c>
      <c r="B15" s="61" t="s">
        <v>1257</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33"/>
      <c r="Q16" s="1352"/>
      <c r="R16" s="705"/>
      <c r="S16" s="706"/>
      <c r="T16" s="705"/>
      <c r="U16" s="706"/>
      <c r="V16" s="705"/>
      <c r="W16" s="706"/>
      <c r="X16" s="1355"/>
      <c r="Y16" s="3726"/>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33"/>
      <c r="Q18" s="1352"/>
      <c r="R18" s="705"/>
      <c r="S18" s="706"/>
      <c r="T18" s="705"/>
      <c r="U18" s="706"/>
      <c r="V18" s="705"/>
      <c r="W18" s="706"/>
      <c r="X18" s="1355"/>
      <c r="Y18" s="372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33"/>
      <c r="Q20" s="1352"/>
      <c r="R20" s="705"/>
      <c r="S20" s="706"/>
      <c r="T20" s="705"/>
      <c r="U20" s="706"/>
      <c r="V20" s="705"/>
      <c r="W20" s="706"/>
      <c r="X20" s="1355"/>
      <c r="Y20" s="372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33"/>
      <c r="Q22" s="1352"/>
      <c r="R22" s="705"/>
      <c r="S22" s="706"/>
      <c r="T22" s="705"/>
      <c r="U22" s="706"/>
      <c r="V22" s="705"/>
      <c r="W22" s="706"/>
      <c r="X22" s="1355"/>
      <c r="Y22" s="372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33"/>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0"/>
      <c r="M48" s="2721"/>
      <c r="N48" s="2721"/>
      <c r="O48" s="2721"/>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693" t="s">
        <v>1771</v>
      </c>
      <c r="S4" s="3694"/>
      <c r="T4" s="3693" t="s">
        <v>1772</v>
      </c>
      <c r="U4" s="3694"/>
      <c r="V4" s="3718" t="s">
        <v>1773</v>
      </c>
      <c r="W4" s="3718"/>
      <c r="X4" s="1355"/>
      <c r="Y4" s="3693" t="s">
        <v>1775</v>
      </c>
      <c r="Z4" s="3694"/>
      <c r="AA4" s="3688" t="s">
        <v>1771</v>
      </c>
      <c r="AB4" s="3718" t="s">
        <v>1772</v>
      </c>
      <c r="AC4" s="3688" t="s">
        <v>1773</v>
      </c>
    </row>
    <row r="5" spans="1:29" ht="15">
      <c r="A5" s="358"/>
      <c r="B5" s="359"/>
      <c r="C5" s="3699" t="s">
        <v>1673</v>
      </c>
      <c r="D5" s="3700"/>
      <c r="E5" s="3697" t="s">
        <v>1674</v>
      </c>
      <c r="F5" s="3698"/>
      <c r="G5" s="3699" t="s">
        <v>1675</v>
      </c>
      <c r="H5" s="3700"/>
      <c r="I5" s="3699" t="s">
        <v>1676</v>
      </c>
      <c r="J5" s="3700"/>
      <c r="K5" s="559"/>
      <c r="L5" s="2711"/>
      <c r="M5" s="2712"/>
      <c r="N5" s="2712"/>
      <c r="O5" s="2712"/>
      <c r="P5" s="3712"/>
      <c r="Q5" s="3713"/>
      <c r="R5" s="3695"/>
      <c r="S5" s="3696"/>
      <c r="T5" s="3695"/>
      <c r="U5" s="3696"/>
      <c r="V5" s="3718"/>
      <c r="W5" s="3718"/>
      <c r="X5" s="1355"/>
      <c r="Y5" s="3695"/>
      <c r="Z5" s="3696"/>
      <c r="AA5" s="3689"/>
      <c r="AB5" s="3718"/>
      <c r="AC5" s="3689"/>
    </row>
    <row r="6" spans="1:29" ht="15.75" thickBot="1">
      <c r="A6" s="360"/>
      <c r="B6" s="361"/>
      <c r="C6" s="3701" t="s">
        <v>1677</v>
      </c>
      <c r="D6" s="3702"/>
      <c r="E6" s="3703" t="s">
        <v>1677</v>
      </c>
      <c r="F6" s="3704"/>
      <c r="G6" s="3701" t="s">
        <v>1677</v>
      </c>
      <c r="H6" s="3702"/>
      <c r="I6" s="3701" t="s">
        <v>1677</v>
      </c>
      <c r="J6" s="3702"/>
      <c r="K6" s="559" t="s">
        <v>1678</v>
      </c>
      <c r="L6" s="2711"/>
      <c r="M6" s="2712"/>
      <c r="N6" s="2712"/>
      <c r="O6" s="2712"/>
      <c r="P6" s="3714"/>
      <c r="Q6" s="3715"/>
      <c r="R6" s="3695"/>
      <c r="S6" s="3696"/>
      <c r="T6" s="3716"/>
      <c r="U6" s="3717"/>
      <c r="V6" s="3718"/>
      <c r="W6" s="3718"/>
      <c r="X6" s="1355"/>
      <c r="Y6" s="3716"/>
      <c r="Z6" s="3717"/>
      <c r="AA6" s="3690"/>
      <c r="AB6" s="3718"/>
      <c r="AC6" s="3690"/>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15">
      <c r="A15" s="391" t="s">
        <v>1690</v>
      </c>
      <c r="B15" s="61" t="s">
        <v>1777</v>
      </c>
      <c r="C15" s="1896" t="str">
        <f>估价对象房地状况!C4</f>
        <v xml:space="preserve"> </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33"/>
      <c r="Q16" s="1352"/>
      <c r="R16" s="705"/>
      <c r="S16" s="706"/>
      <c r="T16" s="705"/>
      <c r="U16" s="706"/>
      <c r="V16" s="705"/>
      <c r="W16" s="706"/>
      <c r="X16" s="1355"/>
      <c r="Y16" s="3726"/>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33"/>
      <c r="Q18" s="1352"/>
      <c r="R18" s="705"/>
      <c r="S18" s="706"/>
      <c r="T18" s="705"/>
      <c r="U18" s="706"/>
      <c r="V18" s="705"/>
      <c r="W18" s="706"/>
      <c r="X18" s="1355"/>
      <c r="Y18" s="3726"/>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33"/>
      <c r="Q20" s="1352"/>
      <c r="R20" s="705"/>
      <c r="S20" s="706"/>
      <c r="T20" s="705"/>
      <c r="U20" s="706"/>
      <c r="V20" s="705"/>
      <c r="W20" s="706"/>
      <c r="X20" s="1355"/>
      <c r="Y20" s="372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33"/>
      <c r="Q22" s="1352"/>
      <c r="R22" s="705"/>
      <c r="S22" s="706"/>
      <c r="T22" s="705"/>
      <c r="U22" s="706"/>
      <c r="V22" s="705"/>
      <c r="W22" s="706"/>
      <c r="X22" s="1355"/>
      <c r="Y22" s="372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7" t="s">
        <v>2136</v>
      </c>
      <c r="E48" s="1161" t="e">
        <f>R48</f>
        <v>#DIV/0!</v>
      </c>
      <c r="F48" s="2318"/>
      <c r="G48" s="1160" t="e">
        <f>T48</f>
        <v>#DIV/0!</v>
      </c>
      <c r="H48" s="2318"/>
      <c r="I48" s="1161" t="e">
        <f>V48</f>
        <v>#DIV/0!</v>
      </c>
      <c r="J48" s="2318"/>
      <c r="K48" s="2320">
        <f>F48+H48+J48</f>
        <v>0</v>
      </c>
      <c r="L48" s="2720"/>
      <c r="M48" s="2721"/>
      <c r="N48" s="2712"/>
      <c r="O48" s="2721"/>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40" t="s">
        <v>1775</v>
      </c>
      <c r="Q4" s="3741"/>
      <c r="R4" s="3735" t="s">
        <v>1771</v>
      </c>
      <c r="S4" s="3736"/>
      <c r="T4" s="3735" t="s">
        <v>1772</v>
      </c>
      <c r="U4" s="3736"/>
      <c r="V4" s="3744" t="s">
        <v>1773</v>
      </c>
      <c r="W4" s="3744"/>
      <c r="X4" s="1958"/>
      <c r="Y4" s="3735" t="s">
        <v>1775</v>
      </c>
      <c r="Z4" s="3736"/>
      <c r="AA4" s="3734" t="s">
        <v>1771</v>
      </c>
      <c r="AB4" s="3734" t="s">
        <v>1772</v>
      </c>
      <c r="AC4" s="3737" t="s">
        <v>1773</v>
      </c>
    </row>
    <row r="5" spans="1:29" ht="15">
      <c r="A5" s="358"/>
      <c r="B5" s="359"/>
      <c r="C5" s="3699" t="s">
        <v>1673</v>
      </c>
      <c r="D5" s="3700"/>
      <c r="E5" s="3697" t="s">
        <v>1674</v>
      </c>
      <c r="F5" s="3698"/>
      <c r="G5" s="3699" t="s">
        <v>1675</v>
      </c>
      <c r="H5" s="3700"/>
      <c r="I5" s="3699" t="s">
        <v>1676</v>
      </c>
      <c r="J5" s="3700"/>
      <c r="K5" s="559"/>
      <c r="L5" s="2711"/>
      <c r="M5" s="2712"/>
      <c r="N5" s="2712"/>
      <c r="O5" s="2712"/>
      <c r="P5" s="3742"/>
      <c r="Q5" s="3713"/>
      <c r="R5" s="3695"/>
      <c r="S5" s="3696"/>
      <c r="T5" s="3695"/>
      <c r="U5" s="3696"/>
      <c r="V5" s="3718"/>
      <c r="W5" s="3718"/>
      <c r="X5" s="1355"/>
      <c r="Y5" s="3695"/>
      <c r="Z5" s="3696"/>
      <c r="AA5" s="3689"/>
      <c r="AB5" s="3689"/>
      <c r="AC5" s="3738"/>
    </row>
    <row r="6" spans="1:29" ht="15.75" thickBot="1">
      <c r="A6" s="360"/>
      <c r="B6" s="361"/>
      <c r="C6" s="3701" t="s">
        <v>1677</v>
      </c>
      <c r="D6" s="3702"/>
      <c r="E6" s="3703" t="s">
        <v>1677</v>
      </c>
      <c r="F6" s="3704"/>
      <c r="G6" s="3701" t="s">
        <v>1677</v>
      </c>
      <c r="H6" s="3702"/>
      <c r="I6" s="3701" t="s">
        <v>1677</v>
      </c>
      <c r="J6" s="3702"/>
      <c r="K6" s="559" t="s">
        <v>1678</v>
      </c>
      <c r="L6" s="2711"/>
      <c r="M6" s="2712"/>
      <c r="N6" s="2712"/>
      <c r="O6" s="2712"/>
      <c r="P6" s="3743"/>
      <c r="Q6" s="3715"/>
      <c r="R6" s="3695"/>
      <c r="S6" s="3696"/>
      <c r="T6" s="3716"/>
      <c r="U6" s="3717"/>
      <c r="V6" s="3718"/>
      <c r="W6" s="3718"/>
      <c r="X6" s="1355"/>
      <c r="Y6" s="3716"/>
      <c r="Z6" s="3717"/>
      <c r="AA6" s="3690"/>
      <c r="AB6" s="3690"/>
      <c r="AC6" s="3739"/>
    </row>
    <row r="7" spans="1:29" s="108" customFormat="1" ht="15.75" thickBot="1">
      <c r="A7" s="362" t="s">
        <v>1679</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5"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5"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33"/>
      <c r="Q16" s="1352"/>
      <c r="R16" s="705"/>
      <c r="S16" s="706"/>
      <c r="T16" s="705"/>
      <c r="U16" s="706"/>
      <c r="V16" s="705"/>
      <c r="W16" s="706"/>
      <c r="X16" s="1355"/>
      <c r="Y16" s="3726"/>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33"/>
      <c r="Q18" s="1352"/>
      <c r="R18" s="705"/>
      <c r="S18" s="706"/>
      <c r="T18" s="705"/>
      <c r="U18" s="706"/>
      <c r="V18" s="705"/>
      <c r="W18" s="706"/>
      <c r="X18" s="1355"/>
      <c r="Y18" s="372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33"/>
      <c r="Q20" s="1352"/>
      <c r="R20" s="705"/>
      <c r="S20" s="706"/>
      <c r="T20" s="705"/>
      <c r="U20" s="706"/>
      <c r="V20" s="705"/>
      <c r="W20" s="706"/>
      <c r="X20" s="1355"/>
      <c r="Y20" s="372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33"/>
      <c r="Q22" s="1352"/>
      <c r="R22" s="705"/>
      <c r="S22" s="706"/>
      <c r="T22" s="705"/>
      <c r="U22" s="706"/>
      <c r="V22" s="705"/>
      <c r="W22" s="706"/>
      <c r="X22" s="1355"/>
      <c r="Y22" s="372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33"/>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0"/>
      <c r="M49" s="2712"/>
      <c r="N49" s="2712"/>
      <c r="O49" s="2712"/>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受贵公司委托，我公司对北京市朝阳区日坛北路17号院1号楼13层1301、1302号房地产市场价值进行了预评估。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估价对象为北京市朝阳区日坛北路17号院1号楼13层1301、1302号房地产，为所有。根据《国有土地使用证》[]，估价对象（分摊）出让国有建设用地使用权面积为0平方米，建筑面积为259.41平方米。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259.41000000000003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1"/>
      <c r="M5" s="2712"/>
      <c r="N5" s="2712"/>
      <c r="O5" s="2712"/>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1"/>
      <c r="M6" s="2712"/>
      <c r="N6" s="2712"/>
      <c r="O6" s="2712"/>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3"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5"/>
      <c r="M10" s="2716"/>
      <c r="N10" s="2716"/>
      <c r="O10" s="2716"/>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26"/>
      <c r="Q15" s="1352"/>
      <c r="R15" s="705"/>
      <c r="S15" s="706"/>
      <c r="T15" s="705"/>
      <c r="U15" s="706"/>
      <c r="V15" s="705"/>
      <c r="W15" s="706"/>
      <c r="X15" s="1355"/>
      <c r="Y15" s="372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26"/>
      <c r="Q17" s="1352"/>
      <c r="R17" s="705"/>
      <c r="S17" s="706"/>
      <c r="T17" s="705"/>
      <c r="U17" s="706"/>
      <c r="V17" s="705"/>
      <c r="W17" s="706"/>
      <c r="X17" s="1355"/>
      <c r="Y17" s="372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26"/>
      <c r="Q19" s="1352"/>
      <c r="R19" s="705"/>
      <c r="S19" s="706"/>
      <c r="T19" s="705"/>
      <c r="U19" s="706"/>
      <c r="V19" s="705"/>
      <c r="W19" s="706"/>
      <c r="X19" s="1355"/>
      <c r="Y19" s="372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0"/>
      <c r="M37" s="2721"/>
      <c r="N37" s="2712"/>
      <c r="O37" s="2721"/>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0"/>
      <c r="M38" s="2721"/>
      <c r="N38" s="2721"/>
      <c r="O38" s="2721"/>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1"/>
      <c r="M5" s="2712"/>
      <c r="N5" s="2712"/>
      <c r="O5" s="2712"/>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1"/>
      <c r="M6" s="2712"/>
      <c r="N6" s="2712"/>
      <c r="O6" s="2712"/>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3"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5"/>
      <c r="M10" s="2716"/>
      <c r="N10" s="2716"/>
      <c r="O10" s="2769"/>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26"/>
      <c r="Q15" s="1352"/>
      <c r="R15" s="705"/>
      <c r="S15" s="706"/>
      <c r="T15" s="705"/>
      <c r="U15" s="706"/>
      <c r="V15" s="705"/>
      <c r="W15" s="706"/>
      <c r="X15" s="1355"/>
      <c r="Y15" s="372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26"/>
      <c r="Q17" s="1352"/>
      <c r="R17" s="705"/>
      <c r="S17" s="706"/>
      <c r="T17" s="705"/>
      <c r="U17" s="706"/>
      <c r="V17" s="705"/>
      <c r="W17" s="706"/>
      <c r="X17" s="1355"/>
      <c r="Y17" s="372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26"/>
      <c r="Q19" s="1352"/>
      <c r="R19" s="705"/>
      <c r="S19" s="706"/>
      <c r="T19" s="705"/>
      <c r="U19" s="706"/>
      <c r="V19" s="705"/>
      <c r="W19" s="706"/>
      <c r="X19" s="1355"/>
      <c r="Y19" s="372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0"/>
      <c r="M36" s="2721"/>
      <c r="N36" s="2712"/>
      <c r="O36" s="2721"/>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T57" sqref="T5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30" ht="15">
      <c r="A5" s="358"/>
      <c r="B5" s="359"/>
      <c r="C5" s="3699" t="s">
        <v>1673</v>
      </c>
      <c r="D5" s="3700"/>
      <c r="E5" s="3697" t="s">
        <v>1674</v>
      </c>
      <c r="F5" s="3698"/>
      <c r="G5" s="3699" t="s">
        <v>1675</v>
      </c>
      <c r="H5" s="3700"/>
      <c r="I5" s="3699" t="s">
        <v>1676</v>
      </c>
      <c r="J5" s="3700"/>
      <c r="K5" s="559"/>
      <c r="L5" s="2711"/>
      <c r="M5" s="2712"/>
      <c r="N5" s="2712"/>
      <c r="O5" s="2712"/>
      <c r="P5" s="3712"/>
      <c r="Q5" s="3713"/>
      <c r="R5" s="3695"/>
      <c r="S5" s="3696"/>
      <c r="T5" s="3695"/>
      <c r="U5" s="3696"/>
      <c r="V5" s="3718"/>
      <c r="W5" s="3718"/>
      <c r="X5" s="1355"/>
      <c r="Y5" s="3695"/>
      <c r="Z5" s="3696"/>
      <c r="AA5" s="3689"/>
      <c r="AB5" s="3689"/>
      <c r="AC5" s="3689"/>
    </row>
    <row r="6" spans="1:30" ht="15.75" thickBot="1">
      <c r="A6" s="360"/>
      <c r="B6" s="361"/>
      <c r="C6" s="3701" t="s">
        <v>1677</v>
      </c>
      <c r="D6" s="3702"/>
      <c r="E6" s="3703" t="s">
        <v>1677</v>
      </c>
      <c r="F6" s="3704"/>
      <c r="G6" s="3701" t="s">
        <v>1677</v>
      </c>
      <c r="H6" s="3702"/>
      <c r="I6" s="3701" t="s">
        <v>1677</v>
      </c>
      <c r="J6" s="3702"/>
      <c r="K6" s="559" t="s">
        <v>1678</v>
      </c>
      <c r="L6" s="2711"/>
      <c r="M6" s="2712"/>
      <c r="N6" s="2712"/>
      <c r="O6" s="2712"/>
      <c r="P6" s="3714"/>
      <c r="Q6" s="3715"/>
      <c r="R6" s="3695"/>
      <c r="S6" s="3696"/>
      <c r="T6" s="3716"/>
      <c r="U6" s="3717"/>
      <c r="V6" s="3718"/>
      <c r="W6" s="3718"/>
      <c r="X6" s="1355"/>
      <c r="Y6" s="3716"/>
      <c r="Z6" s="3717"/>
      <c r="AA6" s="3690"/>
      <c r="AB6" s="3690"/>
      <c r="AC6" s="3690"/>
    </row>
    <row r="7" spans="1:30" s="108" customFormat="1" ht="15.75" thickBot="1">
      <c r="A7" s="362" t="s">
        <v>1679</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5"/>
      <c r="M10" s="2716"/>
      <c r="N10" s="2716"/>
      <c r="O10" s="2769"/>
      <c r="P10" s="3723"/>
      <c r="Q10" s="1343" t="str">
        <f t="shared" si="6"/>
        <v>土地使用年限（年）</v>
      </c>
      <c r="R10" s="701" t="s">
        <v>14</v>
      </c>
      <c r="S10" s="702">
        <f t="shared" si="0"/>
        <v>121</v>
      </c>
      <c r="T10" s="701" t="s">
        <v>14</v>
      </c>
      <c r="U10" s="702">
        <f t="shared" si="1"/>
        <v>121</v>
      </c>
      <c r="V10" s="701" t="s">
        <v>14</v>
      </c>
      <c r="W10" s="702">
        <f t="shared" si="2"/>
        <v>121</v>
      </c>
      <c r="X10" s="703"/>
      <c r="Y10" s="3616"/>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3"/>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15">
      <c r="A15" s="391" t="s">
        <v>1690</v>
      </c>
      <c r="B15" s="61" t="s">
        <v>1257</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26"/>
      <c r="Q16" s="1352"/>
      <c r="R16" s="705"/>
      <c r="S16" s="706"/>
      <c r="T16" s="705"/>
      <c r="U16" s="706"/>
      <c r="V16" s="705"/>
      <c r="W16" s="706"/>
      <c r="X16" s="1355"/>
      <c r="Y16" s="3726"/>
      <c r="Z16" s="1356"/>
      <c r="AA16" s="1353">
        <v>1</v>
      </c>
      <c r="AB16" s="1353">
        <v>1</v>
      </c>
      <c r="AC16" s="1353">
        <v>1</v>
      </c>
    </row>
    <row r="17" spans="1:29" ht="15">
      <c r="A17" s="379"/>
      <c r="B17" s="402" t="s">
        <v>1777</v>
      </c>
      <c r="C17" s="1955" t="str">
        <f>估价对象房地状况!C16</f>
        <v xml:space="preserve"> </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26"/>
      <c r="Q18" s="1352"/>
      <c r="R18" s="705"/>
      <c r="S18" s="706"/>
      <c r="T18" s="705"/>
      <c r="U18" s="706"/>
      <c r="V18" s="705"/>
      <c r="W18" s="706"/>
      <c r="X18" s="1355"/>
      <c r="Y18" s="372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26"/>
      <c r="Q20" s="1352"/>
      <c r="R20" s="705"/>
      <c r="S20" s="706"/>
      <c r="T20" s="705"/>
      <c r="U20" s="706"/>
      <c r="V20" s="705"/>
      <c r="W20" s="706"/>
      <c r="X20" s="1355"/>
      <c r="Y20" s="3726"/>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26"/>
      <c r="Q24" s="1352"/>
      <c r="R24" s="705"/>
      <c r="S24" s="706"/>
      <c r="T24" s="705"/>
      <c r="U24" s="706"/>
      <c r="V24" s="705"/>
      <c r="W24" s="706"/>
      <c r="X24" s="1355"/>
      <c r="Y24" s="372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26"/>
      <c r="Q26" s="1352"/>
      <c r="R26" s="705"/>
      <c r="S26" s="706"/>
      <c r="T26" s="705"/>
      <c r="U26" s="706"/>
      <c r="V26" s="705"/>
      <c r="W26" s="706"/>
      <c r="X26" s="1355"/>
      <c r="Y26" s="372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26"/>
      <c r="Q28" s="1343"/>
      <c r="R28" s="701"/>
      <c r="S28" s="702"/>
      <c r="T28" s="701"/>
      <c r="U28" s="702"/>
      <c r="V28" s="701"/>
      <c r="W28" s="702"/>
      <c r="X28" s="703"/>
      <c r="Y28" s="372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9"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0"/>
      <c r="M47" s="2721"/>
      <c r="N47" s="2721"/>
      <c r="O47" s="2721"/>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259.41000000000003</v>
      </c>
      <c r="F56" s="886" t="e">
        <f t="shared" ref="F56:F64" si="15">ROUND(B56*E56/10000,0)</f>
        <v>#DIV/0!</v>
      </c>
      <c r="G56" s="3705"/>
      <c r="H56" s="372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259.41000000000003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1"/>
      <c r="M5" s="2712"/>
      <c r="N5" s="2712"/>
      <c r="O5" s="2712"/>
      <c r="P5" s="3712"/>
      <c r="Q5" s="3713"/>
      <c r="R5" s="3695"/>
      <c r="S5" s="3696"/>
      <c r="T5" s="3695"/>
      <c r="U5" s="3696"/>
      <c r="V5" s="3718"/>
      <c r="W5" s="3718"/>
      <c r="X5" s="1355"/>
      <c r="Y5" s="3695"/>
      <c r="Z5" s="3696"/>
      <c r="AA5" s="3689"/>
      <c r="AB5" s="3689"/>
      <c r="AC5" s="3689"/>
    </row>
    <row r="6" spans="1:29" ht="15.75" thickBot="1">
      <c r="A6" s="360"/>
      <c r="B6" s="361"/>
      <c r="C6" s="3754" t="s">
        <v>1919</v>
      </c>
      <c r="D6" s="3755"/>
      <c r="E6" s="3756" t="s">
        <v>1919</v>
      </c>
      <c r="F6" s="3757"/>
      <c r="G6" s="3754" t="s">
        <v>1919</v>
      </c>
      <c r="H6" s="3755"/>
      <c r="I6" s="3754" t="s">
        <v>1919</v>
      </c>
      <c r="J6" s="3755"/>
      <c r="K6" s="559" t="s">
        <v>1678</v>
      </c>
      <c r="L6" s="2711"/>
      <c r="M6" s="2712"/>
      <c r="N6" s="2712"/>
      <c r="O6" s="2712"/>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5"/>
      <c r="M10" s="2716"/>
      <c r="N10" s="2716"/>
      <c r="O10" s="2769"/>
      <c r="P10" s="3723"/>
      <c r="Q10" s="1343" t="str">
        <f t="shared" si="6"/>
        <v>土地使用年限（年）</v>
      </c>
      <c r="R10" s="701" t="s">
        <v>14</v>
      </c>
      <c r="S10" s="702">
        <f t="shared" si="0"/>
        <v>121</v>
      </c>
      <c r="T10" s="701" t="s">
        <v>14</v>
      </c>
      <c r="U10" s="702">
        <f t="shared" si="1"/>
        <v>121</v>
      </c>
      <c r="V10" s="701" t="s">
        <v>14</v>
      </c>
      <c r="W10" s="702">
        <f t="shared" si="2"/>
        <v>121</v>
      </c>
      <c r="X10" s="703"/>
      <c r="Y10" s="3616"/>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9"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0"/>
      <c r="M42" s="2712"/>
      <c r="N42" s="2712"/>
      <c r="O42" s="2721"/>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259.41000000000003</v>
      </c>
      <c r="F51" s="639" t="e">
        <f t="shared" ref="F51:F60" si="15">ROUND(B51*E51/10000,0)</f>
        <v>#DIV/0!</v>
      </c>
      <c r="G51" s="3705"/>
      <c r="H51" s="372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80" zoomScaleNormal="80" workbookViewId="0">
      <pane ySplit="24" topLeftCell="A25" activePane="bottomLeft" state="frozen"/>
      <selection activeCell="Q80" sqref="Q80"/>
      <selection pane="bottomLeft" activeCell="U27" sqref="U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5"/>
    <col min="21" max="21" width="36" style="725" customWidth="1"/>
    <col min="22"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ht="25.5">
      <c r="A2" s="984"/>
      <c r="B2" s="651" t="s">
        <v>2086</v>
      </c>
      <c r="C2" s="652" t="str">
        <f t="shared" ref="C2:L2" si="0">C3&amp;"(含)"&amp;"-"&amp;D3</f>
        <v>0(含)-500</v>
      </c>
      <c r="D2" s="653" t="str">
        <f t="shared" si="0"/>
        <v>500(含)-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54" t="s">
        <v>3425</v>
      </c>
      <c r="C5" s="3455" t="s">
        <v>3427</v>
      </c>
      <c r="D5" s="3456" t="s">
        <v>3429</v>
      </c>
      <c r="E5" s="996"/>
      <c r="F5" s="1312"/>
      <c r="G5" s="1312"/>
      <c r="H5" s="1312"/>
      <c r="I5" s="1312"/>
      <c r="J5" s="1312"/>
      <c r="K5" s="1312"/>
      <c r="L5" s="1313"/>
      <c r="M5" s="1314"/>
      <c r="N5" s="1314"/>
      <c r="O5" s="1312"/>
      <c r="P5" s="1312"/>
      <c r="Q5" s="1312"/>
      <c r="R5" s="1312"/>
      <c r="S5" s="1315"/>
      <c r="T5" s="998">
        <v>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1555</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34048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456.71000000000004</v>
      </c>
      <c r="C22" s="3758" t="s">
        <v>27</v>
      </c>
      <c r="D22" s="3759"/>
      <c r="E22" s="3759"/>
      <c r="F22" s="3759"/>
      <c r="G22" s="3759"/>
      <c r="H22" s="3759"/>
      <c r="I22" s="3759"/>
      <c r="J22" s="3759"/>
      <c r="K22" s="3759"/>
      <c r="L22" s="3759"/>
      <c r="M22" s="3759"/>
      <c r="N22" s="3759"/>
      <c r="O22" s="3759"/>
      <c r="P22" s="3759"/>
      <c r="Q22" s="3760"/>
      <c r="R22" s="663">
        <f ca="1">ROUND(S22*10000/B22,0)</f>
        <v>34048</v>
      </c>
      <c r="S22" s="21">
        <f ca="1">SUM(S24:S10000)</f>
        <v>1555</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3424</v>
      </c>
      <c r="B24" s="665">
        <f>'数据-基础表'!I13</f>
        <v>259.41000000000003</v>
      </c>
      <c r="C24" s="2806">
        <v>1</v>
      </c>
      <c r="D24" s="2807" t="s">
        <v>3426</v>
      </c>
      <c r="E24" s="2806">
        <v>1</v>
      </c>
      <c r="F24" s="2807"/>
      <c r="G24" s="2806">
        <v>1</v>
      </c>
      <c r="H24" s="2807"/>
      <c r="I24" s="2806">
        <v>1</v>
      </c>
      <c r="J24" s="2807"/>
      <c r="K24" s="2806">
        <v>1</v>
      </c>
      <c r="L24" s="2807"/>
      <c r="M24" s="2806">
        <v>1</v>
      </c>
      <c r="N24" s="2807"/>
      <c r="O24" s="2806">
        <v>1</v>
      </c>
      <c r="P24" s="2807"/>
      <c r="Q24" s="2806">
        <v>1</v>
      </c>
      <c r="R24" s="668">
        <f ca="1">结果表!H102</f>
        <v>34043</v>
      </c>
      <c r="S24" s="666">
        <f t="shared" ref="S24:S54" ca="1" si="11">ROUND(R24*B24/10000,0)</f>
        <v>883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1302</v>
      </c>
      <c r="B25" s="54">
        <f>'数据-基础表'!I14</f>
        <v>197.3</v>
      </c>
      <c r="C25" s="21">
        <f>IF(B25="",1,(LOOKUP(B25,$3:$3,$4:$4)-LOOKUP($B$24,$3:$3,$4:$4)+100)/100)</f>
        <v>1</v>
      </c>
      <c r="D25" s="667" t="s">
        <v>3428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34043</v>
      </c>
      <c r="S25" s="316">
        <f t="shared" ca="1" si="11"/>
        <v>672</v>
      </c>
    </row>
    <row r="26" spans="1:45">
      <c r="A26" s="150"/>
      <c r="B26" s="54"/>
      <c r="C26" s="21">
        <f t="shared" ref="C26:C89" si="12">IF(B26="",1,(LOOKUP(B26,$3:$3,$4:$4)-LOOKUP($B$24,$3:$3,$4:$4)+100)/100)</f>
        <v>1</v>
      </c>
      <c r="D26" s="667"/>
      <c r="E26" s="21">
        <f t="shared" ref="E26:E89" si="13">(SUMIF($5:$5,D26,$6:$6)-SUMIF($5:$5,$D$24,$6:$6)+100)/100</f>
        <v>0</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755</v>
      </c>
      <c r="C2" s="2145" t="s">
        <v>2074</v>
      </c>
      <c r="D2" s="2145" t="s">
        <v>2075</v>
      </c>
      <c r="E2" s="2609">
        <f ca="1">SUMIF(E6:E13,"&lt;&gt;#ref!",E6:E13)</f>
        <v>259.41000000000003</v>
      </c>
      <c r="F2" s="2789"/>
      <c r="G2" s="2789"/>
      <c r="H2" s="2789"/>
      <c r="I2" s="2789"/>
      <c r="J2" s="2789"/>
      <c r="K2" s="2789"/>
      <c r="L2" s="2789"/>
      <c r="M2" s="2789"/>
      <c r="N2" s="2789"/>
      <c r="O2" s="2789"/>
      <c r="P2" s="2789"/>
    </row>
    <row r="3" spans="1:16" ht="15.75">
      <c r="A3" s="2145" t="s">
        <v>2076</v>
      </c>
      <c r="B3" s="2599">
        <f ca="1">ROUND(B2*10000/E2,0)</f>
        <v>29105</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755</v>
      </c>
      <c r="C6" s="2145" t="s">
        <v>2074</v>
      </c>
      <c r="D6" s="2789"/>
      <c r="E6" s="2609">
        <f ca="1">SUMIF(INDIRECT("'"&amp;A6&amp;"'"&amp;"!C:C"),"建筑面积",INDIRECT("'"&amp;A6&amp;"'"&amp;"!D:D"))</f>
        <v>259.41000000000003</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771" t="s">
        <v>2604</v>
      </c>
      <c r="B20" s="3764" t="s">
        <v>2625</v>
      </c>
      <c r="C20" s="3099" t="s">
        <v>2436</v>
      </c>
      <c r="D20" s="3100"/>
      <c r="E20" s="3101">
        <v>1</v>
      </c>
      <c r="F20" s="3102" t="s">
        <v>2437</v>
      </c>
      <c r="G20" s="3102"/>
    </row>
    <row r="21" spans="1:13" ht="19.5" customHeight="1">
      <c r="A21" s="3772"/>
      <c r="B21" s="3765"/>
      <c r="C21" s="3103" t="s">
        <v>2438</v>
      </c>
      <c r="D21" s="3104"/>
      <c r="E21" s="3105">
        <v>1</v>
      </c>
      <c r="F21" s="3102" t="s">
        <v>2439</v>
      </c>
      <c r="G21" s="3102"/>
    </row>
    <row r="22" spans="1:13" ht="19.5" customHeight="1">
      <c r="A22" s="3772"/>
      <c r="B22" s="3765"/>
      <c r="C22" s="3103" t="s">
        <v>2440</v>
      </c>
      <c r="D22" s="3104"/>
      <c r="E22" s="3105">
        <v>0.9</v>
      </c>
      <c r="F22" s="3102" t="s">
        <v>2441</v>
      </c>
      <c r="G22" s="3102"/>
    </row>
    <row r="23" spans="1:13" ht="19.5" customHeight="1">
      <c r="A23" s="3772"/>
      <c r="B23" s="3765"/>
      <c r="C23" s="3103" t="s">
        <v>2442</v>
      </c>
      <c r="D23" s="3104"/>
      <c r="E23" s="3105">
        <v>0.9</v>
      </c>
      <c r="F23" s="3102" t="s">
        <v>2443</v>
      </c>
      <c r="G23" s="3102"/>
    </row>
    <row r="24" spans="1:13" ht="19.5" customHeight="1">
      <c r="A24" s="3772"/>
      <c r="B24" s="3765"/>
      <c r="C24" s="3103" t="s">
        <v>2444</v>
      </c>
      <c r="D24" s="3104"/>
      <c r="E24" s="3105">
        <v>0.8</v>
      </c>
      <c r="F24" s="3102" t="s">
        <v>2445</v>
      </c>
      <c r="G24" s="3102"/>
    </row>
    <row r="25" spans="1:13" ht="19.5" customHeight="1" thickBot="1">
      <c r="A25" s="3773"/>
      <c r="B25" s="3766"/>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767" t="s">
        <v>2628</v>
      </c>
      <c r="B27" s="3764" t="s">
        <v>2609</v>
      </c>
      <c r="C27" s="3099" t="s">
        <v>2449</v>
      </c>
      <c r="D27" s="3100"/>
      <c r="E27" s="3101">
        <v>1</v>
      </c>
      <c r="F27" s="3102" t="s">
        <v>2450</v>
      </c>
      <c r="G27" s="3102"/>
    </row>
    <row r="28" spans="1:13" ht="19.5" customHeight="1">
      <c r="A28" s="3768"/>
      <c r="B28" s="3765"/>
      <c r="C28" s="3103" t="s">
        <v>2451</v>
      </c>
      <c r="D28" s="3104"/>
      <c r="E28" s="3105">
        <v>1</v>
      </c>
      <c r="F28" s="3102" t="s">
        <v>2452</v>
      </c>
      <c r="G28" s="3102"/>
    </row>
    <row r="29" spans="1:13" ht="19.5" customHeight="1">
      <c r="A29" s="3768"/>
      <c r="B29" s="3765"/>
      <c r="C29" s="3103" t="s">
        <v>2453</v>
      </c>
      <c r="D29" s="3104"/>
      <c r="E29" s="3105">
        <v>0.8</v>
      </c>
      <c r="F29" s="3102" t="s">
        <v>2454</v>
      </c>
      <c r="G29" s="3102"/>
    </row>
    <row r="30" spans="1:13" ht="19.5" customHeight="1">
      <c r="A30" s="3768"/>
      <c r="B30" s="3765"/>
      <c r="C30" s="3103" t="s">
        <v>2455</v>
      </c>
      <c r="D30" s="3104"/>
      <c r="E30" s="3105">
        <v>0.8</v>
      </c>
      <c r="F30" s="3102" t="s">
        <v>2456</v>
      </c>
      <c r="G30" s="3102"/>
    </row>
    <row r="31" spans="1:13" ht="19.5" customHeight="1">
      <c r="A31" s="3768"/>
      <c r="B31" s="3765"/>
      <c r="C31" s="3103" t="s">
        <v>2457</v>
      </c>
      <c r="D31" s="3104"/>
      <c r="E31" s="3105">
        <v>0.8</v>
      </c>
      <c r="F31" s="3102" t="s">
        <v>2458</v>
      </c>
      <c r="G31" s="3102"/>
    </row>
    <row r="32" spans="1:13" ht="19.5" customHeight="1">
      <c r="A32" s="3768"/>
      <c r="B32" s="3765"/>
      <c r="C32" s="3103" t="s">
        <v>2459</v>
      </c>
      <c r="D32" s="3104"/>
      <c r="E32" s="3105">
        <v>0.7</v>
      </c>
      <c r="F32" s="3102" t="s">
        <v>2460</v>
      </c>
      <c r="G32" s="3102"/>
    </row>
    <row r="33" spans="1:7" ht="19.5" customHeight="1">
      <c r="A33" s="3768"/>
      <c r="B33" s="3765"/>
      <c r="C33" s="3103" t="s">
        <v>2461</v>
      </c>
      <c r="D33" s="3104"/>
      <c r="E33" s="3105">
        <v>0.8</v>
      </c>
      <c r="F33" s="3102" t="s">
        <v>2462</v>
      </c>
      <c r="G33" s="3102"/>
    </row>
    <row r="34" spans="1:7" ht="19.5" customHeight="1">
      <c r="A34" s="3768"/>
      <c r="B34" s="3765"/>
      <c r="C34" s="3103" t="s">
        <v>2463</v>
      </c>
      <c r="D34" s="3104"/>
      <c r="E34" s="3105">
        <v>0.6</v>
      </c>
      <c r="F34" s="3102" t="s">
        <v>2464</v>
      </c>
      <c r="G34" s="3102"/>
    </row>
    <row r="35" spans="1:7" ht="19.5" customHeight="1">
      <c r="A35" s="3768"/>
      <c r="B35" s="3765"/>
      <c r="C35" s="3103" t="s">
        <v>2465</v>
      </c>
      <c r="D35" s="3104"/>
      <c r="E35" s="3105">
        <v>0.2</v>
      </c>
      <c r="F35" s="3102" t="s">
        <v>2466</v>
      </c>
      <c r="G35" s="3102"/>
    </row>
    <row r="36" spans="1:7" ht="19.5" customHeight="1">
      <c r="A36" s="3768"/>
      <c r="B36" s="3765"/>
      <c r="C36" s="3103" t="s">
        <v>2467</v>
      </c>
      <c r="D36" s="3104"/>
      <c r="E36" s="3105">
        <v>0.2</v>
      </c>
      <c r="F36" s="3102" t="s">
        <v>2468</v>
      </c>
      <c r="G36" s="3102"/>
    </row>
    <row r="37" spans="1:7" ht="19.5" customHeight="1">
      <c r="A37" s="3768"/>
      <c r="B37" s="3770" t="s">
        <v>2629</v>
      </c>
      <c r="C37" s="3103" t="s">
        <v>2469</v>
      </c>
      <c r="D37" s="3104"/>
      <c r="E37" s="3105">
        <v>0.6</v>
      </c>
      <c r="F37" s="3102" t="s">
        <v>2470</v>
      </c>
      <c r="G37" s="3102"/>
    </row>
    <row r="38" spans="1:7" ht="19.5" customHeight="1">
      <c r="A38" s="3768"/>
      <c r="B38" s="3765"/>
      <c r="C38" s="3103" t="s">
        <v>2471</v>
      </c>
      <c r="D38" s="3104"/>
      <c r="E38" s="3105">
        <v>0.6</v>
      </c>
      <c r="F38" s="3102" t="s">
        <v>2472</v>
      </c>
      <c r="G38" s="3102"/>
    </row>
    <row r="39" spans="1:7" ht="19.5" customHeight="1" thickBot="1">
      <c r="A39" s="3769"/>
      <c r="B39" s="3766"/>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771" t="s">
        <v>2607</v>
      </c>
      <c r="B41" s="3764" t="s">
        <v>2631</v>
      </c>
      <c r="C41" s="3099" t="s">
        <v>2476</v>
      </c>
      <c r="D41" s="3100"/>
      <c r="E41" s="3101">
        <v>1</v>
      </c>
      <c r="F41" s="3102" t="s">
        <v>2477</v>
      </c>
      <c r="G41" s="3102"/>
    </row>
    <row r="42" spans="1:7" ht="19.5" customHeight="1">
      <c r="A42" s="3772"/>
      <c r="B42" s="3765"/>
      <c r="C42" s="3103" t="s">
        <v>2478</v>
      </c>
      <c r="D42" s="3104"/>
      <c r="E42" s="3105">
        <v>1</v>
      </c>
      <c r="F42" s="3102" t="s">
        <v>2479</v>
      </c>
      <c r="G42" s="3102"/>
    </row>
    <row r="43" spans="1:7" ht="19.5" customHeight="1">
      <c r="A43" s="3772"/>
      <c r="B43" s="3774"/>
      <c r="C43" s="3103" t="s">
        <v>2480</v>
      </c>
      <c r="D43" s="3104"/>
      <c r="E43" s="3105">
        <v>1.5</v>
      </c>
      <c r="F43" s="3102" t="s">
        <v>2481</v>
      </c>
      <c r="G43" s="3102"/>
    </row>
    <row r="44" spans="1:7" ht="19.5" customHeight="1">
      <c r="A44" s="3772"/>
      <c r="B44" s="3114" t="s">
        <v>2632</v>
      </c>
      <c r="C44" s="3103" t="s">
        <v>2633</v>
      </c>
      <c r="D44" s="3104"/>
      <c r="E44" s="3105">
        <v>2</v>
      </c>
      <c r="F44" s="3102" t="s">
        <v>2482</v>
      </c>
      <c r="G44" s="3102"/>
    </row>
    <row r="45" spans="1:7" ht="19.5" customHeight="1">
      <c r="A45" s="3772"/>
      <c r="B45" s="3770" t="s">
        <v>2634</v>
      </c>
      <c r="C45" s="3103" t="s">
        <v>2483</v>
      </c>
      <c r="D45" s="3104"/>
      <c r="E45" s="3105">
        <v>1</v>
      </c>
      <c r="F45" s="3102" t="s">
        <v>2484</v>
      </c>
      <c r="G45" s="3102"/>
    </row>
    <row r="46" spans="1:7" ht="19.5" customHeight="1">
      <c r="A46" s="3772"/>
      <c r="B46" s="3765"/>
      <c r="C46" s="3103" t="s">
        <v>2485</v>
      </c>
      <c r="D46" s="3104"/>
      <c r="E46" s="3105">
        <v>1</v>
      </c>
      <c r="F46" s="3102" t="s">
        <v>2486</v>
      </c>
      <c r="G46" s="3102"/>
    </row>
    <row r="47" spans="1:7" ht="19.5" customHeight="1">
      <c r="A47" s="3772"/>
      <c r="B47" s="3765"/>
      <c r="C47" s="3103" t="s">
        <v>2487</v>
      </c>
      <c r="D47" s="3104"/>
      <c r="E47" s="3105">
        <v>1</v>
      </c>
      <c r="F47" s="3102" t="s">
        <v>2488</v>
      </c>
      <c r="G47" s="3102"/>
    </row>
    <row r="48" spans="1:7" ht="19.5" customHeight="1">
      <c r="A48" s="3772"/>
      <c r="B48" s="3765"/>
      <c r="C48" s="3103" t="s">
        <v>2489</v>
      </c>
      <c r="D48" s="3104"/>
      <c r="E48" s="3105">
        <v>1</v>
      </c>
      <c r="F48" s="3102" t="s">
        <v>2490</v>
      </c>
      <c r="G48" s="3102"/>
    </row>
    <row r="49" spans="1:7" ht="19.5" customHeight="1">
      <c r="A49" s="3772"/>
      <c r="B49" s="3765"/>
      <c r="C49" s="3103" t="s">
        <v>2491</v>
      </c>
      <c r="D49" s="3104"/>
      <c r="E49" s="3105">
        <v>1</v>
      </c>
      <c r="F49" s="3102" t="s">
        <v>2492</v>
      </c>
      <c r="G49" s="3102"/>
    </row>
    <row r="50" spans="1:7" ht="19.5" customHeight="1">
      <c r="A50" s="3772"/>
      <c r="B50" s="3765"/>
      <c r="C50" s="3103" t="s">
        <v>2493</v>
      </c>
      <c r="D50" s="3104"/>
      <c r="E50" s="3105">
        <v>1</v>
      </c>
      <c r="F50" s="3102" t="s">
        <v>2494</v>
      </c>
      <c r="G50" s="3102"/>
    </row>
    <row r="51" spans="1:7" ht="19.5" customHeight="1" thickBot="1">
      <c r="A51" s="3773"/>
      <c r="B51" s="3766"/>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770" t="s">
        <v>2648</v>
      </c>
      <c r="C73" s="3088" t="s">
        <v>2649</v>
      </c>
      <c r="D73" s="3088" t="s">
        <v>2650</v>
      </c>
      <c r="E73" s="3114">
        <v>0.2</v>
      </c>
      <c r="F73" s="3114">
        <v>25</v>
      </c>
    </row>
    <row r="74" spans="1:7" ht="24">
      <c r="A74" s="3114">
        <v>2</v>
      </c>
      <c r="B74" s="3765"/>
      <c r="C74" s="3088" t="s">
        <v>2651</v>
      </c>
      <c r="D74" s="3088" t="s">
        <v>2652</v>
      </c>
      <c r="E74" s="3114">
        <v>0.2</v>
      </c>
      <c r="F74" s="3114">
        <v>25</v>
      </c>
    </row>
    <row r="75" spans="1:7" ht="24">
      <c r="A75" s="3114">
        <v>3</v>
      </c>
      <c r="B75" s="3765"/>
      <c r="C75" s="3088" t="s">
        <v>2653</v>
      </c>
      <c r="D75" s="3088" t="s">
        <v>2654</v>
      </c>
      <c r="E75" s="3114">
        <v>0.2</v>
      </c>
      <c r="F75" s="3114">
        <v>25</v>
      </c>
    </row>
    <row r="76" spans="1:7" ht="13.5">
      <c r="A76" s="3114">
        <v>4</v>
      </c>
      <c r="B76" s="3765"/>
      <c r="C76" s="3088" t="s">
        <v>2655</v>
      </c>
      <c r="D76" s="3088" t="s">
        <v>2656</v>
      </c>
      <c r="E76" s="3114">
        <v>0.15</v>
      </c>
      <c r="F76" s="3114">
        <v>20</v>
      </c>
    </row>
    <row r="77" spans="1:7" ht="24">
      <c r="A77" s="3114">
        <v>5</v>
      </c>
      <c r="B77" s="3765"/>
      <c r="C77" s="3088" t="s">
        <v>2657</v>
      </c>
      <c r="D77" s="3088" t="s">
        <v>2658</v>
      </c>
      <c r="E77" s="3114">
        <v>0.15</v>
      </c>
      <c r="F77" s="3114">
        <v>20</v>
      </c>
    </row>
    <row r="78" spans="1:7" ht="24">
      <c r="A78" s="3114">
        <v>6</v>
      </c>
      <c r="B78" s="3765"/>
      <c r="C78" s="3088" t="s">
        <v>2659</v>
      </c>
      <c r="D78" s="3088" t="s">
        <v>2660</v>
      </c>
      <c r="E78" s="3114">
        <v>0.15</v>
      </c>
      <c r="F78" s="3114">
        <v>20</v>
      </c>
    </row>
    <row r="79" spans="1:7" ht="24">
      <c r="A79" s="3114">
        <v>7</v>
      </c>
      <c r="B79" s="3765"/>
      <c r="C79" s="3088" t="s">
        <v>2661</v>
      </c>
      <c r="D79" s="3088" t="s">
        <v>2662</v>
      </c>
      <c r="E79" s="3114">
        <v>0.15</v>
      </c>
      <c r="F79" s="3114">
        <v>20</v>
      </c>
    </row>
    <row r="80" spans="1:7" ht="24">
      <c r="A80" s="3114">
        <v>8</v>
      </c>
      <c r="B80" s="3765"/>
      <c r="C80" s="3088" t="s">
        <v>2663</v>
      </c>
      <c r="D80" s="3088" t="s">
        <v>2664</v>
      </c>
      <c r="E80" s="3114">
        <v>0.1</v>
      </c>
      <c r="F80" s="3114">
        <v>15</v>
      </c>
    </row>
    <row r="81" spans="1:6" ht="24">
      <c r="A81" s="3114">
        <v>9</v>
      </c>
      <c r="B81" s="3765"/>
      <c r="C81" s="3088" t="s">
        <v>2665</v>
      </c>
      <c r="D81" s="3088" t="s">
        <v>2666</v>
      </c>
      <c r="E81" s="3114">
        <v>0.1</v>
      </c>
      <c r="F81" s="3114">
        <v>15</v>
      </c>
    </row>
    <row r="82" spans="1:6" ht="24">
      <c r="A82" s="3114">
        <v>10</v>
      </c>
      <c r="B82" s="3765"/>
      <c r="C82" s="3088" t="s">
        <v>2667</v>
      </c>
      <c r="D82" s="3088" t="s">
        <v>2668</v>
      </c>
      <c r="E82" s="3114">
        <v>0.1</v>
      </c>
      <c r="F82" s="3114">
        <v>15</v>
      </c>
    </row>
    <row r="83" spans="1:6" ht="24">
      <c r="A83" s="3114">
        <v>11</v>
      </c>
      <c r="B83" s="3765"/>
      <c r="C83" s="3088" t="s">
        <v>2669</v>
      </c>
      <c r="D83" s="3088" t="s">
        <v>2670</v>
      </c>
      <c r="E83" s="3114">
        <v>0.1</v>
      </c>
      <c r="F83" s="3114">
        <v>15</v>
      </c>
    </row>
    <row r="84" spans="1:6" ht="24">
      <c r="A84" s="3114">
        <v>12</v>
      </c>
      <c r="B84" s="3765"/>
      <c r="C84" s="3088" t="s">
        <v>2671</v>
      </c>
      <c r="D84" s="3088" t="s">
        <v>2672</v>
      </c>
      <c r="E84" s="3114">
        <v>0.1</v>
      </c>
      <c r="F84" s="3114">
        <v>15</v>
      </c>
    </row>
    <row r="85" spans="1:6" ht="13.5">
      <c r="A85" s="3114">
        <v>13</v>
      </c>
      <c r="B85" s="3765"/>
      <c r="C85" s="3088" t="s">
        <v>2673</v>
      </c>
      <c r="D85" s="3088" t="s">
        <v>2674</v>
      </c>
      <c r="E85" s="3114">
        <v>0.1</v>
      </c>
      <c r="F85" s="3114">
        <v>15</v>
      </c>
    </row>
    <row r="86" spans="1:6" ht="13.5">
      <c r="A86" s="3114">
        <v>14</v>
      </c>
      <c r="B86" s="3765"/>
      <c r="C86" s="3088" t="s">
        <v>2675</v>
      </c>
      <c r="D86" s="3088" t="s">
        <v>2676</v>
      </c>
      <c r="E86" s="3114">
        <v>0.1</v>
      </c>
      <c r="F86" s="3114">
        <v>15</v>
      </c>
    </row>
    <row r="87" spans="1:6" ht="13.5">
      <c r="A87" s="3114">
        <v>15</v>
      </c>
      <c r="B87" s="3765"/>
      <c r="C87" s="3088" t="s">
        <v>2677</v>
      </c>
      <c r="D87" s="3088" t="s">
        <v>2678</v>
      </c>
      <c r="E87" s="3114">
        <v>0.1</v>
      </c>
      <c r="F87" s="3114">
        <v>15</v>
      </c>
    </row>
    <row r="88" spans="1:6" ht="24">
      <c r="A88" s="3114">
        <v>16</v>
      </c>
      <c r="B88" s="3765"/>
      <c r="C88" s="3088" t="s">
        <v>2679</v>
      </c>
      <c r="D88" s="3088" t="s">
        <v>2680</v>
      </c>
      <c r="E88" s="3114">
        <v>0.1</v>
      </c>
      <c r="F88" s="3114">
        <v>15</v>
      </c>
    </row>
    <row r="89" spans="1:6" ht="24">
      <c r="A89" s="3114">
        <v>17</v>
      </c>
      <c r="B89" s="3774"/>
      <c r="C89" s="3088" t="s">
        <v>2681</v>
      </c>
      <c r="D89" s="3088" t="s">
        <v>2682</v>
      </c>
      <c r="E89" s="3114">
        <v>0.1</v>
      </c>
      <c r="F89" s="3114">
        <v>15</v>
      </c>
    </row>
    <row r="90" spans="1:6" ht="13.5">
      <c r="A90" s="3114">
        <v>18</v>
      </c>
      <c r="B90" s="3770" t="s">
        <v>2683</v>
      </c>
      <c r="C90" s="3088" t="s">
        <v>2684</v>
      </c>
      <c r="D90" s="3088" t="s">
        <v>2685</v>
      </c>
      <c r="E90" s="3114">
        <v>0.2</v>
      </c>
      <c r="F90" s="3114">
        <v>25</v>
      </c>
    </row>
    <row r="91" spans="1:6" ht="24">
      <c r="A91" s="3114">
        <v>19</v>
      </c>
      <c r="B91" s="3765"/>
      <c r="C91" s="3088" t="s">
        <v>2686</v>
      </c>
      <c r="D91" s="3088" t="s">
        <v>2687</v>
      </c>
      <c r="E91" s="3114">
        <v>0.2</v>
      </c>
      <c r="F91" s="3114">
        <v>25</v>
      </c>
    </row>
    <row r="92" spans="1:6" ht="13.5">
      <c r="A92" s="3114">
        <v>20</v>
      </c>
      <c r="B92" s="3765"/>
      <c r="C92" s="3088" t="s">
        <v>2688</v>
      </c>
      <c r="D92" s="3088" t="s">
        <v>2689</v>
      </c>
      <c r="E92" s="3114">
        <v>0.15</v>
      </c>
      <c r="F92" s="3114">
        <v>20</v>
      </c>
    </row>
    <row r="93" spans="1:6" ht="13.5">
      <c r="A93" s="3114">
        <v>21</v>
      </c>
      <c r="B93" s="3765"/>
      <c r="C93" s="3088" t="s">
        <v>2690</v>
      </c>
      <c r="D93" s="3088" t="s">
        <v>2691</v>
      </c>
      <c r="E93" s="3114">
        <v>0.15</v>
      </c>
      <c r="F93" s="3114">
        <v>20</v>
      </c>
    </row>
    <row r="94" spans="1:6" ht="13.5">
      <c r="A94" s="3114">
        <v>22</v>
      </c>
      <c r="B94" s="3765"/>
      <c r="C94" s="3088" t="s">
        <v>2692</v>
      </c>
      <c r="D94" s="3088" t="s">
        <v>2693</v>
      </c>
      <c r="E94" s="3114">
        <v>0.15</v>
      </c>
      <c r="F94" s="3114">
        <v>20</v>
      </c>
    </row>
    <row r="95" spans="1:6" ht="36">
      <c r="A95" s="3114">
        <v>23</v>
      </c>
      <c r="B95" s="3765"/>
      <c r="C95" s="3088" t="s">
        <v>2694</v>
      </c>
      <c r="D95" s="3088" t="s">
        <v>2695</v>
      </c>
      <c r="E95" s="3114">
        <v>0.15</v>
      </c>
      <c r="F95" s="3114">
        <v>20</v>
      </c>
    </row>
    <row r="96" spans="1:6" ht="13.5">
      <c r="A96" s="3114">
        <v>24</v>
      </c>
      <c r="B96" s="3765"/>
      <c r="C96" s="3088" t="s">
        <v>2696</v>
      </c>
      <c r="D96" s="3088" t="s">
        <v>2697</v>
      </c>
      <c r="E96" s="3114">
        <v>0.1</v>
      </c>
      <c r="F96" s="3114">
        <v>15</v>
      </c>
    </row>
    <row r="97" spans="1:6" ht="13.5">
      <c r="A97" s="3114">
        <v>25</v>
      </c>
      <c r="B97" s="3765"/>
      <c r="C97" s="3088" t="s">
        <v>2698</v>
      </c>
      <c r="D97" s="3088" t="s">
        <v>2699</v>
      </c>
      <c r="E97" s="3114">
        <v>0.1</v>
      </c>
      <c r="F97" s="3114">
        <v>15</v>
      </c>
    </row>
    <row r="98" spans="1:6" ht="24">
      <c r="A98" s="3114">
        <v>26</v>
      </c>
      <c r="B98" s="3765"/>
      <c r="C98" s="3088" t="s">
        <v>2700</v>
      </c>
      <c r="D98" s="3088" t="s">
        <v>2701</v>
      </c>
      <c r="E98" s="3114">
        <v>0.1</v>
      </c>
      <c r="F98" s="3114">
        <v>15</v>
      </c>
    </row>
    <row r="99" spans="1:6" ht="24">
      <c r="A99" s="3114">
        <v>27</v>
      </c>
      <c r="B99" s="3765"/>
      <c r="C99" s="3088" t="s">
        <v>2702</v>
      </c>
      <c r="D99" s="3088" t="s">
        <v>2703</v>
      </c>
      <c r="E99" s="3114">
        <v>0.1</v>
      </c>
      <c r="F99" s="3114">
        <v>15</v>
      </c>
    </row>
    <row r="100" spans="1:6" ht="13.5">
      <c r="A100" s="3114">
        <v>28</v>
      </c>
      <c r="B100" s="3765"/>
      <c r="C100" s="3088" t="s">
        <v>2704</v>
      </c>
      <c r="D100" s="3088" t="s">
        <v>2705</v>
      </c>
      <c r="E100" s="3114">
        <v>0.1</v>
      </c>
      <c r="F100" s="3114">
        <v>15</v>
      </c>
    </row>
    <row r="101" spans="1:6" ht="13.5">
      <c r="A101" s="3114">
        <v>29</v>
      </c>
      <c r="B101" s="3765"/>
      <c r="C101" s="3088" t="s">
        <v>2706</v>
      </c>
      <c r="D101" s="3088" t="s">
        <v>2707</v>
      </c>
      <c r="E101" s="3114">
        <v>0.1</v>
      </c>
      <c r="F101" s="3114">
        <v>15</v>
      </c>
    </row>
    <row r="102" spans="1:6" ht="13.5">
      <c r="A102" s="3114">
        <v>30</v>
      </c>
      <c r="B102" s="3765"/>
      <c r="C102" s="3088" t="s">
        <v>2708</v>
      </c>
      <c r="D102" s="3088" t="s">
        <v>2709</v>
      </c>
      <c r="E102" s="3114">
        <v>0.1</v>
      </c>
      <c r="F102" s="3114">
        <v>15</v>
      </c>
    </row>
    <row r="103" spans="1:6" ht="24">
      <c r="A103" s="3114">
        <v>31</v>
      </c>
      <c r="B103" s="3765"/>
      <c r="C103" s="3088" t="s">
        <v>2710</v>
      </c>
      <c r="D103" s="3088" t="s">
        <v>2711</v>
      </c>
      <c r="E103" s="3114">
        <v>0.1</v>
      </c>
      <c r="F103" s="3114">
        <v>15</v>
      </c>
    </row>
    <row r="104" spans="1:6" ht="24">
      <c r="A104" s="3114">
        <v>32</v>
      </c>
      <c r="B104" s="3765"/>
      <c r="C104" s="3088" t="s">
        <v>2712</v>
      </c>
      <c r="D104" s="3088" t="s">
        <v>2713</v>
      </c>
      <c r="E104" s="3114">
        <v>0.1</v>
      </c>
      <c r="F104" s="3114">
        <v>15</v>
      </c>
    </row>
    <row r="105" spans="1:6" ht="24">
      <c r="A105" s="3114">
        <v>33</v>
      </c>
      <c r="B105" s="3765"/>
      <c r="C105" s="3088" t="s">
        <v>2714</v>
      </c>
      <c r="D105" s="3088" t="s">
        <v>2715</v>
      </c>
      <c r="E105" s="3114">
        <v>0.1</v>
      </c>
      <c r="F105" s="3114">
        <v>15</v>
      </c>
    </row>
    <row r="106" spans="1:6" ht="24">
      <c r="A106" s="3114">
        <v>34</v>
      </c>
      <c r="B106" s="3774"/>
      <c r="C106" s="3088" t="s">
        <v>2716</v>
      </c>
      <c r="D106" s="3088" t="s">
        <v>2717</v>
      </c>
      <c r="E106" s="3114">
        <v>0.1</v>
      </c>
      <c r="F106" s="3114">
        <v>15</v>
      </c>
    </row>
    <row r="107" spans="1:6" ht="24">
      <c r="A107" s="3114">
        <v>35</v>
      </c>
      <c r="B107" s="3770" t="s">
        <v>2718</v>
      </c>
      <c r="C107" s="3114" t="s">
        <v>2719</v>
      </c>
      <c r="D107" s="3088" t="s">
        <v>2720</v>
      </c>
      <c r="E107" s="3114">
        <v>0.15</v>
      </c>
      <c r="F107" s="3114">
        <v>20</v>
      </c>
    </row>
    <row r="108" spans="1:6" ht="13.5">
      <c r="A108" s="3114">
        <v>36</v>
      </c>
      <c r="B108" s="3765"/>
      <c r="C108" s="3114" t="s">
        <v>2721</v>
      </c>
      <c r="D108" s="3088" t="s">
        <v>2722</v>
      </c>
      <c r="E108" s="3114">
        <v>0.15</v>
      </c>
      <c r="F108" s="3114">
        <v>20</v>
      </c>
    </row>
    <row r="109" spans="1:6" ht="13.5">
      <c r="A109" s="3114">
        <v>37</v>
      </c>
      <c r="B109" s="3765"/>
      <c r="C109" s="3114" t="s">
        <v>2723</v>
      </c>
      <c r="D109" s="3088" t="s">
        <v>2724</v>
      </c>
      <c r="E109" s="3114">
        <v>0.15</v>
      </c>
      <c r="F109" s="3114">
        <v>20</v>
      </c>
    </row>
    <row r="110" spans="1:6" ht="13.5">
      <c r="A110" s="3114">
        <v>38</v>
      </c>
      <c r="B110" s="3765"/>
      <c r="C110" s="3114" t="s">
        <v>2725</v>
      </c>
      <c r="D110" s="3088" t="s">
        <v>2726</v>
      </c>
      <c r="E110" s="3114">
        <v>0.1</v>
      </c>
      <c r="F110" s="3114">
        <v>15</v>
      </c>
    </row>
    <row r="111" spans="1:6" ht="24">
      <c r="A111" s="3114">
        <v>39</v>
      </c>
      <c r="B111" s="3765"/>
      <c r="C111" s="3114" t="s">
        <v>2727</v>
      </c>
      <c r="D111" s="3088" t="s">
        <v>2728</v>
      </c>
      <c r="E111" s="3114">
        <v>0.1</v>
      </c>
      <c r="F111" s="3114">
        <v>15</v>
      </c>
    </row>
    <row r="112" spans="1:6" ht="24">
      <c r="A112" s="3114">
        <v>40</v>
      </c>
      <c r="B112" s="3774"/>
      <c r="C112" s="3114" t="s">
        <v>2729</v>
      </c>
      <c r="D112" s="3088" t="s">
        <v>2730</v>
      </c>
      <c r="E112" s="3114">
        <v>0.1</v>
      </c>
      <c r="F112" s="3114">
        <v>15</v>
      </c>
    </row>
    <row r="113" spans="1:6" ht="13.5">
      <c r="A113" s="3114">
        <v>41</v>
      </c>
      <c r="B113" s="3775" t="s">
        <v>2731</v>
      </c>
      <c r="C113" s="3114" t="s">
        <v>2732</v>
      </c>
      <c r="D113" s="3088" t="s">
        <v>2733</v>
      </c>
      <c r="E113" s="3114">
        <v>0.1</v>
      </c>
      <c r="F113" s="3114">
        <v>15</v>
      </c>
    </row>
    <row r="114" spans="1:6" ht="13.5">
      <c r="A114" s="3114">
        <v>42</v>
      </c>
      <c r="B114" s="3775"/>
      <c r="C114" s="3114" t="s">
        <v>2734</v>
      </c>
      <c r="D114" s="3088" t="s">
        <v>2735</v>
      </c>
      <c r="E114" s="3114">
        <v>0.1</v>
      </c>
      <c r="F114" s="3114">
        <v>15</v>
      </c>
    </row>
    <row r="115" spans="1:6" ht="24">
      <c r="A115" s="3114">
        <v>43</v>
      </c>
      <c r="B115" s="3775"/>
      <c r="C115" s="3114" t="s">
        <v>2736</v>
      </c>
      <c r="D115" s="3088" t="s">
        <v>2737</v>
      </c>
      <c r="E115" s="3114">
        <v>0.1</v>
      </c>
      <c r="F115" s="3114">
        <v>15</v>
      </c>
    </row>
    <row r="116" spans="1:6" ht="13.5">
      <c r="A116" s="3114">
        <v>44</v>
      </c>
      <c r="B116" s="3770" t="s">
        <v>2738</v>
      </c>
      <c r="C116" s="3114" t="s">
        <v>2739</v>
      </c>
      <c r="D116" s="3088" t="s">
        <v>2740</v>
      </c>
      <c r="E116" s="3114">
        <v>0.1</v>
      </c>
      <c r="F116" s="3114">
        <v>15</v>
      </c>
    </row>
    <row r="117" spans="1:6" ht="24">
      <c r="A117" s="3114">
        <v>45</v>
      </c>
      <c r="B117" s="3774"/>
      <c r="C117" s="3088" t="s">
        <v>2741</v>
      </c>
      <c r="D117" s="3088" t="s">
        <v>2742</v>
      </c>
      <c r="E117" s="3114">
        <v>0.1</v>
      </c>
      <c r="F117" s="3114">
        <v>15</v>
      </c>
    </row>
    <row r="118" spans="1:6" ht="24">
      <c r="A118" s="3114">
        <v>46</v>
      </c>
      <c r="B118" s="3770" t="s">
        <v>2743</v>
      </c>
      <c r="C118" s="3114" t="s">
        <v>2744</v>
      </c>
      <c r="D118" s="3088" t="s">
        <v>2745</v>
      </c>
      <c r="E118" s="3114">
        <v>0.1</v>
      </c>
      <c r="F118" s="3114">
        <v>15</v>
      </c>
    </row>
    <row r="119" spans="1:6" ht="24">
      <c r="A119" s="3114">
        <v>47</v>
      </c>
      <c r="B119" s="3774"/>
      <c r="C119" s="3114" t="s">
        <v>2746</v>
      </c>
      <c r="D119" s="3088" t="s">
        <v>2747</v>
      </c>
      <c r="E119" s="3114">
        <v>0.1</v>
      </c>
      <c r="F119" s="3114">
        <v>15</v>
      </c>
    </row>
    <row r="120" spans="1:6" ht="13.5">
      <c r="A120" s="3114">
        <v>48</v>
      </c>
      <c r="B120" s="3770" t="s">
        <v>2748</v>
      </c>
      <c r="C120" s="3114" t="s">
        <v>2749</v>
      </c>
      <c r="D120" s="3088" t="s">
        <v>2750</v>
      </c>
      <c r="E120" s="3114">
        <v>0.1</v>
      </c>
      <c r="F120" s="3114">
        <v>15</v>
      </c>
    </row>
    <row r="121" spans="1:6" ht="13.5">
      <c r="A121" s="3114">
        <v>49</v>
      </c>
      <c r="B121" s="3774"/>
      <c r="C121" s="3114" t="s">
        <v>2751</v>
      </c>
      <c r="D121" s="3088" t="s">
        <v>2752</v>
      </c>
      <c r="E121" s="3114">
        <v>0.1</v>
      </c>
      <c r="F121" s="3114">
        <v>15</v>
      </c>
    </row>
    <row r="122" spans="1:6" ht="24">
      <c r="A122" s="3114">
        <v>50</v>
      </c>
      <c r="B122" s="3775" t="s">
        <v>2753</v>
      </c>
      <c r="C122" s="3114" t="s">
        <v>2754</v>
      </c>
      <c r="D122" s="3088" t="s">
        <v>2755</v>
      </c>
      <c r="E122" s="3114">
        <v>0.1</v>
      </c>
      <c r="F122" s="3114">
        <v>15</v>
      </c>
    </row>
    <row r="123" spans="1:6" ht="24">
      <c r="A123" s="3114">
        <v>51</v>
      </c>
      <c r="B123" s="3775"/>
      <c r="C123" s="3114" t="s">
        <v>2756</v>
      </c>
      <c r="D123" s="3088" t="s">
        <v>2757</v>
      </c>
      <c r="E123" s="3114">
        <v>0.1</v>
      </c>
      <c r="F123" s="3114">
        <v>15</v>
      </c>
    </row>
    <row r="124" spans="1:6" ht="24">
      <c r="A124" s="3114">
        <v>52</v>
      </c>
      <c r="B124" s="3775" t="s">
        <v>2758</v>
      </c>
      <c r="C124" s="3114" t="s">
        <v>2759</v>
      </c>
      <c r="D124" s="3088" t="s">
        <v>2760</v>
      </c>
      <c r="E124" s="3114">
        <v>0.1</v>
      </c>
      <c r="F124" s="3114">
        <v>15</v>
      </c>
    </row>
    <row r="125" spans="1:6" ht="24">
      <c r="A125" s="3114">
        <v>53</v>
      </c>
      <c r="B125" s="3775"/>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775" t="s">
        <v>2766</v>
      </c>
      <c r="C127" s="3114" t="s">
        <v>2767</v>
      </c>
      <c r="D127" s="3088" t="s">
        <v>2768</v>
      </c>
      <c r="E127" s="3114">
        <v>0.1</v>
      </c>
      <c r="F127" s="3114">
        <v>15</v>
      </c>
    </row>
    <row r="128" spans="1:6" ht="13.5">
      <c r="A128" s="3114">
        <v>56</v>
      </c>
      <c r="B128" s="3775"/>
      <c r="C128" s="3114" t="s">
        <v>2769</v>
      </c>
      <c r="D128" s="3088" t="s">
        <v>2770</v>
      </c>
      <c r="E128" s="3114">
        <v>0.1</v>
      </c>
      <c r="F128" s="3114">
        <v>15</v>
      </c>
    </row>
    <row r="129" spans="1:6" ht="24">
      <c r="A129" s="3114">
        <v>57</v>
      </c>
      <c r="B129" s="3775"/>
      <c r="C129" s="3114" t="s">
        <v>2771</v>
      </c>
      <c r="D129" s="3088" t="s">
        <v>2772</v>
      </c>
      <c r="E129" s="3114">
        <v>0.1</v>
      </c>
      <c r="F129" s="3114">
        <v>15</v>
      </c>
    </row>
    <row r="130" spans="1:6" ht="24">
      <c r="A130" s="3114">
        <v>58</v>
      </c>
      <c r="B130" s="3775" t="s">
        <v>2773</v>
      </c>
      <c r="C130" s="3114" t="s">
        <v>2774</v>
      </c>
      <c r="D130" s="3088" t="s">
        <v>2775</v>
      </c>
      <c r="E130" s="3114">
        <v>0.1</v>
      </c>
      <c r="F130" s="3114">
        <v>15</v>
      </c>
    </row>
    <row r="131" spans="1:6" ht="13.5">
      <c r="A131" s="3114">
        <v>59</v>
      </c>
      <c r="B131" s="3775"/>
      <c r="C131" s="3114" t="s">
        <v>2776</v>
      </c>
      <c r="D131" s="3088" t="s">
        <v>2777</v>
      </c>
      <c r="E131" s="3114">
        <v>0.1</v>
      </c>
      <c r="F131" s="3114">
        <v>15</v>
      </c>
    </row>
    <row r="132" spans="1:6" ht="13.5">
      <c r="A132" s="3114">
        <v>60</v>
      </c>
      <c r="B132" s="3770" t="s">
        <v>2778</v>
      </c>
      <c r="C132" s="3114" t="s">
        <v>2779</v>
      </c>
      <c r="D132" s="3088" t="s">
        <v>2780</v>
      </c>
      <c r="E132" s="3114">
        <v>0.1</v>
      </c>
      <c r="F132" s="3114">
        <v>15</v>
      </c>
    </row>
    <row r="133" spans="1:6" ht="13.5">
      <c r="A133" s="3114">
        <v>61</v>
      </c>
      <c r="B133" s="3774"/>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775" t="s">
        <v>2786</v>
      </c>
      <c r="C135" s="3114" t="s">
        <v>2787</v>
      </c>
      <c r="D135" s="3088" t="s">
        <v>2788</v>
      </c>
      <c r="E135" s="3114">
        <v>0.1</v>
      </c>
      <c r="F135" s="3114">
        <v>15</v>
      </c>
    </row>
    <row r="136" spans="1:6" ht="13.5">
      <c r="A136" s="3114">
        <v>64</v>
      </c>
      <c r="B136" s="3775"/>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2795</v>
      </c>
      <c r="B1" s="3123"/>
      <c r="C1" s="3123"/>
      <c r="D1" s="3123"/>
      <c r="E1" s="3123"/>
      <c r="F1" s="3123"/>
      <c r="G1" s="3123"/>
      <c r="H1" s="3123"/>
      <c r="I1" s="3123"/>
      <c r="J1" s="3123"/>
      <c r="K1" s="3123"/>
      <c r="L1" s="3123"/>
      <c r="M1" s="3123"/>
      <c r="N1" s="749"/>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50">
        <f>SUMPRODUCT((A95:A184=ROUNDDOWN(基准地价修正!G3,1))*(B94:M94=基准地价修正!G2)*(B95:M184))</f>
        <v>1</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50">
        <f>SUMPRODUCT((A371:A460=ROUNDDOWN(基准地价修正!G3,1))*(B370:M370=基准地价修正!G2)*(B371:M460))</f>
        <v>0.94710000000000005</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30630</v>
      </c>
      <c r="C2" s="2" t="s">
        <v>106</v>
      </c>
      <c r="D2" s="199"/>
      <c r="E2" s="199"/>
      <c r="F2" s="199"/>
      <c r="G2" s="199"/>
    </row>
    <row r="3" spans="1:7" s="200" customFormat="1" ht="18" customHeight="1" thickBot="1">
      <c r="A3" s="203" t="s">
        <v>58</v>
      </c>
      <c r="B3" s="204">
        <f ca="1">ROUND(B2*10000/'数据-汇总表'!E3,0)</f>
        <v>1180756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259.41000000000003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259.41000000000003</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2238</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4247</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4247</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259.41000000000003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1.6000000000000001E-3</v>
      </c>
      <c r="D44" s="238"/>
      <c r="E44" s="238"/>
      <c r="F44" s="239"/>
      <c r="G44" s="3642"/>
    </row>
    <row r="45" spans="1:7" s="214" customFormat="1" ht="13.5" customHeight="1">
      <c r="A45" s="777" t="s">
        <v>341</v>
      </c>
      <c r="B45" s="244" t="s">
        <v>85</v>
      </c>
      <c r="C45" s="245">
        <f>C46</f>
        <v>24</v>
      </c>
      <c r="D45" s="235">
        <f>C47</f>
        <v>6.0000000000000001E-3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139</v>
      </c>
      <c r="D51" s="232"/>
      <c r="E51" s="232"/>
      <c r="F51" s="264"/>
      <c r="G51" s="234" t="s">
        <v>37</v>
      </c>
    </row>
    <row r="52" spans="1:7" s="208" customFormat="1" ht="16.5" thickBot="1">
      <c r="A52" s="265" t="s">
        <v>38</v>
      </c>
      <c r="B52" s="266"/>
      <c r="C52" s="267">
        <f ca="1">C31+C51</f>
        <v>30630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883</v>
      </c>
      <c r="E5" s="1491"/>
    </row>
    <row r="6" spans="1:5" ht="15.75">
      <c r="A6" s="1491"/>
      <c r="B6" s="3459"/>
      <c r="C6" s="1494" t="s">
        <v>911</v>
      </c>
      <c r="D6" s="850" t="str">
        <f ca="1">NUMBERSTRING(INT(D5*10000),2)&amp;"元整"</f>
        <v>捌佰捌拾叁万元整</v>
      </c>
      <c r="E6" s="1491"/>
    </row>
    <row r="7" spans="1:5" ht="15.75">
      <c r="A7" s="1491"/>
      <c r="B7" s="3464"/>
      <c r="C7" s="1495" t="s">
        <v>912</v>
      </c>
      <c r="D7" s="851">
        <f ca="1">结果表!H102</f>
        <v>34043</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883</v>
      </c>
      <c r="E13" s="1491"/>
    </row>
    <row r="14" spans="1:5" ht="15.75">
      <c r="A14" s="1491"/>
      <c r="B14" s="3459"/>
      <c r="C14" s="1494" t="s">
        <v>911</v>
      </c>
      <c r="D14" s="850" t="str">
        <f ca="1">NUMBERSTRING(INT(D13*10000),2)&amp;"元整"</f>
        <v>捌佰捌拾叁万元整</v>
      </c>
      <c r="E14" s="1491"/>
    </row>
    <row r="15" spans="1:5" ht="15">
      <c r="A15" s="1491"/>
      <c r="B15" s="3464"/>
      <c r="C15" s="1495" t="s">
        <v>921</v>
      </c>
      <c r="D15" s="859">
        <f ca="1">结果表!H108</f>
        <v>34043</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8" t="s">
        <v>2842</v>
      </c>
      <c r="B1" s="3778"/>
      <c r="C1" s="3778"/>
      <c r="D1" s="3778"/>
      <c r="E1" s="3778"/>
      <c r="F1" s="3778"/>
      <c r="G1" s="377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6" t="s">
        <v>2869</v>
      </c>
      <c r="B3" s="3227"/>
      <c r="C3" s="3228" t="s">
        <v>2808</v>
      </c>
      <c r="D3" s="3228" t="s">
        <v>2870</v>
      </c>
      <c r="E3" s="3228" t="s">
        <v>2810</v>
      </c>
      <c r="F3" s="3228" t="s">
        <v>2871</v>
      </c>
      <c r="G3" s="3228" t="s">
        <v>2628</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0" t="s">
        <v>3184</v>
      </c>
      <c r="B1" s="3780"/>
    </row>
    <row r="2" spans="1:7" ht="14.25" thickBot="1">
      <c r="A2" s="3252"/>
      <c r="B2" s="3252"/>
    </row>
    <row r="3" spans="1:7" ht="14.25" thickBot="1">
      <c r="A3" s="3252"/>
      <c r="B3" s="3252"/>
      <c r="C3" s="3253" t="s">
        <v>2808</v>
      </c>
      <c r="D3" s="3253" t="s">
        <v>2870</v>
      </c>
      <c r="E3" s="3253" t="s">
        <v>2810</v>
      </c>
      <c r="F3" s="3253" t="s">
        <v>2871</v>
      </c>
      <c r="G3" s="3253" t="s">
        <v>2628</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1" t="s">
        <v>3235</v>
      </c>
      <c r="B1" s="3781"/>
      <c r="C1" s="3781"/>
      <c r="D1" s="3781"/>
      <c r="E1" s="3781"/>
      <c r="F1" s="378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8">
        <f>基准地价修正!G23</f>
        <v>44931</v>
      </c>
      <c r="B1" s="3207" t="s">
        <v>2841</v>
      </c>
      <c r="C1" s="3208"/>
      <c r="D1" s="3208"/>
      <c r="E1" s="3208"/>
      <c r="F1" s="3208"/>
      <c r="G1" s="3208"/>
      <c r="H1" s="3208"/>
      <c r="I1" s="3208"/>
      <c r="J1" s="3161"/>
      <c r="K1" s="3208" t="s">
        <v>454</v>
      </c>
      <c r="L1" s="3208"/>
      <c r="M1" s="3208"/>
      <c r="N1" s="3208"/>
      <c r="O1" s="3208"/>
      <c r="P1" s="3208"/>
      <c r="Q1" s="3161"/>
      <c r="R1" s="3783" t="s">
        <v>456</v>
      </c>
      <c r="S1" s="3784"/>
      <c r="T1" s="3784"/>
      <c r="U1" s="3784"/>
      <c r="V1" s="3784"/>
      <c r="W1" s="3784"/>
      <c r="X1" s="3161"/>
      <c r="Y1" s="3783" t="s">
        <v>457</v>
      </c>
      <c r="Z1" s="3784"/>
      <c r="AA1" s="3784"/>
      <c r="AB1" s="3784"/>
      <c r="AC1" s="3784"/>
      <c r="AD1" s="3784"/>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2817</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ROUND(IF([2]项目基本情况!B8="出让",SUMPRODUCT(PRODUCT(1+K5:K13)),SUMPRODUCT(PRODUCT(1+K5:K12))),4)</f>
        <v>1.05</v>
      </c>
      <c r="S5" s="3179">
        <f>ROUND(IF([2]项目基本情况!B8="出让",SUMPRODUCT(PRODUCT(1+L5:L13)),SUMPRODUCT(PRODUCT(1+L5:L12))),4)</f>
        <v>1.0229999999999999</v>
      </c>
      <c r="T5" s="3179">
        <f>ROUND(IF([2]项目基本情况!B8="出让",SUMPRODUCT(PRODUCT(1+M5:M13)),SUMPRODUCT(PRODUCT(1+M5:M12))),4)</f>
        <v>1.0134000000000001</v>
      </c>
      <c r="U5" s="3179">
        <f>ROUND(IF([2]项目基本情况!B8="出让",SUMPRODUCT(PRODUCT(1+N5:N13)),SUMPRODUCT(PRODUCT(1+N5:N12))),4)</f>
        <v>1.0545</v>
      </c>
      <c r="V5" s="3179">
        <f>ROUND(IF([2]项目基本情况!B8="出让",SUMPRODUCT(PRODUCT(1+O5:O13)),SUMPRODUCT(PRODUCT(1+O5:O12))),4)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2818</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ROUND(IF([2]项目基本情况!B8="出让",SUMPRODUCT(PRODUCT(1+K6:K13)),SUMPRODUCT(PRODUCT(1+K6:K12))),4)</f>
        <v>1.05</v>
      </c>
      <c r="S6" s="3179">
        <f>ROUND(IF([2]项目基本情况!B8="出让",SUMPRODUCT(PRODUCT(1+L6:L13)),SUMPRODUCT(PRODUCT(1+L6:L12))),4)</f>
        <v>1.0229999999999999</v>
      </c>
      <c r="T6" s="3179">
        <f>ROUND(IF([2]项目基本情况!B8="出让",SUMPRODUCT(PRODUCT(1+M6:M13)),SUMPRODUCT(PRODUCT(1+M6:M12))),4)</f>
        <v>1.0134000000000001</v>
      </c>
      <c r="U6" s="3179">
        <f>ROUND(IF([2]项目基本情况!B8="出让",SUMPRODUCT(PRODUCT(1+N6:N13)),SUMPRODUCT(PRODUCT(1+N6:N12))),4)</f>
        <v>1.0545</v>
      </c>
      <c r="V6" s="3179">
        <f>ROUND(IF([2]项目基本情况!B8="出让",SUMPRODUCT(PRODUCT(1+O6:O13)),SUMPRODUCT(PRODUCT(1+O6:O12))),4)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3358</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ROUND(IF([2]项目基本情况!B8="出让",SUMPRODUCT(PRODUCT(1+K7:K13)),SUMPRODUCT(PRODUCT(1+K7:K12))),4)</f>
        <v>1.05</v>
      </c>
      <c r="S7" s="3189">
        <f>ROUND(IF([2]项目基本情况!B8="出让",SUMPRODUCT(PRODUCT(1+L7:L13)),SUMPRODUCT(PRODUCT(1+L7:L12))),4)</f>
        <v>1.0229999999999999</v>
      </c>
      <c r="T7" s="3189">
        <f>ROUND(IF([2]项目基本情况!B8="出让",SUMPRODUCT(PRODUCT(1+M7:M13)),SUMPRODUCT(PRODUCT(1+M7:M12))),4)</f>
        <v>1.0134000000000001</v>
      </c>
      <c r="U7" s="3189">
        <f>ROUND(IF([2]项目基本情况!B8="出让",SUMPRODUCT(PRODUCT(1+N7:N13)),SUMPRODUCT(PRODUCT(1+N7:N12))),4)</f>
        <v>1.0545</v>
      </c>
      <c r="V7" s="3189">
        <f>ROUND(IF([2]项目基本情况!B8="出让",SUMPRODUCT(PRODUCT(1+O7:O13)),SUMPRODUCT(PRODUCT(1+O7:O12))),4)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3359</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ROUND(IF([2]项目基本情况!B8="出让",SUMPRODUCT(PRODUCT(1+K8:K13)),SUMPRODUCT(PRODUCT(1+K8:K12))),4)</f>
        <v>1.0430999999999999</v>
      </c>
      <c r="S8" s="3179">
        <f>ROUND(IF([2]项目基本情况!B8="出让",SUMPRODUCT(PRODUCT(1+L8:L13)),SUMPRODUCT(PRODUCT(1+L8:L12))),4)</f>
        <v>1.0197000000000001</v>
      </c>
      <c r="T8" s="3179">
        <f>ROUND(IF([2]项目基本情况!B8="出让",SUMPRODUCT(PRODUCT(1+M8:M13)),SUMPRODUCT(PRODUCT(1+M8:M12))),4)</f>
        <v>1.0109999999999999</v>
      </c>
      <c r="U8" s="3179">
        <f>ROUND(IF([2]项目基本情况!B8="出让",SUMPRODUCT(PRODUCT(1+N8:N13)),SUMPRODUCT(PRODUCT(1+N8:N12))),4)</f>
        <v>1.0468999999999999</v>
      </c>
      <c r="V8" s="3179">
        <f>ROUND(IF([2]项目基本情况!B8="出让",SUMPRODUCT(PRODUCT(1+O8:O13)),SUMPRODUCT(PRODUCT(1+O8:O12))),4)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2819</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ROUND(IF([2]项目基本情况!B8="出让",SUMPRODUCT(PRODUCT(1+K9:K13)),SUMPRODUCT(PRODUCT(1+K9:K12))),4)</f>
        <v>1.0335000000000001</v>
      </c>
      <c r="S9" s="3179">
        <f>ROUND(IF([2]项目基本情况!B8="出让",SUMPRODUCT(PRODUCT(1+L9:L13)),SUMPRODUCT(PRODUCT(1+L9:L12))),4)</f>
        <v>1.0182</v>
      </c>
      <c r="T9" s="3179">
        <f>ROUND(IF([2]项目基本情况!B8="出让",SUMPRODUCT(PRODUCT(1+M9:M13)),SUMPRODUCT(PRODUCT(1+M9:M12))),4)</f>
        <v>1.0108999999999999</v>
      </c>
      <c r="U9" s="3179">
        <f>ROUND(IF([2]项目基本情况!B8="出让",SUMPRODUCT(PRODUCT(1+N9:N13)),SUMPRODUCT(PRODUCT(1+N9:N12))),4)</f>
        <v>1.0361</v>
      </c>
      <c r="V9" s="3179">
        <f>ROUND(IF([2]项目基本情况!B8="出让",SUMPRODUCT(PRODUCT(1+O9:O13)),SUMPRODUCT(PRODUCT(1+O9:O12))),4)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2820</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ROUND(IF([2]项目基本情况!B8="出让",SUMPRODUCT(PRODUCT(1+K10:K13)),SUMPRODUCT(PRODUCT(1+K10:K12))),4)</f>
        <v>1.0244</v>
      </c>
      <c r="S10" s="3179">
        <f>ROUND(IF([2]项目基本情况!B8="出让",SUMPRODUCT(PRODUCT(1+L10:L13)),SUMPRODUCT(PRODUCT(1+L10:L12))),4)</f>
        <v>1.0138</v>
      </c>
      <c r="T10" s="3179">
        <f>ROUND(IF([2]项目基本情况!B8="出让",SUMPRODUCT(PRODUCT(1+M10:M13)),SUMPRODUCT(PRODUCT(1+M10:M12))),4)</f>
        <v>1.0072000000000001</v>
      </c>
      <c r="U10" s="3179">
        <f>ROUND(IF([2]项目基本情况!B8="出让",SUMPRODUCT(PRODUCT(1+N10:N13)),SUMPRODUCT(PRODUCT(1+N10:N12))),4)</f>
        <v>1.0262</v>
      </c>
      <c r="V10" s="3179">
        <f>ROUND(IF([2]项目基本情况!B8="出让",SUMPRODUCT(PRODUCT(1+O10:O13)),SUMPRODUCT(PRODUCT(1+O10:O12))),4)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2821</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ROUND(IF([2]项目基本情况!B8="出让",SUMPRODUCT(PRODUCT(1+K11:K13)),SUMPRODUCT(PRODUCT(1+K11:K12))),4)</f>
        <v>1.0139</v>
      </c>
      <c r="S11" s="3179">
        <f>ROUND(IF([2]项目基本情况!B8="出让",SUMPRODUCT(PRODUCT(1+L11:L13)),SUMPRODUCT(PRODUCT(1+L11:L12))),4)</f>
        <v>1.0113000000000001</v>
      </c>
      <c r="T11" s="3179">
        <f>ROUND(IF([2]项目基本情况!B8="出让",SUMPRODUCT(PRODUCT(1+M11:M13)),SUMPRODUCT(PRODUCT(1+M11:M12))),4)</f>
        <v>1.0065</v>
      </c>
      <c r="U11" s="3179">
        <f>ROUND(IF([2]项目基本情况!B8="出让",SUMPRODUCT(PRODUCT(1+N11:N13)),SUMPRODUCT(PRODUCT(1+N11:N12))),4)</f>
        <v>1.0143</v>
      </c>
      <c r="V11" s="3179">
        <f>ROUND(IF([2]项目基本情况!B8="出让",SUMPRODUCT(PRODUCT(1+O11:O13)),SUMPRODUCT(PRODUCT(1+O11:O12))),4)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2822</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ROUND(IF([2]项目基本情况!B8="出让",SUMPRODUCT(PRODUCT(1+K12:K13)),SUMPRODUCT(PRODUCT(1+K12:K12))),4)</f>
        <v>1.0092000000000001</v>
      </c>
      <c r="S12" s="3179">
        <f>ROUND(IF([2]项目基本情况!B8="出让",SUMPRODUCT(PRODUCT(1+L12:L13)),SUMPRODUCT(PRODUCT(1+L12:L12))),4)</f>
        <v>1.0072000000000001</v>
      </c>
      <c r="T12" s="3179">
        <f>ROUND(IF([2]项目基本情况!B8="出让",SUMPRODUCT(PRODUCT(1+M12:M13)),SUMPRODUCT(PRODUCT(1+M12:M12))),4)</f>
        <v>1.0041</v>
      </c>
      <c r="U12" s="3179">
        <f>ROUND(IF([2]项目基本情况!B8="出让",SUMPRODUCT(PRODUCT(1+N12:N13)),SUMPRODUCT(PRODUCT(1+N12:N12))),4)</f>
        <v>1.0095000000000001</v>
      </c>
      <c r="V12" s="3179">
        <f>ROUND(IF([2]项目基本情况!B8="出让",SUMPRODUCT(PRODUCT(1+O12:O13)),SUMPRODUCT(PRODUCT(1+O12:O12))),4)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2823</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2824</v>
      </c>
    </row>
    <row r="17" spans="1:30" s="3005" customFormat="1"/>
    <row r="18" spans="1:30" s="3206" customFormat="1" ht="12.75">
      <c r="B18" s="3207" t="s">
        <v>2825</v>
      </c>
      <c r="C18" s="3208"/>
      <c r="D18" s="3208"/>
      <c r="E18" s="3208"/>
      <c r="F18" s="3208"/>
      <c r="G18" s="3208"/>
      <c r="H18" s="3208"/>
      <c r="I18" s="3208"/>
      <c r="J18" s="3161"/>
      <c r="K18" s="3208" t="s">
        <v>2826</v>
      </c>
      <c r="L18" s="3208"/>
      <c r="M18" s="3208"/>
      <c r="N18" s="3208"/>
      <c r="O18" s="3208"/>
      <c r="P18" s="3208"/>
      <c r="Q18" s="3161"/>
      <c r="R18" s="3783" t="s">
        <v>2827</v>
      </c>
      <c r="S18" s="3784"/>
      <c r="T18" s="3784"/>
      <c r="U18" s="3784"/>
      <c r="V18" s="3784"/>
      <c r="W18" s="3784"/>
      <c r="X18" s="3161"/>
      <c r="Y18" s="3783" t="s">
        <v>2828</v>
      </c>
      <c r="Z18" s="3784"/>
      <c r="AA18" s="3784"/>
      <c r="AB18" s="3784"/>
      <c r="AC18" s="3784"/>
      <c r="AD18" s="3784"/>
    </row>
    <row r="19" spans="1:30" s="3139" customFormat="1" ht="14.25" thickBot="1">
      <c r="B19" s="3140"/>
      <c r="C19" s="3141"/>
      <c r="D19" s="3142" t="s">
        <v>2829</v>
      </c>
      <c r="E19" s="3143" t="s">
        <v>2830</v>
      </c>
      <c r="F19" s="3143" t="s">
        <v>2831</v>
      </c>
      <c r="G19" s="3143" t="s">
        <v>2832</v>
      </c>
      <c r="H19" s="3143"/>
      <c r="I19" s="3143" t="s">
        <v>2833</v>
      </c>
      <c r="J19" s="3144"/>
      <c r="K19" s="3142" t="s">
        <v>2829</v>
      </c>
      <c r="L19" s="3143" t="s">
        <v>2830</v>
      </c>
      <c r="M19" s="3143" t="s">
        <v>2831</v>
      </c>
      <c r="N19" s="3143" t="s">
        <v>2832</v>
      </c>
      <c r="O19" s="3143"/>
      <c r="P19" s="3143" t="s">
        <v>2833</v>
      </c>
      <c r="Q19" s="3144"/>
      <c r="R19" s="3142" t="s">
        <v>2829</v>
      </c>
      <c r="S19" s="3143" t="s">
        <v>2830</v>
      </c>
      <c r="T19" s="3143" t="s">
        <v>2831</v>
      </c>
      <c r="U19" s="3143" t="s">
        <v>2832</v>
      </c>
      <c r="V19" s="3143"/>
      <c r="W19" s="3143" t="s">
        <v>2833</v>
      </c>
      <c r="X19" s="3144"/>
      <c r="Y19" s="3142" t="s">
        <v>2829</v>
      </c>
      <c r="Z19" s="3143" t="s">
        <v>2830</v>
      </c>
      <c r="AA19" s="3143" t="s">
        <v>2831</v>
      </c>
      <c r="AB19" s="3143" t="s">
        <v>2832</v>
      </c>
      <c r="AC19" s="3143"/>
      <c r="AD19" s="3143" t="s">
        <v>2833</v>
      </c>
    </row>
    <row r="20" spans="1:30" s="3157" customFormat="1" ht="12.75">
      <c r="A20" s="3145" t="s">
        <v>2834</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2835</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ROUND(IF([2]项目基本情况!$B$8="出让",SUMPRODUCT(PRODUCT(1+L22:L$30)),SUMPRODUCT(PRODUCT(1+L22:L$29))),4)</f>
        <v>1.0241</v>
      </c>
      <c r="T22" s="3179">
        <f>ROUND(IF([2]项目基本情况!$B$8="出让",SUMPRODUCT(PRODUCT(1+M22:M$30)),SUMPRODUCT(PRODUCT(1+M22:M$29))),4)</f>
        <v>1.0144</v>
      </c>
      <c r="U22" s="3179">
        <f>ROUND(IF([2]项目基本情况!$B$8="出让",SUMPRODUCT(PRODUCT(1+N22:N$30)),SUMPRODUCT(PRODUCT(1+N22:N$29))),4)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2836</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ROUND(IF([2]项目基本情况!$B$8="出让",SUMPRODUCT(PRODUCT(1+L23:L$30)),SUMPRODUCT(PRODUCT(1+L23:L$29))),4)</f>
        <v>1.0241</v>
      </c>
      <c r="T23" s="3179">
        <f>ROUND(IF([2]项目基本情况!$B$8="出让",SUMPRODUCT(PRODUCT(1+M23:M$30)),SUMPRODUCT(PRODUCT(1+M23:M$29))),4)</f>
        <v>1.0144</v>
      </c>
      <c r="U23" s="3179">
        <f>ROUND(IF([2]项目基本情况!$B$8="出让",SUMPRODUCT(PRODUCT(1+N23:N$30)),SUMPRODUCT(PRODUCT(1+N23:N$29))),4)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3360</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ROUND(IF([2]项目基本情况!$B$8="出让",SUMPRODUCT(PRODUCT(1+L24:L$30)),SUMPRODUCT(PRODUCT(1+L24:L$29))),4)</f>
        <v>1.0241</v>
      </c>
      <c r="T24" s="3189">
        <f>ROUND(IF([2]项目基本情况!$B$8="出让",SUMPRODUCT(PRODUCT(1+M24:M$30)),SUMPRODUCT(PRODUCT(1+M24:M$29))),4)</f>
        <v>1.0144</v>
      </c>
      <c r="U24" s="3189">
        <f>ROUND(IF([2]项目基本情况!$B$8="出让",SUMPRODUCT(PRODUCT(1+N24:N$30)),SUMPRODUCT(PRODUCT(1+N24:N$29))),4)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3359</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ROUND(IF([2]项目基本情况!$B$8="出让",SUMPRODUCT(PRODUCT(1+L25:L$30)),SUMPRODUCT(PRODUCT(1+L25:L$29))),4)</f>
        <v>1.0210999999999999</v>
      </c>
      <c r="T25" s="3179">
        <f>ROUND(IF([2]项目基本情况!$B$8="出让",SUMPRODUCT(PRODUCT(1+M25:M$30)),SUMPRODUCT(PRODUCT(1+M25:M$29))),4)</f>
        <v>1.0114000000000001</v>
      </c>
      <c r="U25" s="3179">
        <f>ROUND(IF([2]项目基本情况!$B$8="出让",SUMPRODUCT(PRODUCT(1+N25:N$30)),SUMPRODUCT(PRODUCT(1+N25:N$29))),4)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2837</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ROUND(IF([2]项目基本情况!$B$8="出让",SUMPRODUCT(PRODUCT(1+L26:L$30)),SUMPRODUCT(PRODUCT(1+L26:L$29))),4)</f>
        <v>1.0222</v>
      </c>
      <c r="T26" s="3179">
        <f>ROUND(IF([2]项目基本情况!$B$8="出让",SUMPRODUCT(PRODUCT(1+M26:M$30)),SUMPRODUCT(PRODUCT(1+M26:M$29))),4)</f>
        <v>1.0127999999999999</v>
      </c>
      <c r="U26" s="3179">
        <f>ROUND(IF([2]项目基本情况!$B$8="出让",SUMPRODUCT(PRODUCT(1+N26:N$30)),SUMPRODUCT(PRODUCT(1+N26:N$29))),4)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2838</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ROUND(IF([2]项目基本情况!$B$8="出让",SUMPRODUCT(PRODUCT(1+L27:L$30)),SUMPRODUCT(PRODUCT(1+L27:L$29))),4)</f>
        <v>1.0161</v>
      </c>
      <c r="T27" s="3179">
        <f>ROUND(IF([2]项目基本情况!$B$8="出让",SUMPRODUCT(PRODUCT(1+M27:M$30)),SUMPRODUCT(PRODUCT(1+M27:M$29))),4)</f>
        <v>1.0082</v>
      </c>
      <c r="U27" s="3179">
        <f>ROUND(IF([2]项目基本情况!$B$8="出让",SUMPRODUCT(PRODUCT(1+N27:N$30)),SUMPRODUCT(PRODUCT(1+N27:N$29))),4)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2839</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ROUND(IF([2]项目基本情况!$B$8="出让",SUMPRODUCT(PRODUCT(1+L28:L$30)),SUMPRODUCT(PRODUCT(1+L28:L$29))),4)</f>
        <v>1.0102</v>
      </c>
      <c r="T28" s="3179">
        <f>ROUND(IF([2]项目基本情况!$B$8="出让",SUMPRODUCT(PRODUCT(1+M28:M$30)),SUMPRODUCT(PRODUCT(1+M28:M$29))),4)</f>
        <v>1.0074000000000001</v>
      </c>
      <c r="U28" s="3179">
        <f>ROUND(IF([2]项目基本情况!$B$8="出让",SUMPRODUCT(PRODUCT(1+N28:N$30)),SUMPRODUCT(PRODUCT(1+N28:N$29))),4)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2840</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ROUND(IF([2]项目基本情况!$B$8="出让",SUMPRODUCT(PRODUCT(1+L29:L$30)),SUMPRODUCT(PRODUCT(1+L29:L$29))),4)</f>
        <v>1.0055000000000001</v>
      </c>
      <c r="T29" s="3179">
        <f>ROUND(IF([2]项目基本情况!$B$8="出让",SUMPRODUCT(PRODUCT(1+M29:M$30)),SUMPRODUCT(PRODUCT(1+M29:M$29))),4)</f>
        <v>1.0045999999999999</v>
      </c>
      <c r="U29" s="3179">
        <f>ROUND(IF([2]项目基本情况!$B$8="出让",SUMPRODUCT(PRODUCT(1+N29:N$30)),SUMPRODUCT(PRODUCT(1+N29:N$29))),4)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2823</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2307</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31" sqref="N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4:N46"/>
  <sheetViews>
    <sheetView topLeftCell="A19" workbookViewId="0">
      <selection activeCell="N44" sqref="N44"/>
    </sheetView>
  </sheetViews>
  <sheetFormatPr defaultRowHeight="13.5"/>
  <sheetData>
    <row r="44" spans="13:14">
      <c r="M44" s="3445" t="s">
        <v>3401</v>
      </c>
      <c r="N44">
        <f>ROUND(N45/N46,1)</f>
        <v>1.2</v>
      </c>
    </row>
    <row r="45" spans="13:14">
      <c r="M45" s="3445" t="s">
        <v>3402</v>
      </c>
      <c r="N45">
        <v>36145.24</v>
      </c>
    </row>
    <row r="46" spans="13:14">
      <c r="M46" s="3445" t="s">
        <v>3403</v>
      </c>
      <c r="N46">
        <v>29914.1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45">
      <c r="A4" s="1505" t="str">
        <f>项目基本情况!S2</f>
        <v>北京市朝阳区日坛北路17号院1号楼13层1301、1302号房地产</v>
      </c>
      <c r="B4" s="854">
        <f>项目基本情况!C17</f>
        <v>259.41000000000003</v>
      </c>
      <c r="C4" s="854">
        <f>项目基本情况!C18</f>
        <v>0</v>
      </c>
      <c r="D4" s="854">
        <f ca="1">结果表!D118</f>
        <v>788</v>
      </c>
      <c r="E4" s="854">
        <f ca="1">结果表!E118</f>
        <v>30366</v>
      </c>
      <c r="F4" s="854">
        <f ca="1">结果表!F118</f>
        <v>95</v>
      </c>
      <c r="G4" s="854">
        <f ca="1">结果表!G118</f>
        <v>3677</v>
      </c>
      <c r="H4" s="854">
        <f ca="1">结果表!H118</f>
        <v>883</v>
      </c>
      <c r="I4" s="854">
        <f ca="1">结果表!I118</f>
        <v>34043</v>
      </c>
    </row>
    <row r="5" spans="1:9" ht="30" customHeight="1">
      <c r="A5" s="3470" t="s">
        <v>927</v>
      </c>
      <c r="B5" s="3470"/>
      <c r="C5" s="3470"/>
      <c r="D5" s="3470" t="str">
        <f ca="1">结果表!D119</f>
        <v>柒佰捌拾捌万元整</v>
      </c>
      <c r="E5" s="3470"/>
      <c r="F5" s="3470" t="str">
        <f ca="1">结果表!F119</f>
        <v>玖拾伍万元整</v>
      </c>
      <c r="G5" s="3470"/>
      <c r="H5" s="3470" t="str">
        <f ca="1">结果表!H119</f>
        <v>捌佰捌拾叁万元整</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f ca="1">结果表!D122</f>
        <v>883</v>
      </c>
      <c r="E8" s="3471"/>
      <c r="F8" s="3471"/>
      <c r="G8" s="3471"/>
      <c r="H8" s="3471"/>
      <c r="I8" s="3471"/>
    </row>
    <row r="9" spans="1:9" ht="15">
      <c r="A9" s="3470" t="s">
        <v>927</v>
      </c>
      <c r="B9" s="3470"/>
      <c r="C9" s="3470"/>
      <c r="D9" s="3470" t="str">
        <f ca="1">结果表!D123</f>
        <v>捌佰捌拾叁万元整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44931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f ca="1">IF(C14&lt;B2,"已过期",1119980106)</f>
        <v>1119980106</v>
      </c>
      <c r="C14" s="2350">
        <v>44969</v>
      </c>
      <c r="D14" s="2346" t="str">
        <f t="shared" ca="1" si="0"/>
        <v>刘俊财（注册号：1119980106）</v>
      </c>
      <c r="E14" s="2347" t="s">
        <v>2156</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2158</v>
      </c>
      <c r="B17" s="3494"/>
      <c r="C17" s="3494"/>
      <c r="D17" s="3494"/>
      <c r="E17" s="3494"/>
      <c r="F17" s="3494"/>
      <c r="G17" s="3494"/>
      <c r="H17" s="3494"/>
    </row>
    <row r="18" spans="1:8" ht="24" customHeight="1">
      <c r="A18" s="3495" t="s">
        <v>2159</v>
      </c>
      <c r="B18" s="3495"/>
      <c r="C18" s="3495"/>
      <c r="D18" s="2343"/>
      <c r="E18" s="3496" t="s">
        <v>2160</v>
      </c>
      <c r="F18" s="3495"/>
      <c r="G18" s="3495"/>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土地信息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2023-01-05T08:26:10Z</dcterms:modified>
</cp:coreProperties>
</file>