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02427171-5A63-4D0F-BB1A-9C2316794478}" xr6:coauthVersionLast="47" xr6:coauthVersionMax="47" xr10:uidLastSave="{00000000-0000-0000-0000-000000000000}"/>
  <bookViews>
    <workbookView xWindow="-120" yWindow="-120" windowWidth="21840" windowHeight="13140" tabRatio="899" firstSheet="16"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state="hidden" r:id="rId10"/>
    <sheet name="Sheet1" sheetId="80" r:id="rId11"/>
    <sheet name="Sheet2" sheetId="90" r:id="rId12"/>
    <sheet name="定义" sheetId="10"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土地案例" sheetId="81" r:id="rId21"/>
    <sheet name="成本法" sheetId="68" r:id="rId22"/>
    <sheet name="成本法 (元)" sheetId="69" state="hidden" r:id="rId23"/>
    <sheet name="假设开发法" sheetId="12" state="hidden" r:id="rId24"/>
    <sheet name="收益法 (元)" sheetId="67" state="hidden" r:id="rId25"/>
    <sheet name="收益法-酒店模型" sheetId="77" state="hidden" r:id="rId26"/>
    <sheet name="土地比较法-工业" sheetId="40" r:id="rId27"/>
    <sheet name="收益法（汇总）" sheetId="70" r:id="rId28"/>
    <sheet name="比较法-商业" sheetId="33" state="hidden" r:id="rId29"/>
    <sheet name="比较法-车位" sheetId="35" state="hidden" r:id="rId30"/>
    <sheet name="比较法-仓储" sheetId="36" state="hidden" r:id="rId31"/>
    <sheet name="土地比较法-住宅、综合" sheetId="39" state="hidden" r:id="rId32"/>
    <sheet name="1、2厂房收益法" sheetId="15" r:id="rId33"/>
    <sheet name="3、4宿舍收益法" sheetId="82" r:id="rId34"/>
    <sheet name="5-9实验楼收益法" sheetId="83" r:id="rId35"/>
    <sheet name="10、11办公收益法" sheetId="84" r:id="rId36"/>
    <sheet name="地下车库收益法" sheetId="85" r:id="rId37"/>
    <sheet name="租金比较法-工业" sheetId="37" r:id="rId38"/>
    <sheet name="租金比较法-住宅" sheetId="21" r:id="rId39"/>
    <sheet name="租金比较法-办公" sheetId="34" r:id="rId40"/>
    <sheet name="工业出租案例" sheetId="86" r:id="rId41"/>
    <sheet name="住宅出租案例" sheetId="87" r:id="rId42"/>
    <sheet name="办公出租案例" sheetId="88" r:id="rId43"/>
    <sheet name="sheet1 (2)" sheetId="89" r:id="rId44"/>
    <sheet name="典型户型修正" sheetId="31" state="hidden" r:id="rId45"/>
    <sheet name="基准地价（汇总）" sheetId="76" state="hidden" r:id="rId46"/>
    <sheet name="基准地价修正" sheetId="43"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r:id="rId56"/>
  </sheets>
  <externalReferences>
    <externalReference r:id="rId57"/>
    <externalReference r:id="rId58"/>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'比较法-商业'!$A$1:$L$49</definedName>
    <definedName name="_xlnm._FilterDatabase" localSheetId="14" hidden="1">'数据-基础表'!$A$12:$AT$587</definedName>
    <definedName name="_xlnm._FilterDatabase" localSheetId="26" hidden="1">'土地比较法-工业'!$A$1:$L$43</definedName>
    <definedName name="_xlnm._FilterDatabase" localSheetId="31" hidden="1">'土地比较法-住宅、综合'!$A$1:$L$48</definedName>
    <definedName name="_xlnm._FilterDatabase" localSheetId="13" hidden="1">项目基本情况!$A$42:$N$42</definedName>
    <definedName name="_xlnm._FilterDatabase" localSheetId="39" hidden="1">'租金比较法-办公'!$A$1:$L$50</definedName>
    <definedName name="_xlnm._FilterDatabase" localSheetId="37" hidden="1">'租金比较法-工业'!$A$1:$L$43</definedName>
    <definedName name="_xlnm._FilterDatabase" localSheetId="38" hidden="1">'租金比较法-住宅'!$A$1:$L$49</definedName>
    <definedName name="_xlnm.Print_Area" localSheetId="32">'1、2厂房收益法'!$A$1:$F$43,'1、2厂房收益法'!$H$3:$M$29,'1、2厂房收益法'!$A$46:$F$71,'1、2厂房收益法'!$I$46:$N$65</definedName>
    <definedName name="_xlnm.Print_Area" localSheetId="35">'10、11办公收益法'!$A$1:$F$43,'10、11办公收益法'!$H$3:$M$29,'10、11办公收益法'!$A$46:$F$71,'10、11办公收益法'!$I$46:$N$65</definedName>
    <definedName name="_xlnm.Print_Area" localSheetId="33">'3、4宿舍收益法'!$A$1:$F$43,'3、4宿舍收益法'!$H$3:$M$29,'3、4宿舍收益法'!$A$46:$F$71,'3、4宿舍收益法'!$I$46:$N$65</definedName>
    <definedName name="_xlnm.Print_Area" localSheetId="34">'5-9实验楼收益法'!$A$1:$F$43,'5-9实验楼收益法'!$H$3:$M$29,'5-9实验楼收益法'!$A$46:$F$71,'5-9实验楼收益法'!$I$46:$N$65</definedName>
    <definedName name="_xlnm.Print_Area" localSheetId="30">'比较法-仓储'!$A$1:$K$42,'比较法-仓储'!$A$45:$M$96</definedName>
    <definedName name="_xlnm.Print_Area" localSheetId="29">'比较法-车位'!$A$1:$K$44,'比较法-车位'!$A$47:$M$102</definedName>
    <definedName name="_xlnm.Print_Area" localSheetId="28">'比较法-商业'!$A$1:$K$54,'比较法-商业'!$A$57:$M$131</definedName>
    <definedName name="_xlnm.Print_Area" localSheetId="21">成本法!$A$1:$G$57</definedName>
    <definedName name="_xlnm.Print_Area" localSheetId="22">'成本法 (元)'!$A$1:$G$57</definedName>
    <definedName name="_xlnm.Print_Area" localSheetId="36">地下车库收益法!$A$1:$F$43,地下车库收益法!$H$3:$M$29,地下车库收益法!$A$46:$F$71,地下车库收益法!$I$46:$N$65</definedName>
    <definedName name="_xlnm.Print_Area" localSheetId="17">估价对象房地状况!$A$1:$G$24</definedName>
    <definedName name="_xlnm.Print_Area" localSheetId="8">估价师及机构信息!$A$1:$G$22</definedName>
    <definedName name="_xlnm.Print_Area" localSheetId="45">'基准地价（汇总）'!$A$1:$E$13</definedName>
    <definedName name="_xlnm.Print_Area" localSheetId="46">基准地价修正!$A$1:$J$44,基准地价修正!$A$47:$H$101,基准地价修正!$R$1:$V$16</definedName>
    <definedName name="_xlnm.Print_Area" localSheetId="23">假设开发法!$A$1:$K$32</definedName>
    <definedName name="_xlnm.Print_Area" localSheetId="19">结果表!$A$1:$I$127</definedName>
    <definedName name="_xlnm.Print_Area" localSheetId="24">'收益法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26">'土地比较法-工业'!$A$1:$K$61,'土地比较法-工业'!$A$64:$M$121</definedName>
    <definedName name="_xlnm.Print_Area" localSheetId="31">'土地比较法-住宅、综合'!$A$1:$K$65,'土地比较法-住宅、综合'!$A$68:$M$131</definedName>
    <definedName name="_xlnm.Print_Area" localSheetId="18">系统读取表!$A$1:$I$26</definedName>
    <definedName name="_xlnm.Print_Area" localSheetId="13">项目基本情况!$A$1:$I$38</definedName>
    <definedName name="_xlnm.Print_Area" localSheetId="39">'租金比较法-办公'!$A$1:$K$55,'租金比较法-办公'!$A$58:$M$132</definedName>
    <definedName name="_xlnm.Print_Area" localSheetId="37">'租金比较法-工业'!$A$1:$K$48,'租金比较法-工业'!$A$51:$M$113</definedName>
    <definedName name="_xlnm.Print_Area" localSheetId="38">'租金比较法-住宅'!$A$1:$K$54,'租金比较法-住宅'!$A$57:$M$131</definedName>
    <definedName name="八级">区片价!$P$1:$P$44</definedName>
    <definedName name="办公层高" localSheetId="10">'[1]租金比较法-办公'!$B$119:$M$119</definedName>
    <definedName name="办公层高" localSheetId="20">'[1]租金比较法-办公'!$B$119:$M$119</definedName>
    <definedName name="办公层高">'租金比较法-办公'!$B$119:$M$119</definedName>
    <definedName name="办公朝向" localSheetId="10">'[1]租金比较法-办公'!$B$91:$M$91</definedName>
    <definedName name="办公朝向" localSheetId="20">'[1]租金比较法-办公'!$B$91:$M$91</definedName>
    <definedName name="办公朝向">'租金比较法-办公'!$B$91:$M$91</definedName>
    <definedName name="办公道路级别" localSheetId="10">'[1]租金比较法-办公'!$B$87:$M$87</definedName>
    <definedName name="办公道路级别" localSheetId="20">'[1]租金比较法-办公'!$B$87:$M$87</definedName>
    <definedName name="办公道路级别">'租金比较法-办公'!$B$87:$M$87</definedName>
    <definedName name="办公公共部分装修" localSheetId="10">'[1]租金比较法-办公'!$B$108:$M$108</definedName>
    <definedName name="办公公共部分装修" localSheetId="20">'[1]租金比较法-办公'!$B$108:$M$108</definedName>
    <definedName name="办公公共部分装修">'租金比较法-办公'!$B$108:$M$108</definedName>
    <definedName name="办公基础设施水平" localSheetId="10">'[1]租金比较法-办公'!$B$117:$M$117</definedName>
    <definedName name="办公基础设施水平" localSheetId="20">'[1]租金比较法-办公'!$B$117:$M$117</definedName>
    <definedName name="办公基础设施水平">'租金比较法-办公'!$B$117:$M$117</definedName>
    <definedName name="办公集聚程度" localSheetId="10">[1]定义!$M$1:$M$6</definedName>
    <definedName name="办公集聚程度" localSheetId="20">[1]定义!$M$1:$M$6</definedName>
    <definedName name="办公集聚程度">定义!$M$1:$M$6</definedName>
    <definedName name="办公建筑结构" localSheetId="10">'[1]租金比较法-办公'!$B$106:$M$106</definedName>
    <definedName name="办公建筑结构" localSheetId="20">'[1]租金比较法-办公'!$B$106:$M$106</definedName>
    <definedName name="办公建筑结构">'租金比较法-办公'!$B$106:$M$106</definedName>
    <definedName name="办公建筑类型" localSheetId="10">'[1]租金比较法-办公'!$B$101:$M$101</definedName>
    <definedName name="办公建筑类型" localSheetId="20">'[1]租金比较法-办公'!$B$101:$M$101</definedName>
    <definedName name="办公建筑类型">'租金比较法-办公'!$B$101:$M$101</definedName>
    <definedName name="办公交易情况" localSheetId="10">'[1]租金比较法-办公'!$A$62:$M$62</definedName>
    <definedName name="办公交易情况" localSheetId="20">'[1]租金比较法-办公'!$A$62:$M$62</definedName>
    <definedName name="办公交易情况">'租金比较法-办公'!$A$62:$M$62</definedName>
    <definedName name="办公楼层" localSheetId="10">'[1]租金比较法-办公'!$B$89:$M$89</definedName>
    <definedName name="办公楼层" localSheetId="20">'[1]租金比较法-办公'!$B$89:$M$89</definedName>
    <definedName name="办公楼层">'租金比较法-办公'!$B$89:$M$89</definedName>
    <definedName name="办公内部装修" localSheetId="10">'[1]租金比较法-办公'!$B$123:$M$123</definedName>
    <definedName name="办公内部装修" localSheetId="20">'[1]租金比较法-办公'!$B$123:$M$123</definedName>
    <definedName name="办公内部装修">'租金比较法-办公'!$B$123:$M$123</definedName>
    <definedName name="办公物业管理" localSheetId="10">'[1]租金比较法-办公'!$B$115:$M$115</definedName>
    <definedName name="办公物业管理" localSheetId="20">'[1]租金比较法-办公'!$B$115:$M$115</definedName>
    <definedName name="办公物业管理">'租金比较法-办公'!$B$115:$M$115</definedName>
    <definedName name="办公用途" localSheetId="10">'[1]租金比较法-办公'!$B$64:$M$64</definedName>
    <definedName name="办公用途" localSheetId="20">'[1]租金比较法-办公'!$B$64:$M$64</definedName>
    <definedName name="办公用途">'租金比较法-办公'!$B$64:$M$64</definedName>
    <definedName name="仓储公共部分装修" localSheetId="10">'[1]比较法-仓储'!$B$77:$M$77</definedName>
    <definedName name="仓储公共部分装修" localSheetId="20">'[1]比较法-仓储'!$B$77:$M$77</definedName>
    <definedName name="仓储公共部分装修">'比较法-仓储'!$B$77:$M$77</definedName>
    <definedName name="仓储交易情况" localSheetId="10">'[1]比较法-仓储'!$A$49:$M$49</definedName>
    <definedName name="仓储交易情况" localSheetId="20">'[1]比较法-仓储'!$A$49:$M$49</definedName>
    <definedName name="仓储交易情况">'比较法-仓储'!$A$49:$M$49</definedName>
    <definedName name="仓储楼层" localSheetId="10">'[1]比较法-仓储'!$B$69:$M$69</definedName>
    <definedName name="仓储楼层" localSheetId="20">'[1]比较法-仓储'!$B$69:$M$69</definedName>
    <definedName name="仓储楼层">'比较法-仓储'!$B$69:$M$69</definedName>
    <definedName name="仓储物业等级" localSheetId="10">'[1]比较法-仓储'!$B$82:$M$82</definedName>
    <definedName name="仓储物业等级" localSheetId="20">'[1]比较法-仓储'!$B$82:$M$82</definedName>
    <definedName name="仓储物业等级">'比较法-仓储'!$B$82:$M$82</definedName>
    <definedName name="仓储用途" localSheetId="10">'[1]比较法-仓储'!$B$51:$M$51</definedName>
    <definedName name="仓储用途" localSheetId="20">'[1]比较法-仓储'!$B$51:$M$51</definedName>
    <definedName name="仓储用途">'比较法-仓储'!$B$51:$M$51</definedName>
    <definedName name="产业集聚程度" localSheetId="10">[1]定义!$N$1:$N$6</definedName>
    <definedName name="产业集聚程度" localSheetId="20">[1]定义!$N$1:$N$6</definedName>
    <definedName name="产业集聚程度">定义!$N$1:$N$6</definedName>
    <definedName name="车位公共部分装修" localSheetId="10">'[1]比较法-车位'!$B$83:$M$83</definedName>
    <definedName name="车位公共部分装修" localSheetId="20">'[1]比较法-车位'!$B$83:$M$83</definedName>
    <definedName name="车位公共部分装修">'比较法-车位'!$B$83:$M$83</definedName>
    <definedName name="车位交易情况" localSheetId="10">'[1]比较法-车位'!$A$51:$M$51</definedName>
    <definedName name="车位交易情况" localSheetId="20">'[1]比较法-车位'!$A$51:$M$51</definedName>
    <definedName name="车位交易情况">'比较法-车位'!$A$51:$M$51</definedName>
    <definedName name="车位类型" localSheetId="10">'[1]比较法-车位'!$B$93:$M$93</definedName>
    <definedName name="车位类型" localSheetId="20">'[1]比较法-车位'!$B$93:$M$93</definedName>
    <definedName name="车位类型">'比较法-车位'!$B$93:$M$93</definedName>
    <definedName name="车位楼层" localSheetId="10">'[1]比较法-车位'!$B$71:$M$71</definedName>
    <definedName name="车位楼层" localSheetId="20">'[1]比较法-车位'!$B$71:$M$71</definedName>
    <definedName name="车位楼层">'比较法-车位'!$B$71:$M$71</definedName>
    <definedName name="车位配套类型" localSheetId="10">'[1]比较法-车位'!$B$79:$M$79</definedName>
    <definedName name="车位配套类型" localSheetId="20">'[1]比较法-车位'!$B$79:$M$79</definedName>
    <definedName name="车位配套类型">'比较法-车位'!$B$79:$M$79</definedName>
    <definedName name="车位物业等级" localSheetId="10">'[1]比较法-车位'!$B$88:$M$88</definedName>
    <definedName name="车位物业等级" localSheetId="20">'[1]比较法-车位'!$B$88:$M$88</definedName>
    <definedName name="车位物业等级">'比较法-车位'!$B$88:$M$88</definedName>
    <definedName name="车位用途" localSheetId="10">'[1]比较法-车位'!$B$53:$M$53</definedName>
    <definedName name="车位用途" localSheetId="20">'[1]比较法-车位'!$B$53:$M$53</definedName>
    <definedName name="车位用途">'比较法-车位'!$B$53:$M$53</definedName>
    <definedName name="城镇土地纳税等级分级范围" localSheetId="10">'[1]数据-取费表'!$A$53:$A$63</definedName>
    <definedName name="城镇土地纳税等级分级范围" localSheetId="20">'[1]数据-取费表'!$A$53:$A$63</definedName>
    <definedName name="城镇土地纳税等级分级范围">'数据-取费表'!$A$53:$A$63</definedName>
    <definedName name="单价内涵" localSheetId="10">[1]定义!$V$1:$V$3</definedName>
    <definedName name="单价内涵" localSheetId="20">[1]定义!$V$1:$V$3</definedName>
    <definedName name="单价内涵">定义!$V$1:$V$3</definedName>
    <definedName name="地类判定" localSheetId="10">[1]定义!$H$1:$H$9</definedName>
    <definedName name="地类判定" localSheetId="20">[1]定义!$H$1:$H$9</definedName>
    <definedName name="地类判定">定义!$H$1:$H$9</definedName>
    <definedName name="二级">区片价!$J$1:$J$21</definedName>
    <definedName name="二级分类" localSheetId="10">[1]修正!$C$19:$C$51</definedName>
    <definedName name="二级分类" localSheetId="20">[1]修正!$C$19:$C$51</definedName>
    <definedName name="二级分类">修正!$C$19:$C$51</definedName>
    <definedName name="法定最高年限" localSheetId="10">[1]定义!$G$1:$G$6</definedName>
    <definedName name="法定最高年限" localSheetId="20">[1]定义!$G$1:$G$6</definedName>
    <definedName name="法定最高年限">定义!$G$1:$G$6</definedName>
    <definedName name="工业公共部分装修" localSheetId="10">'[1]租金比较法-工业'!$B$95:$M$95</definedName>
    <definedName name="工业公共部分装修" localSheetId="20">'[1]租金比较法-工业'!$B$95:$M$95</definedName>
    <definedName name="工业公共部分装修">'租金比较法-工业'!$B$95:$M$95</definedName>
    <definedName name="工业基础设施水平" localSheetId="10">'[1]租金比较法-工业'!$B$102:$M$102</definedName>
    <definedName name="工业基础设施水平" localSheetId="20">'[1]租金比较法-工业'!$B$102:$M$102</definedName>
    <definedName name="工业基础设施水平">'租金比较法-工业'!$B$102:$M$102</definedName>
    <definedName name="工业建筑结构" localSheetId="10">'[1]租金比较法-工业'!$B$93:$M$93</definedName>
    <definedName name="工业建筑结构" localSheetId="20">'[1]租金比较法-工业'!$B$93:$M$93</definedName>
    <definedName name="工业建筑结构">'租金比较法-工业'!$B$93:$M$93</definedName>
    <definedName name="工业建筑类型" localSheetId="10">'[1]租金比较法-工业'!$B$88:$M$88</definedName>
    <definedName name="工业建筑类型" localSheetId="20">'[1]租金比较法-工业'!$B$88:$M$88</definedName>
    <definedName name="工业建筑类型">'租金比较法-工业'!$B$88:$M$88</definedName>
    <definedName name="工业交易情况" localSheetId="10">'[1]租金比较法-工业'!$A$55:$M$55</definedName>
    <definedName name="工业交易情况" localSheetId="20">'[1]租金比较法-工业'!$A$55:$M$55</definedName>
    <definedName name="工业交易情况">'租金比较法-工业'!$A$55:$M$55</definedName>
    <definedName name="工业内部装修" localSheetId="10">'[1]租金比较法-工业'!$B$104:$M$104</definedName>
    <definedName name="工业内部装修" localSheetId="20">'[1]租金比较法-工业'!$B$104:$M$104</definedName>
    <definedName name="工业内部装修">'租金比较法-工业'!$B$104:$M$104</definedName>
    <definedName name="工业物业管理" localSheetId="10">'[1]租金比较法-工业'!$B$100:$M$100</definedName>
    <definedName name="工业物业管理" localSheetId="20">'[1]租金比较法-工业'!$B$100:$M$100</definedName>
    <definedName name="工业物业管理">'租金比较法-工业'!$B$100:$M$100</definedName>
    <definedName name="工业用途" localSheetId="10">'[1]租金比较法-工业'!$B$57:$M$57</definedName>
    <definedName name="工业用途" localSheetId="20">'[1]租金比较法-工业'!$B$57:$M$57</definedName>
    <definedName name="工业用途">'租金比较法-工业'!$B$57:$M$57</definedName>
    <definedName name="公共配套设施" localSheetId="10">[1]定义!$Q$1:$Q$6</definedName>
    <definedName name="公共配套设施" localSheetId="20">[1]定义!$Q$1:$Q$6</definedName>
    <definedName name="公共配套设施">定义!$Q$1:$Q$6</definedName>
    <definedName name="估价范围判定" localSheetId="10">[1]定义!$D$1:$D$4</definedName>
    <definedName name="估价范围判定" localSheetId="20">[1]定义!$D$1:$D$4</definedName>
    <definedName name="估价范围判定">定义!$D$1:$D$4</definedName>
    <definedName name="估价方法" localSheetId="10">[1]定义!$B$1:$B$50</definedName>
    <definedName name="估价方法" localSheetId="20">[1]定义!$B$1:$B$50</definedName>
    <definedName name="估价方法">定义!$B$1:$B$50</definedName>
    <definedName name="环境" localSheetId="10">[1]定义!$S$1:$S$6</definedName>
    <definedName name="环境" localSheetId="20">[1]定义!$S$1:$S$6</definedName>
    <definedName name="环境">定义!$S$1:$S$6</definedName>
    <definedName name="基础设施水平" localSheetId="10">[1]定义!$R$1:$R$6</definedName>
    <definedName name="基础设施水平" localSheetId="20">[1]定义!$R$1:$R$6</definedName>
    <definedName name="基础设施水平">定义!$R$1:$R$6</definedName>
    <definedName name="季度">基准地价修正!$Q$19:$AD$19</definedName>
    <definedName name="价值类型2" localSheetId="10">[1]定义!$B$54:$B$56</definedName>
    <definedName name="价值类型2" localSheetId="20">[1]定义!$B$54:$B$56</definedName>
    <definedName name="价值类型2">定义!$B$54:$B$56</definedName>
    <definedName name="交通便捷度" localSheetId="10">[1]定义!$O$1:$O$6</definedName>
    <definedName name="交通便捷度" localSheetId="20">[1]定义!$O$1:$O$6</definedName>
    <definedName name="交通便捷度">定义!$O$1:$O$6</definedName>
    <definedName name="九级">区片价!$Q$1:$Q$51</definedName>
    <definedName name="居住社区成熟度" localSheetId="10">[1]定义!$K$1:$K$6</definedName>
    <definedName name="居住社区成熟度" localSheetId="20">[1]定义!$K$1:$K$6</definedName>
    <definedName name="居住社区成熟度">定义!$K$1:$K$6</definedName>
    <definedName name="类别" localSheetId="10">[1]定义!$J$1:$J$3</definedName>
    <definedName name="类别" localSheetId="20">[1]定义!$J$1:$J$3</definedName>
    <definedName name="类别">定义!$J$1:$J$3</definedName>
    <definedName name="临街状况" localSheetId="10">[1]定义!$T$1:$T$5</definedName>
    <definedName name="临街状况" localSheetId="20">[1]定义!$T$1:$T$5</definedName>
    <definedName name="临街状况">定义!$T$1:$T$5</definedName>
    <definedName name="六级">区片价!$N$1:$N$64</definedName>
    <definedName name="内部装修维护情况" localSheetId="10">[1]定义!$U$1:$U$6</definedName>
    <definedName name="内部装修维护情况" localSheetId="20">[1]定义!$U$1:$U$6</definedName>
    <definedName name="内部装修维护情况">定义!$U$1:$U$6</definedName>
    <definedName name="七级">区片价!$O$1:$O$45</definedName>
    <definedName name="七通一平" localSheetId="10">[1]修正!$A$8:$A$16</definedName>
    <definedName name="七通一平" localSheetId="20">[1]修正!$A$8:$A$16</definedName>
    <definedName name="七通一平">修正!$A$8:$A$16</definedName>
    <definedName name="区域土地利用方向" localSheetId="10">[1]定义!$P$1:$P$6</definedName>
    <definedName name="区域土地利用方向" localSheetId="20">[1]定义!$P$1:$P$6</definedName>
    <definedName name="区域土地利用方向">定义!$P$1:$P$6</definedName>
    <definedName name="三级">区片价!$K$1:$K$26</definedName>
    <definedName name="商业层高" localSheetId="10">'[1]比较法-商业'!$B$116:$M$116</definedName>
    <definedName name="商业层高" localSheetId="20">'[1]比较法-商业'!$B$116:$M$116</definedName>
    <definedName name="商业层高">'比较法-商业'!$B$116:$M$116</definedName>
    <definedName name="商业成新度">'比较法-商业'!$B$109:$M$109</definedName>
    <definedName name="商业繁华度" localSheetId="10">[1]定义!$L$1:$L$6</definedName>
    <definedName name="商业繁华度" localSheetId="20">[1]定义!$L$1:$L$6</definedName>
    <definedName name="商业繁华度">定义!$L$1:$L$6</definedName>
    <definedName name="商业公共部分装修" localSheetId="10">'[1]比较法-商业'!$B$107:$M$107</definedName>
    <definedName name="商业公共部分装修" localSheetId="20">'[1]比较法-商业'!$B$107:$M$107</definedName>
    <definedName name="商业公共部分装修">'比较法-商业'!$B$107:$M$107</definedName>
    <definedName name="商业基础设施水平" localSheetId="10">'[1]比较法-商业'!$B$112:$M$112</definedName>
    <definedName name="商业基础设施水平" localSheetId="20">'[1]比较法-商业'!$B$112:$M$112</definedName>
    <definedName name="商业基础设施水平">'比较法-商业'!$B$112:$M$112</definedName>
    <definedName name="商业建筑结构" localSheetId="10">'[1]比较法-商业'!$B$105:$M$105</definedName>
    <definedName name="商业建筑结构" localSheetId="20">'[1]比较法-商业'!$B$105:$M$105</definedName>
    <definedName name="商业建筑结构">'比较法-商业'!$B$105:$M$105</definedName>
    <definedName name="商业交易情况" localSheetId="10">'[1]比较法-商业'!$A$61:$M$61</definedName>
    <definedName name="商业交易情况" localSheetId="20">'[1]比较法-商业'!$A$61:$M$61</definedName>
    <definedName name="商业交易情况">'比较法-商业'!$A$61:$M$61</definedName>
    <definedName name="商业街名称" localSheetId="10">[1]修正!$C$71:$C$138</definedName>
    <definedName name="商业街名称" localSheetId="20">[1]修正!$C$71:$C$138</definedName>
    <definedName name="商业街名称">修正!$C$71:$C$138</definedName>
    <definedName name="商业进深比" localSheetId="10">'[1]比较法-商业'!$B$120:$M$120</definedName>
    <definedName name="商业进深比" localSheetId="20">'[1]比较法-商业'!$B$120:$M$120</definedName>
    <definedName name="商业进深比">'比较法-商业'!$B$120:$M$120</definedName>
    <definedName name="商业类型" localSheetId="10">'[1]比较法-商业'!$B$100:$M$100</definedName>
    <definedName name="商业类型" localSheetId="20">'[1]比较法-商业'!$B$100:$M$100</definedName>
    <definedName name="商业类型">'比较法-商业'!$B$100:$M$100</definedName>
    <definedName name="商业临街状况" localSheetId="10">'[1]比较法-商业'!$B$86:$M$86</definedName>
    <definedName name="商业临街状况" localSheetId="20">'[1]比较法-商业'!$B$86:$M$86</definedName>
    <definedName name="商业临街状况">'比较法-商业'!$B$86:$M$86</definedName>
    <definedName name="商业楼层" localSheetId="10">'[1]比较法-商业'!$B$92:$M$92</definedName>
    <definedName name="商业楼层" localSheetId="20">'[1]比较法-商业'!$B$92:$M$92</definedName>
    <definedName name="商业楼层">'比较法-商业'!$B$92:$M$92</definedName>
    <definedName name="商业内部装修" localSheetId="10">'[1]比较法-商业'!$B$122:$M$122</definedName>
    <definedName name="商业内部装修" localSheetId="20">'[1]比较法-商业'!$B$122:$M$122</definedName>
    <definedName name="商业内部装修">'比较法-商业'!$B$122:$M$122</definedName>
    <definedName name="商业人流量" localSheetId="10">'[1]比较法-商业'!$B$90:$M$90</definedName>
    <definedName name="商业人流量" localSheetId="20">'[1]比较法-商业'!$B$90:$M$90</definedName>
    <definedName name="商业人流量">'比较法-商业'!$B$90:$M$90</definedName>
    <definedName name="商业业态" localSheetId="10">'[1]比较法-商业'!$B$114:$M$114</definedName>
    <definedName name="商业业态" localSheetId="20">'[1]比较法-商业'!$B$114:$M$114</definedName>
    <definedName name="商业业态">'比较法-商业'!$B$114:$M$114</definedName>
    <definedName name="商业用途" localSheetId="10">'[1]比较法-商业'!$B$63:$M$63</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0">'[1]比较法-仓储'!$B$89:$M$89</definedName>
    <definedName name="是否封闭" localSheetId="20">'[1]比较法-仓储'!$B$89:$M$89</definedName>
    <definedName name="是否封闭">'比较法-仓储'!$B$89:$M$89</definedName>
    <definedName name="是否直接入户" localSheetId="10">'[1]比较法-车位'!$B$95:$M$95</definedName>
    <definedName name="是否直接入户" localSheetId="20">'[1]比较法-车位'!$B$95:$M$95</definedName>
    <definedName name="是否直接入户">'比较法-车位'!$B$95:$M$95</definedName>
    <definedName name="四级">区片价!$L$1:$L$33</definedName>
    <definedName name="套工道路等级" localSheetId="10">'[1]土地比较法-工业'!$B$97:$M$97</definedName>
    <definedName name="套工道路等级" localSheetId="20">'[1]土地比较法-工业'!$B$97:$M$97</definedName>
    <definedName name="套工道路等级">'土地比较法-工业'!$B$97:$M$97</definedName>
    <definedName name="套工地质条件" localSheetId="10">'[1]土地比较法-工业'!$B$114:$M$114</definedName>
    <definedName name="套工地质条件" localSheetId="20">'[1]土地比较法-工业'!$B$114:$M$114</definedName>
    <definedName name="套工地质条件">'土地比较法-工业'!$B$114:$M$114</definedName>
    <definedName name="套工交易情况" localSheetId="10">'[1]土地比较法-住宅、综合'!$A$72:$M$72</definedName>
    <definedName name="套工交易情况" localSheetId="20">'[1]土地比较法-住宅、综合'!$A$72:$M$72</definedName>
    <definedName name="套工交易情况">'土地比较法-住宅、综合'!$A$72:$M$72</definedName>
    <definedName name="套工土地级别" localSheetId="10">'[1]土地比较法-工业'!$B$99:$M$99</definedName>
    <definedName name="套工土地级别" localSheetId="20">'[1]土地比较法-工业'!$B$99:$M$99</definedName>
    <definedName name="套工土地级别">'土地比较法-工业'!$B$99:$M$99</definedName>
    <definedName name="套工用途" localSheetId="10">'[1]土地比较法-工业'!$B$70:$M$70</definedName>
    <definedName name="套工用途" localSheetId="20">'[1]土地比较法-工业'!$B$70:$M$70</definedName>
    <definedName name="套工用途">'土地比较法-工业'!$B$70:$M$70</definedName>
    <definedName name="套工宗地开发程度" localSheetId="10">'[1]土地比较法-工业'!$B$112:$M$112</definedName>
    <definedName name="套工宗地开发程度" localSheetId="20">'[1]土地比较法-工业'!$B$112:$M$112</definedName>
    <definedName name="套工宗地开发程度">'土地比较法-工业'!$B$112:$M$112</definedName>
    <definedName name="套工宗地形状" localSheetId="10">'[1]土地比较法-工业'!$B$110:$M$110</definedName>
    <definedName name="套工宗地形状" localSheetId="20">'[1]土地比较法-工业'!$B$110:$M$110</definedName>
    <definedName name="套工宗地形状">'土地比较法-工业'!$B$110:$M$110</definedName>
    <definedName name="套综道路等级" localSheetId="10">'[1]土地比较法-住宅、综合'!$B$105:$M$105</definedName>
    <definedName name="套综道路等级" localSheetId="20">'[1]土地比较法-住宅、综合'!$B$105:$M$105</definedName>
    <definedName name="套综道路等级">'土地比较法-住宅、综合'!$B$105:$M$105</definedName>
    <definedName name="套综工程地质条件" localSheetId="10">'[1]土地比较法-住宅、综合'!$B$124:$M$124</definedName>
    <definedName name="套综工程地质条件" localSheetId="20">'[1]土地比较法-住宅、综合'!$B$124:$M$124</definedName>
    <definedName name="套综工程地质条件">'土地比较法-住宅、综合'!$B$124:$M$124</definedName>
    <definedName name="套综交易情况" localSheetId="10">'[1]土地比较法-住宅、综合'!$A$72:$M$72</definedName>
    <definedName name="套综交易情况" localSheetId="20">'[1]土地比较法-住宅、综合'!$A$72:$M$72</definedName>
    <definedName name="套综交易情况">'土地比较法-住宅、综合'!$A$72:$M$72</definedName>
    <definedName name="套综临街宽度及深度" localSheetId="10">'[1]土地比较法-住宅、综合'!$B$120:$M$120</definedName>
    <definedName name="套综临街宽度及深度" localSheetId="20">'[1]土地比较法-住宅、综合'!$B$120:$M$120</definedName>
    <definedName name="套综临街宽度及深度">'土地比较法-住宅、综合'!$B$120:$M$120</definedName>
    <definedName name="套综土地级别" localSheetId="10">'[1]土地比较法-住宅、综合'!$B$107:$M$107</definedName>
    <definedName name="套综土地级别" localSheetId="20">'[1]土地比较法-住宅、综合'!$B$107:$M$107</definedName>
    <definedName name="套综土地级别">'土地比较法-住宅、综合'!$B$107:$M$107</definedName>
    <definedName name="套综用途" localSheetId="10">'[1]土地比较法-住宅、综合'!$B$74:$M$74</definedName>
    <definedName name="套综用途" localSheetId="20">'[1]土地比较法-住宅、综合'!$B$74:$M$74</definedName>
    <definedName name="套综用途">'土地比较法-住宅、综合'!$B$74:$M$74</definedName>
    <definedName name="套综宗地内开发程度" localSheetId="10">'[1]土地比较法-住宅、综合'!$B$122:$M$122</definedName>
    <definedName name="套综宗地内开发程度" localSheetId="20">'[1]土地比较法-住宅、综合'!$B$122:$M$122</definedName>
    <definedName name="套综宗地内开发程度">'土地比较法-住宅、综合'!$B$122:$M$122</definedName>
    <definedName name="套综宗地形状" localSheetId="10">'[1]土地比较法-住宅、综合'!$B$118:$M$118</definedName>
    <definedName name="套综宗地形状" localSheetId="20">'[1]土地比较法-住宅、综合'!$B$118:$M$118</definedName>
    <definedName name="套综宗地形状">'土地比较法-住宅、综合'!$B$118:$M$118</definedName>
    <definedName name="土地估价师">估价师及机构信息!$D$3:$D$24</definedName>
    <definedName name="土地级别" localSheetId="10">[1]定义!$C$1:$C$14</definedName>
    <definedName name="土地级别" localSheetId="20">[1]定义!$C$1:$C$14</definedName>
    <definedName name="土地级别">定义!$C$1:$C$14</definedName>
    <definedName name="土地利用方向">定义!$P$1:$P$6</definedName>
    <definedName name="土地年限区间">定义!$I$1:$I$16</definedName>
    <definedName name="位置" localSheetId="10">[1]定义!$E$2:$E$4</definedName>
    <definedName name="位置" localSheetId="20">[1]定义!$E$2:$E$4</definedName>
    <definedName name="位置">定义!$E$2:$E$4</definedName>
    <definedName name="五等判定" localSheetId="10">[1]定义!$W$1:$W$6</definedName>
    <definedName name="五等判定" localSheetId="20">[1]定义!$W$1:$W$6</definedName>
    <definedName name="五等判定">定义!$W$1:$W$6</definedName>
    <definedName name="五级">区片价!$M$1:$M$41</definedName>
    <definedName name="项目类型" localSheetId="10">'[1]数据-汇总表'!$C$17:$C$26</definedName>
    <definedName name="项目类型" localSheetId="25">'[2]数据-汇总表'!$C$17:$C$26</definedName>
    <definedName name="项目类型" localSheetId="20">'[1]数据-汇总表'!$C$17:$C$26</definedName>
    <definedName name="项目类型">'数据-汇总表'!$C$17:$C$26</definedName>
    <definedName name="写字楼等级" localSheetId="10">'[1]租金比较法-办公'!$B$113:$M$113</definedName>
    <definedName name="写字楼等级" localSheetId="20">'[1]租金比较法-办公'!$B$113:$M$113</definedName>
    <definedName name="写字楼等级">'租金比较法-办公'!$B$113:$M$113</definedName>
    <definedName name="一级">区片价!$I$1:$I$6</definedName>
    <definedName name="一修多修正项2" localSheetId="10">[1]典型户型修正!$5:$5</definedName>
    <definedName name="一修多修正项2" localSheetId="20">[1]典型户型修正!$5:$5</definedName>
    <definedName name="一修多修正项2">典型户型修正!$5:$5</definedName>
    <definedName name="一修多修正项3" localSheetId="10">[1]典型户型修正!$7:$7</definedName>
    <definedName name="一修多修正项3" localSheetId="20">[1]典型户型修正!$7:$7</definedName>
    <definedName name="一修多修正项3">典型户型修正!$7:$7</definedName>
    <definedName name="一修多修正项4" localSheetId="10">[1]典型户型修正!$9:$9</definedName>
    <definedName name="一修多修正项4" localSheetId="20">[1]典型户型修正!$9:$9</definedName>
    <definedName name="一修多修正项4">典型户型修正!$9:$9</definedName>
    <definedName name="一修多修正项5" localSheetId="10">[1]典型户型修正!$11:$11</definedName>
    <definedName name="一修多修正项5" localSheetId="20">[1]典型户型修正!$11:$11</definedName>
    <definedName name="一修多修正项5">典型户型修正!$11:$11</definedName>
    <definedName name="一修多修正项6" localSheetId="10">[1]典型户型修正!$13:$13</definedName>
    <definedName name="一修多修正项6" localSheetId="20">[1]典型户型修正!$13:$13</definedName>
    <definedName name="一修多修正项6">典型户型修正!$13:$13</definedName>
    <definedName name="一修多修正项7" localSheetId="10">[1]典型户型修正!$15:$15</definedName>
    <definedName name="一修多修正项7" localSheetId="20">[1]典型户型修正!$15:$15</definedName>
    <definedName name="一修多修正项7">典型户型修正!$15:$15</definedName>
    <definedName name="一修多修正项8" localSheetId="10">[1]典型户型修正!$17:$17</definedName>
    <definedName name="一修多修正项8" localSheetId="20">[1]典型户型修正!$17:$17</definedName>
    <definedName name="一修多修正项8">典型户型修正!$17:$17</definedName>
    <definedName name="用途明细" localSheetId="10">[1]定义!$A$1:$A$50</definedName>
    <definedName name="用途明细" localSheetId="20">[1]定义!$A$1:$A$50</definedName>
    <definedName name="用途明细">定义!$A$1:$A$50</definedName>
    <definedName name="有无电梯" localSheetId="10">'[1]比较法-仓储'!$B$84:$M$84</definedName>
    <definedName name="有无电梯" localSheetId="20">'[1]比较法-仓储'!$B$84:$M$84</definedName>
    <definedName name="有无电梯">'比较法-仓储'!$B$84:$M$84</definedName>
    <definedName name="主用途" localSheetId="10">[1]定义!$F$1:$F$12</definedName>
    <definedName name="主用途" localSheetId="20">[1]定义!$F$1:$F$12</definedName>
    <definedName name="主用途">定义!$F$1:$F$12</definedName>
    <definedName name="住宅朝向" localSheetId="10">'[1]租金比较法-住宅'!$B$88:$M$88</definedName>
    <definedName name="住宅朝向" localSheetId="20">'[1]租金比较法-住宅'!$B$88:$M$88</definedName>
    <definedName name="住宅朝向">'租金比较法-住宅'!$B$88:$M$88</definedName>
    <definedName name="住宅房型" localSheetId="10">'[1]租金比较法-住宅'!$B$118:$M$118</definedName>
    <definedName name="住宅房型" localSheetId="20">'[1]租金比较法-住宅'!$B$118:$M$118</definedName>
    <definedName name="住宅房型">'租金比较法-住宅'!$B$118:$M$118</definedName>
    <definedName name="住宅公共部分装修" localSheetId="10">'[1]租金比较法-住宅'!$B$109:$M$109</definedName>
    <definedName name="住宅公共部分装修" localSheetId="20">'[1]租金比较法-住宅'!$B$109:$M$109</definedName>
    <definedName name="住宅公共部分装修">'租金比较法-住宅'!$B$109:$M$109</definedName>
    <definedName name="住宅基础设施水平" localSheetId="10">'[1]租金比较法-住宅'!$B$116:$M$116</definedName>
    <definedName name="住宅基础设施水平" localSheetId="20">'[1]租金比较法-住宅'!$B$116:$M$116</definedName>
    <definedName name="住宅基础设施水平">'租金比较法-住宅'!$B$116:$M$116</definedName>
    <definedName name="住宅建筑结构" localSheetId="10">'[1]租金比较法-住宅'!$B$105:$M$105</definedName>
    <definedName name="住宅建筑结构" localSheetId="20">'[1]租金比较法-住宅'!$B$105:$M$105</definedName>
    <definedName name="住宅建筑结构">'租金比较法-住宅'!$B$105:$M$105</definedName>
    <definedName name="住宅建筑类型" localSheetId="10">'[1]租金比较法-住宅'!$B$100:$M$100</definedName>
    <definedName name="住宅建筑类型" localSheetId="20">'[1]租金比较法-住宅'!$B$100:$M$100</definedName>
    <definedName name="住宅建筑类型">'租金比较法-住宅'!$B$100:$M$100</definedName>
    <definedName name="住宅建筑品质" localSheetId="10">'[1]租金比较法-住宅'!$B$107:$M$107</definedName>
    <definedName name="住宅建筑品质" localSheetId="20">'[1]租金比较法-住宅'!$B$107:$M$107</definedName>
    <definedName name="住宅建筑品质">'租金比较法-住宅'!$B$107:$M$107</definedName>
    <definedName name="住宅交易情况" localSheetId="10">'[1]租金比较法-住宅'!$A$61:$M$61</definedName>
    <definedName name="住宅交易情况" localSheetId="20">'[1]租金比较法-住宅'!$A$61:$M$61</definedName>
    <definedName name="住宅交易情况">'租金比较法-住宅'!$A$61:$M$61</definedName>
    <definedName name="住宅楼层" localSheetId="10">'[1]租金比较法-住宅'!$B$86:$M$86</definedName>
    <definedName name="住宅楼层" localSheetId="20">'[1]租金比较法-住宅'!$B$86:$M$86</definedName>
    <definedName name="住宅楼层">'租金比较法-住宅'!$B$86:$M$86</definedName>
    <definedName name="住宅内部装修" localSheetId="10">'[1]租金比较法-住宅'!$B$122:$M$122</definedName>
    <definedName name="住宅内部装修" localSheetId="20">'[1]租金比较法-住宅'!$B$122:$M$122</definedName>
    <definedName name="住宅内部装修">'租金比较法-住宅'!$B$122:$M$122</definedName>
    <definedName name="住宅物业管理" localSheetId="10">'[1]租金比较法-住宅'!$B$114:$M$114</definedName>
    <definedName name="住宅物业管理" localSheetId="20">'[1]租金比较法-住宅'!$B$114:$M$114</definedName>
    <definedName name="住宅物业管理">'租金比较法-住宅'!$B$114:$M$114</definedName>
    <definedName name="住宅用途" localSheetId="10">'[1]租金比较法-住宅'!$B$63:$M$63</definedName>
    <definedName name="住宅用途" localSheetId="20">'[1]租金比较法-住宅'!$B$63:$M$63</definedName>
    <definedName name="住宅用途">'租金比较法-住宅'!$B$63:$M$63</definedName>
    <definedName name="住宅主力户型面积">'租金比较法-住宅'!$B$120:$M$120</definedName>
    <definedName name="注册房地产估价师" localSheetId="10">[1]估价师及机构信息!$A$3:$A$16</definedName>
    <definedName name="注册房地产估价师" localSheetId="20">[1]估价师及机构信息!$A$3:$A$16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E58" i="90"/>
  <c r="W31" i="1"/>
  <c r="S31" i="1"/>
  <c r="W21" i="1"/>
  <c r="W22" i="1"/>
  <c r="W23" i="1"/>
  <c r="W24" i="1"/>
  <c r="W25" i="1"/>
  <c r="W26" i="1"/>
  <c r="W27" i="1"/>
  <c r="W28" i="1"/>
  <c r="W29" i="1"/>
  <c r="W30" i="1"/>
  <c r="W20" i="1"/>
  <c r="I18" i="3"/>
  <c r="I47" i="21"/>
  <c r="G47" i="21"/>
  <c r="E47" i="21"/>
  <c r="Q72" i="85" l="1"/>
  <c r="Q59" i="85"/>
  <c r="K59" i="85"/>
  <c r="P74" i="85" s="1"/>
  <c r="F59" i="85"/>
  <c r="Q58" i="85"/>
  <c r="Q51" i="85"/>
  <c r="J50" i="85"/>
  <c r="J51" i="85" s="1"/>
  <c r="M47" i="85"/>
  <c r="D46" i="85"/>
  <c r="F34" i="85"/>
  <c r="F62" i="85" s="1"/>
  <c r="F33" i="85"/>
  <c r="F61" i="85" s="1"/>
  <c r="F32" i="85"/>
  <c r="F60" i="85" s="1"/>
  <c r="F31" i="85"/>
  <c r="F28" i="85"/>
  <c r="C28" i="85"/>
  <c r="F23" i="85"/>
  <c r="D24" i="85" s="1"/>
  <c r="D23" i="85"/>
  <c r="D22" i="85"/>
  <c r="F21" i="85"/>
  <c r="M20" i="85"/>
  <c r="F20" i="85"/>
  <c r="M19" i="85"/>
  <c r="M18" i="85"/>
  <c r="F18" i="85"/>
  <c r="M17" i="85"/>
  <c r="F17" i="85"/>
  <c r="F15" i="85"/>
  <c r="Q72" i="84"/>
  <c r="Q59" i="84"/>
  <c r="K59" i="84"/>
  <c r="P74" i="84" s="1"/>
  <c r="F59" i="84"/>
  <c r="Q58" i="84"/>
  <c r="Q51" i="84"/>
  <c r="J50" i="84"/>
  <c r="M47" i="84"/>
  <c r="D46" i="84"/>
  <c r="F34" i="84"/>
  <c r="F62" i="84" s="1"/>
  <c r="F33" i="84"/>
  <c r="F61" i="84" s="1"/>
  <c r="F32" i="84"/>
  <c r="F60" i="84" s="1"/>
  <c r="F31" i="84"/>
  <c r="F28" i="84"/>
  <c r="C28" i="84" s="1"/>
  <c r="F23" i="84"/>
  <c r="D24" i="84" s="1"/>
  <c r="F21" i="84"/>
  <c r="M20" i="84"/>
  <c r="F20" i="84"/>
  <c r="M19" i="84"/>
  <c r="M18" i="84"/>
  <c r="F18" i="84"/>
  <c r="M17" i="84"/>
  <c r="F17" i="84"/>
  <c r="F15" i="84"/>
  <c r="Q72" i="83"/>
  <c r="Q59" i="83"/>
  <c r="K59" i="83"/>
  <c r="P74" i="83" s="1"/>
  <c r="F59" i="83"/>
  <c r="Q58" i="83"/>
  <c r="Q51" i="83"/>
  <c r="J50"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Q72" i="82"/>
  <c r="Q59" i="82"/>
  <c r="K59" i="82"/>
  <c r="P74" i="82" s="1"/>
  <c r="F59" i="82"/>
  <c r="Q58" i="82"/>
  <c r="Q51" i="82"/>
  <c r="J50" i="82"/>
  <c r="J51" i="82" s="1"/>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C11" i="40"/>
  <c r="E44" i="40"/>
  <c r="I41" i="40" s="1"/>
  <c r="I34" i="40"/>
  <c r="G34" i="40"/>
  <c r="E34" i="40"/>
  <c r="C34" i="40"/>
  <c r="I7" i="40"/>
  <c r="G7" i="40"/>
  <c r="E7" i="40"/>
  <c r="I5" i="40"/>
  <c r="G5" i="40"/>
  <c r="E5" i="40"/>
  <c r="E66" i="40"/>
  <c r="F66" i="40" s="1"/>
  <c r="G66" i="40" s="1"/>
  <c r="H66" i="40" s="1"/>
  <c r="I66" i="40" s="1"/>
  <c r="J66" i="40" s="1"/>
  <c r="K66" i="40" s="1"/>
  <c r="L66" i="40" s="1"/>
  <c r="M66" i="40" s="1"/>
  <c r="N66" i="40" s="1"/>
  <c r="O66" i="40" s="1"/>
  <c r="D66" i="40"/>
  <c r="Y7" i="1"/>
  <c r="Y8" i="1"/>
  <c r="Y9" i="1"/>
  <c r="Y10" i="1"/>
  <c r="N10" i="1"/>
  <c r="N9" i="1"/>
  <c r="N8" i="1"/>
  <c r="N7" i="1"/>
  <c r="N25" i="1"/>
  <c r="N36" i="1" s="1"/>
  <c r="M25" i="1"/>
  <c r="M36" i="1" s="1"/>
  <c r="L25" i="1"/>
  <c r="L36" i="1" s="1"/>
  <c r="K25" i="1"/>
  <c r="K35" i="1" s="1"/>
  <c r="G23" i="6"/>
  <c r="G21" i="6"/>
  <c r="F22" i="6"/>
  <c r="F21" i="6"/>
  <c r="F20" i="6"/>
  <c r="M23" i="3"/>
  <c r="K18" i="3"/>
  <c r="I23" i="3"/>
  <c r="I20" i="3"/>
  <c r="I21" i="3"/>
  <c r="I22" i="3"/>
  <c r="I19" i="3"/>
  <c r="I14" i="3"/>
  <c r="F19" i="6" s="1"/>
  <c r="I15" i="3"/>
  <c r="I16" i="3"/>
  <c r="I17" i="3"/>
  <c r="I13" i="3"/>
  <c r="C20" i="3"/>
  <c r="C21" i="3"/>
  <c r="C22" i="3"/>
  <c r="C23" i="3"/>
  <c r="C19" i="3"/>
  <c r="C14" i="3"/>
  <c r="C15" i="3"/>
  <c r="C16" i="3"/>
  <c r="C17" i="3"/>
  <c r="C18" i="3"/>
  <c r="C13" i="3"/>
  <c r="N46" i="80"/>
  <c r="N42" i="80"/>
  <c r="C16" i="80"/>
  <c r="C15" i="80" s="1"/>
  <c r="G15" i="80"/>
  <c r="G14" i="80"/>
  <c r="G13" i="80"/>
  <c r="G12" i="80"/>
  <c r="G11" i="80"/>
  <c r="G7" i="80"/>
  <c r="C7" i="80"/>
  <c r="G6" i="80"/>
  <c r="G5" i="80"/>
  <c r="G4" i="80"/>
  <c r="G3" i="80"/>
  <c r="I3" i="80" s="1"/>
  <c r="G2" i="80"/>
  <c r="I2" i="80" s="1"/>
  <c r="D3" i="4"/>
  <c r="J3" i="80" l="1"/>
  <c r="N6" i="1" s="1"/>
  <c r="Y6" i="1" s="1"/>
  <c r="P61" i="85"/>
  <c r="P61" i="84"/>
  <c r="D22" i="84"/>
  <c r="D23" i="84"/>
  <c r="J51" i="84"/>
  <c r="P61" i="83"/>
  <c r="P61" i="82"/>
  <c r="E41" i="40"/>
  <c r="G41" i="40"/>
  <c r="K36" i="1"/>
  <c r="L34" i="1"/>
  <c r="L35" i="1"/>
  <c r="K34" i="1"/>
  <c r="M34" i="1"/>
  <c r="M35" i="1"/>
  <c r="N34" i="1"/>
  <c r="N35" i="1"/>
  <c r="C31" i="80"/>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AD32"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C29" i="39"/>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U21" i="34"/>
  <c r="S21" i="33"/>
  <c r="AC18" i="35"/>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E101" i="37" s="1"/>
  <c r="F34" i="37"/>
  <c r="D99" i="37"/>
  <c r="E99" i="37" s="1"/>
  <c r="F99" i="37" s="1"/>
  <c r="G99" i="37" s="1"/>
  <c r="H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AB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J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23" i="37" s="1"/>
  <c r="S23" i="37" s="1"/>
  <c r="D75" i="37"/>
  <c r="E75" i="37" s="1"/>
  <c r="H19" i="37" s="1"/>
  <c r="AB19" i="37" s="1"/>
  <c r="D73" i="37"/>
  <c r="E73" i="37" s="1"/>
  <c r="F73" i="37" s="1"/>
  <c r="G73" i="37" s="1"/>
  <c r="D71" i="37"/>
  <c r="F15" i="37" s="1"/>
  <c r="AA15" i="37" s="1"/>
  <c r="B68" i="37"/>
  <c r="H14" i="37"/>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s="1"/>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AA27" i="35" s="1"/>
  <c r="J22" i="35"/>
  <c r="B101" i="35"/>
  <c r="H36" i="35" s="1"/>
  <c r="AB36" i="35" s="1"/>
  <c r="B99" i="35"/>
  <c r="B97" i="35"/>
  <c r="B77" i="35"/>
  <c r="B75" i="35"/>
  <c r="J24" i="35" s="1"/>
  <c r="AC24" i="35"/>
  <c r="B73" i="35"/>
  <c r="J23" i="35" s="1"/>
  <c r="AC23" i="35" s="1"/>
  <c r="H23" i="35"/>
  <c r="U23" i="35" s="1"/>
  <c r="B57" i="35"/>
  <c r="B61" i="35"/>
  <c r="B59" i="35"/>
  <c r="B131" i="34"/>
  <c r="H47" i="34" s="1"/>
  <c r="U47" i="34" s="1"/>
  <c r="B129" i="34"/>
  <c r="B127" i="34"/>
  <c r="B99" i="34"/>
  <c r="B97" i="34"/>
  <c r="H31" i="34" s="1"/>
  <c r="B95" i="34"/>
  <c r="B93" i="34"/>
  <c r="B75" i="34"/>
  <c r="F14" i="34" s="1"/>
  <c r="B73" i="34"/>
  <c r="J13" i="34" s="1"/>
  <c r="W13" i="34" s="1"/>
  <c r="B71" i="34"/>
  <c r="J12" i="34" s="1"/>
  <c r="W12" i="34" s="1"/>
  <c r="B130" i="33"/>
  <c r="B128" i="33"/>
  <c r="B126" i="33"/>
  <c r="F44" i="33" s="1"/>
  <c r="B98" i="33"/>
  <c r="B96" i="33"/>
  <c r="B94" i="33"/>
  <c r="F29" i="33" s="1"/>
  <c r="S29" i="33" s="1"/>
  <c r="B74" i="33"/>
  <c r="J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D77" i="21"/>
  <c r="E77" i="21" s="1"/>
  <c r="B130" i="21"/>
  <c r="B128" i="21"/>
  <c r="J45" i="21" s="1"/>
  <c r="W45" i="21" s="1"/>
  <c r="B126" i="21"/>
  <c r="B98" i="21"/>
  <c r="H31" i="21" s="1"/>
  <c r="B96" i="21"/>
  <c r="B94" i="21"/>
  <c r="J29" i="21"/>
  <c r="AC29" i="21" s="1"/>
  <c r="B92" i="21"/>
  <c r="J28" i="21" s="1"/>
  <c r="W28" i="21" s="1"/>
  <c r="B90" i="21"/>
  <c r="J27" i="21"/>
  <c r="W27" i="21" s="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S35" i="21" s="1"/>
  <c r="J10" i="21"/>
  <c r="AC10" i="21" s="1"/>
  <c r="H26" i="21"/>
  <c r="AB26" i="21" s="1"/>
  <c r="J19" i="21"/>
  <c r="W19" i="21" s="1"/>
  <c r="J26" i="21"/>
  <c r="W26" i="21" s="1"/>
  <c r="F26" i="21"/>
  <c r="S26" i="21" s="1"/>
  <c r="AB41" i="21"/>
  <c r="S41" i="21"/>
  <c r="AA41" i="21"/>
  <c r="F45" i="39"/>
  <c r="S45" i="39"/>
  <c r="F36" i="39"/>
  <c r="S36" i="39" s="1"/>
  <c r="H36" i="39"/>
  <c r="AB36" i="39"/>
  <c r="J35" i="39"/>
  <c r="AC35" i="39" s="1"/>
  <c r="F35" i="39"/>
  <c r="AA35" i="39" s="1"/>
  <c r="J36" i="39"/>
  <c r="AC36" i="39" s="1"/>
  <c r="U9" i="39"/>
  <c r="W40" i="39"/>
  <c r="W25" i="37"/>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AC35" i="34" s="1"/>
  <c r="H39" i="33"/>
  <c r="AB39" i="33" s="1"/>
  <c r="U33" i="33"/>
  <c r="S40" i="33"/>
  <c r="W33" i="33"/>
  <c r="W39" i="33"/>
  <c r="S27" i="35"/>
  <c r="F11" i="40"/>
  <c r="AA11" i="40" s="1"/>
  <c r="H11" i="40"/>
  <c r="AB11" i="40" s="1"/>
  <c r="W8"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F21" i="40"/>
  <c r="S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H11" i="39"/>
  <c r="S40" i="39"/>
  <c r="C15" i="39"/>
  <c r="H32" i="33"/>
  <c r="AB32" i="33"/>
  <c r="H11" i="21"/>
  <c r="U11" i="21" s="1"/>
  <c r="J11" i="21"/>
  <c r="W11" i="21" s="1"/>
  <c r="H37" i="40"/>
  <c r="U37" i="40" s="1"/>
  <c r="F35" i="40"/>
  <c r="AA35" i="40" s="1"/>
  <c r="H17" i="40"/>
  <c r="U17" i="40" s="1"/>
  <c r="J15" i="40"/>
  <c r="W15" i="40" s="1"/>
  <c r="J11" i="40"/>
  <c r="W11" i="40" s="1"/>
  <c r="AB8" i="39"/>
  <c r="AC12" i="34"/>
  <c r="AB12" i="35"/>
  <c r="W32" i="40"/>
  <c r="S44" i="39"/>
  <c r="F37" i="39"/>
  <c r="AA37" i="39" s="1"/>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s="1"/>
  <c r="F16" i="35"/>
  <c r="S16" i="35" s="1"/>
  <c r="H14" i="35"/>
  <c r="AB14" i="35"/>
  <c r="J29" i="35"/>
  <c r="H33" i="35"/>
  <c r="J20" i="35"/>
  <c r="W20" i="35" s="1"/>
  <c r="F35" i="37"/>
  <c r="S35" i="37" s="1"/>
  <c r="F101" i="37"/>
  <c r="G101" i="37" s="1"/>
  <c r="H101" i="37" s="1"/>
  <c r="I101" i="37" s="1"/>
  <c r="J101" i="37" s="1"/>
  <c r="K101" i="37" s="1"/>
  <c r="L101" i="37" s="1"/>
  <c r="M101" i="37" s="1"/>
  <c r="J34" i="37"/>
  <c r="W34" i="37" s="1"/>
  <c r="H40" i="34"/>
  <c r="U40" i="34" s="1"/>
  <c r="E114" i="34"/>
  <c r="H36" i="34"/>
  <c r="U36" i="34" s="1"/>
  <c r="F37" i="34"/>
  <c r="AA37" i="34" s="1"/>
  <c r="F28" i="34"/>
  <c r="AA28" i="34" s="1"/>
  <c r="F25" i="34"/>
  <c r="S25" i="34" s="1"/>
  <c r="H23" i="34"/>
  <c r="AB23" i="34" s="1"/>
  <c r="J23" i="34"/>
  <c r="W23" i="34" s="1"/>
  <c r="H17" i="34"/>
  <c r="U17" i="34" s="1"/>
  <c r="F15" i="34"/>
  <c r="AA15" i="34" s="1"/>
  <c r="J15" i="34"/>
  <c r="AC15" i="34" s="1"/>
  <c r="H15" i="34"/>
  <c r="AB15" i="34" s="1"/>
  <c r="F41" i="33"/>
  <c r="S41" i="33" s="1"/>
  <c r="AA41" i="33"/>
  <c r="F32" i="33"/>
  <c r="AA32" i="33"/>
  <c r="J19" i="33"/>
  <c r="AC19" i="33" s="1"/>
  <c r="J15" i="33"/>
  <c r="AC15" i="33" s="1"/>
  <c r="F11" i="33"/>
  <c r="AA11" i="33" s="1"/>
  <c r="U40" i="33"/>
  <c r="W40" i="33"/>
  <c r="F37" i="40"/>
  <c r="AA37" i="40" s="1"/>
  <c r="H28" i="40"/>
  <c r="U28" i="40" s="1"/>
  <c r="F17" i="40"/>
  <c r="AA17" i="40" s="1"/>
  <c r="J17" i="40"/>
  <c r="W17" i="40" s="1"/>
  <c r="F15" i="40"/>
  <c r="S15" i="40" s="1"/>
  <c r="H15" i="40"/>
  <c r="AB15" i="40" s="1"/>
  <c r="F29" i="35"/>
  <c r="S29" i="35" s="1"/>
  <c r="H29" i="35"/>
  <c r="AB29" i="35" s="1"/>
  <c r="U34" i="37"/>
  <c r="S34" i="37"/>
  <c r="AA34" i="37"/>
  <c r="J43" i="34"/>
  <c r="AC43" i="34" s="1"/>
  <c r="AB42" i="34"/>
  <c r="J40" i="34"/>
  <c r="AC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F17" i="34"/>
  <c r="AA17" i="34" s="1"/>
  <c r="J17" i="34"/>
  <c r="W17" i="34" s="1"/>
  <c r="G113" i="33"/>
  <c r="H113" i="33" s="1"/>
  <c r="I113" i="33" s="1"/>
  <c r="J113" i="33" s="1"/>
  <c r="K113" i="33" s="1"/>
  <c r="L113" i="33" s="1"/>
  <c r="M113" i="33" s="1"/>
  <c r="H37" i="33"/>
  <c r="AB37" i="33"/>
  <c r="H15" i="33"/>
  <c r="AB15" i="33" s="1"/>
  <c r="H11" i="33"/>
  <c r="AB11" i="33" s="1"/>
  <c r="F28" i="40"/>
  <c r="AA28" i="40" s="1"/>
  <c r="AA29" i="35"/>
  <c r="AA42" i="34"/>
  <c r="S42" i="34"/>
  <c r="AC38" i="34"/>
  <c r="J37" i="34"/>
  <c r="AC37" i="34" s="1"/>
  <c r="J11" i="33"/>
  <c r="W11" i="33" s="1"/>
  <c r="I123" i="21"/>
  <c r="J123" i="21" s="1"/>
  <c r="K123" i="21" s="1"/>
  <c r="L123" i="21" s="1"/>
  <c r="M123" i="21" s="1"/>
  <c r="J42" i="21"/>
  <c r="AC42" i="21" s="1"/>
  <c r="H42" i="21"/>
  <c r="U42" i="21" s="1"/>
  <c r="J44" i="34"/>
  <c r="AC44" i="34" s="1"/>
  <c r="F44" i="34"/>
  <c r="S44" i="34" s="1"/>
  <c r="J10" i="35"/>
  <c r="AC10" i="35" s="1"/>
  <c r="F14" i="21"/>
  <c r="S14" i="21" s="1"/>
  <c r="H28" i="21"/>
  <c r="AB28" i="21" s="1"/>
  <c r="F28" i="21"/>
  <c r="AA28" i="21" s="1"/>
  <c r="H30" i="21"/>
  <c r="AB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45" i="21"/>
  <c r="AA45" i="21" s="1"/>
  <c r="J13" i="33"/>
  <c r="H13" i="33"/>
  <c r="U13" i="33" s="1"/>
  <c r="F13" i="33"/>
  <c r="S13" i="33" s="1"/>
  <c r="J29" i="33"/>
  <c r="H29" i="33"/>
  <c r="U29" i="33" s="1"/>
  <c r="J31" i="33"/>
  <c r="W31" i="33" s="1"/>
  <c r="H31" i="33"/>
  <c r="F31" i="33"/>
  <c r="H45" i="33"/>
  <c r="U45" i="33" s="1"/>
  <c r="J14" i="34"/>
  <c r="W14" i="34" s="1"/>
  <c r="H14" i="34"/>
  <c r="H30" i="34"/>
  <c r="F30" i="34"/>
  <c r="S30" i="34" s="1"/>
  <c r="J30" i="34"/>
  <c r="H32" i="34"/>
  <c r="H46" i="34"/>
  <c r="U46" i="34" s="1"/>
  <c r="F46" i="34"/>
  <c r="J46" i="34"/>
  <c r="H11" i="35"/>
  <c r="AB11" i="35" s="1"/>
  <c r="J11" i="35"/>
  <c r="F11" i="35"/>
  <c r="S11" i="35" s="1"/>
  <c r="J26" i="36"/>
  <c r="W26" i="36" s="1"/>
  <c r="H28" i="36"/>
  <c r="U28" i="36" s="1"/>
  <c r="J32" i="36"/>
  <c r="W32" i="36" s="1"/>
  <c r="J11" i="36"/>
  <c r="AC11" i="36" s="1"/>
  <c r="H11" i="36"/>
  <c r="U11" i="36" s="1"/>
  <c r="F11" i="36"/>
  <c r="AA11" i="36" s="1"/>
  <c r="H13" i="36"/>
  <c r="AB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F40" i="37"/>
  <c r="AA40" i="37" s="1"/>
  <c r="H14" i="33"/>
  <c r="U14" i="33" s="1"/>
  <c r="F14" i="33"/>
  <c r="S14" i="33" s="1"/>
  <c r="H30" i="33"/>
  <c r="AB30" i="33"/>
  <c r="F30" i="33"/>
  <c r="J30" i="33"/>
  <c r="H44" i="33"/>
  <c r="J44" i="33"/>
  <c r="AC44" i="33" s="1"/>
  <c r="J46" i="33"/>
  <c r="AC46" i="33"/>
  <c r="F46" i="33"/>
  <c r="AA46" i="33" s="1"/>
  <c r="H46" i="33"/>
  <c r="AB46" i="33"/>
  <c r="H13" i="34"/>
  <c r="U13" i="34" s="1"/>
  <c r="F13" i="34"/>
  <c r="AA13" i="34" s="1"/>
  <c r="J29" i="34"/>
  <c r="F29" i="34"/>
  <c r="S29" i="34" s="1"/>
  <c r="H29" i="34"/>
  <c r="AB29" i="34" s="1"/>
  <c r="J31" i="34"/>
  <c r="AC31" i="34" s="1"/>
  <c r="F31" i="34"/>
  <c r="S31" i="34" s="1"/>
  <c r="H45" i="34"/>
  <c r="U45" i="34" s="1"/>
  <c r="J45" i="34"/>
  <c r="W45" i="34" s="1"/>
  <c r="F45" i="34"/>
  <c r="S45" i="34" s="1"/>
  <c r="F47" i="34"/>
  <c r="S47" i="34" s="1"/>
  <c r="J47" i="34"/>
  <c r="AC47" i="34" s="1"/>
  <c r="F13" i="35"/>
  <c r="J13" i="35"/>
  <c r="AC13" i="35"/>
  <c r="H13" i="35"/>
  <c r="U13" i="35" s="1"/>
  <c r="F25" i="35"/>
  <c r="S25" i="35" s="1"/>
  <c r="J35" i="35"/>
  <c r="AC35" i="35" s="1"/>
  <c r="F35" i="35"/>
  <c r="AA35" i="35" s="1"/>
  <c r="H35" i="35"/>
  <c r="J25" i="36"/>
  <c r="W25" i="36"/>
  <c r="H13" i="37"/>
  <c r="AB13" i="37" s="1"/>
  <c r="J13" i="37"/>
  <c r="W13" i="37" s="1"/>
  <c r="F28" i="37"/>
  <c r="AA28" i="37" s="1"/>
  <c r="J28" i="37"/>
  <c r="AC28" i="37" s="1"/>
  <c r="H28" i="37"/>
  <c r="H38" i="37"/>
  <c r="AB38" i="37" s="1"/>
  <c r="J38" i="37"/>
  <c r="AC38" i="37" s="1"/>
  <c r="F38" i="37"/>
  <c r="S38" i="37" s="1"/>
  <c r="F43" i="39"/>
  <c r="AA43" i="39" s="1"/>
  <c r="H43" i="39"/>
  <c r="J14" i="39"/>
  <c r="AC14" i="39" s="1"/>
  <c r="F14" i="39"/>
  <c r="F12" i="40"/>
  <c r="S12" i="40" s="1"/>
  <c r="H30" i="40"/>
  <c r="AB30" i="40" s="1"/>
  <c r="F33" i="40"/>
  <c r="AA33" i="40" s="1"/>
  <c r="H33" i="40"/>
  <c r="U33" i="40" s="1"/>
  <c r="J35" i="40"/>
  <c r="AC35" i="40" s="1"/>
  <c r="J37" i="40"/>
  <c r="W37" i="40" s="1"/>
  <c r="H13" i="40"/>
  <c r="U13" i="40" s="1"/>
  <c r="J13" i="40"/>
  <c r="W13" i="40" s="1"/>
  <c r="F13" i="40"/>
  <c r="AA13" i="40" s="1"/>
  <c r="F14" i="37"/>
  <c r="AA14" i="37" s="1"/>
  <c r="F13" i="39"/>
  <c r="J13" i="39"/>
  <c r="W13" i="39" s="1"/>
  <c r="H13" i="39"/>
  <c r="H14" i="40"/>
  <c r="AB14" i="40" s="1"/>
  <c r="J14" i="40"/>
  <c r="W14" i="40" s="1"/>
  <c r="F14" i="40"/>
  <c r="AA14" i="40" s="1"/>
  <c r="J14" i="37"/>
  <c r="U46" i="33"/>
  <c r="J36" i="37"/>
  <c r="AC36" i="37" s="1"/>
  <c r="J10" i="36"/>
  <c r="AC10" i="36" s="1"/>
  <c r="S11" i="36"/>
  <c r="AB46" i="34"/>
  <c r="AB45" i="33"/>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2" i="3"/>
  <c r="G568" i="3"/>
  <c r="G564" i="3"/>
  <c r="G560" i="3"/>
  <c r="G554" i="3"/>
  <c r="G550" i="3"/>
  <c r="BL584" i="3"/>
  <c r="BL576" i="3"/>
  <c r="BL572" i="3"/>
  <c r="BL568" i="3"/>
  <c r="BL560" i="3"/>
  <c r="BL554" i="3"/>
  <c r="BL546" i="3"/>
  <c r="BL542" i="3"/>
  <c r="BL538" i="3"/>
  <c r="BL534" i="3"/>
  <c r="AZ534" i="3" s="1"/>
  <c r="BL530" i="3"/>
  <c r="BL526" i="3"/>
  <c r="BL522" i="3"/>
  <c r="BL516" i="3"/>
  <c r="BL512" i="3"/>
  <c r="BL506" i="3"/>
  <c r="BL502" i="3"/>
  <c r="BL498" i="3"/>
  <c r="BL494" i="3"/>
  <c r="BL578" i="3"/>
  <c r="BL574" i="3"/>
  <c r="BL570" i="3"/>
  <c r="BL562" i="3"/>
  <c r="BL556" i="3"/>
  <c r="BL552" i="3"/>
  <c r="BL544" i="3"/>
  <c r="BL540" i="3"/>
  <c r="BL536" i="3"/>
  <c r="G533" i="3"/>
  <c r="BL532" i="3"/>
  <c r="G529" i="3"/>
  <c r="BL528" i="3"/>
  <c r="G525" i="3"/>
  <c r="BL524" i="3"/>
  <c r="BL518" i="3"/>
  <c r="BL514" i="3"/>
  <c r="BL510" i="3"/>
  <c r="BL504" i="3"/>
  <c r="BL500" i="3"/>
  <c r="BL496" i="3"/>
  <c r="G493" i="3"/>
  <c r="BA582" i="3"/>
  <c r="BA580" i="3"/>
  <c r="BA578" i="3"/>
  <c r="BA574" i="3"/>
  <c r="AZ574" i="3" s="1"/>
  <c r="BA572" i="3"/>
  <c r="AZ572" i="3" s="1"/>
  <c r="BA570" i="3"/>
  <c r="BA566" i="3"/>
  <c r="AZ566" i="3" s="1"/>
  <c r="BA564" i="3"/>
  <c r="AZ564" i="3" s="1"/>
  <c r="BA562" i="3"/>
  <c r="BA558" i="3"/>
  <c r="AZ558" i="3"/>
  <c r="BA556" i="3"/>
  <c r="BA554" i="3"/>
  <c r="AZ554" i="3" s="1"/>
  <c r="BA552" i="3"/>
  <c r="AZ552" i="3" s="1"/>
  <c r="BA548" i="3"/>
  <c r="BA546" i="3"/>
  <c r="AZ546" i="3" s="1"/>
  <c r="BA544" i="3"/>
  <c r="AZ544" i="3" s="1"/>
  <c r="BA542" i="3"/>
  <c r="AZ542" i="3" s="1"/>
  <c r="BA540" i="3"/>
  <c r="BA538" i="3"/>
  <c r="AZ538" i="3"/>
  <c r="BA536" i="3"/>
  <c r="AZ536" i="3"/>
  <c r="BA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BA506" i="3"/>
  <c r="BA504" i="3"/>
  <c r="AZ504" i="3" s="1"/>
  <c r="BA502" i="3"/>
  <c r="BA500" i="3"/>
  <c r="BA498" i="3"/>
  <c r="BA496" i="3"/>
  <c r="BA494" i="3"/>
  <c r="AZ494" i="3" s="1"/>
  <c r="BA587" i="3"/>
  <c r="BA583" i="3"/>
  <c r="BA581" i="3"/>
  <c r="BA579" i="3"/>
  <c r="BA575" i="3"/>
  <c r="BA573" i="3"/>
  <c r="BA571" i="3"/>
  <c r="BA567" i="3"/>
  <c r="BA565" i="3"/>
  <c r="BA563"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AZ561" i="3" s="1"/>
  <c r="BQ559" i="3"/>
  <c r="G559" i="3"/>
  <c r="G555" i="3"/>
  <c r="G553" i="3"/>
  <c r="G549" i="3"/>
  <c r="G547" i="3"/>
  <c r="G545" i="3"/>
  <c r="G543" i="3"/>
  <c r="G541" i="3"/>
  <c r="G539" i="3"/>
  <c r="G537" i="3"/>
  <c r="BQ555" i="3"/>
  <c r="BL555" i="3"/>
  <c r="BQ553" i="3"/>
  <c r="BL553" i="3" s="1"/>
  <c r="AZ553" i="3" s="1"/>
  <c r="BQ551" i="3"/>
  <c r="BL551" i="3"/>
  <c r="BQ549" i="3"/>
  <c r="BQ547" i="3"/>
  <c r="BL547" i="3" s="1"/>
  <c r="AZ547" i="3" s="1"/>
  <c r="BQ545" i="3"/>
  <c r="BL545" i="3"/>
  <c r="BQ543" i="3"/>
  <c r="BL543" i="3" s="1"/>
  <c r="AZ543" i="3" s="1"/>
  <c r="BQ541" i="3"/>
  <c r="BL541" i="3"/>
  <c r="AZ541" i="3" s="1"/>
  <c r="BQ539" i="3"/>
  <c r="BL539" i="3" s="1"/>
  <c r="AZ539" i="3" s="1"/>
  <c r="BQ537" i="3"/>
  <c r="BL537" i="3" s="1"/>
  <c r="BQ535" i="3"/>
  <c r="BL535" i="3" s="1"/>
  <c r="AZ535" i="3" s="1"/>
  <c r="BQ533" i="3"/>
  <c r="BL533" i="3"/>
  <c r="AZ533" i="3" s="1"/>
  <c r="BQ531" i="3"/>
  <c r="BL531" i="3" s="1"/>
  <c r="BQ529" i="3"/>
  <c r="BL529" i="3" s="1"/>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c r="AZ505" i="3" s="1"/>
  <c r="BQ503" i="3"/>
  <c r="BL503" i="3" s="1"/>
  <c r="BQ501" i="3"/>
  <c r="BL501" i="3" s="1"/>
  <c r="AZ501" i="3" s="1"/>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42" i="33"/>
  <c r="AB42" i="33" s="1"/>
  <c r="J43" i="33"/>
  <c r="AC43" i="33"/>
  <c r="S28" i="31"/>
  <c r="S27" i="31"/>
  <c r="S26" i="31"/>
  <c r="U14" i="40"/>
  <c r="W23" i="35"/>
  <c r="U26" i="37"/>
  <c r="W47" i="34"/>
  <c r="AA13" i="33"/>
  <c r="AC31" i="33"/>
  <c r="U11" i="33"/>
  <c r="W44" i="21"/>
  <c r="F43" i="33"/>
  <c r="AA43" i="33" s="1"/>
  <c r="W15" i="34"/>
  <c r="W16" i="35"/>
  <c r="G107" i="37"/>
  <c r="H107" i="37" s="1"/>
  <c r="I107" i="37" s="1"/>
  <c r="J107" i="37" s="1"/>
  <c r="K107" i="37" s="1"/>
  <c r="L107" i="37" s="1"/>
  <c r="M107" i="37" s="1"/>
  <c r="H37" i="21"/>
  <c r="U37" i="21" s="1"/>
  <c r="F36" i="35"/>
  <c r="S36" i="35" s="1"/>
  <c r="J9" i="37"/>
  <c r="W9" i="37" s="1"/>
  <c r="H9" i="37"/>
  <c r="U9" i="37" s="1"/>
  <c r="F9" i="37"/>
  <c r="S9" i="37" s="1"/>
  <c r="J12" i="37"/>
  <c r="W12" i="37" s="1"/>
  <c r="H12" i="37"/>
  <c r="AB12" i="37" s="1"/>
  <c r="F12" i="37"/>
  <c r="S12" i="37" s="1"/>
  <c r="E94" i="37"/>
  <c r="F94" i="37" s="1"/>
  <c r="G94" i="37" s="1"/>
  <c r="H94" i="37" s="1"/>
  <c r="I94" i="37" s="1"/>
  <c r="J94" i="37" s="1"/>
  <c r="K94" i="37" s="1"/>
  <c r="L94" i="37" s="1"/>
  <c r="M94" i="37" s="1"/>
  <c r="F31" i="37"/>
  <c r="S31" i="37" s="1"/>
  <c r="F12" i="39"/>
  <c r="S12" i="39" s="1"/>
  <c r="J42" i="39"/>
  <c r="AC42" i="39" s="1"/>
  <c r="H21" i="40"/>
  <c r="AB21" i="40" s="1"/>
  <c r="H31" i="37"/>
  <c r="U31" i="37" s="1"/>
  <c r="AT6" i="3"/>
  <c r="F88" i="40"/>
  <c r="G88"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c r="F11" i="39"/>
  <c r="S11" i="39" s="1"/>
  <c r="AA11" i="39"/>
  <c r="G4" i="4"/>
  <c r="I4" i="4"/>
  <c r="A2" i="9"/>
  <c r="F61" i="43"/>
  <c r="H64" i="43" s="1"/>
  <c r="AZ497" i="3"/>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AZ116" i="3" s="1"/>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G161" i="3"/>
  <c r="BA163" i="3"/>
  <c r="AZ163" i="3"/>
  <c r="BL164" i="3"/>
  <c r="G165" i="3"/>
  <c r="BA167" i="3"/>
  <c r="BL168" i="3"/>
  <c r="G169" i="3"/>
  <c r="BA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44" i="3"/>
  <c r="AZ168" i="3"/>
  <c r="AZ184" i="3"/>
  <c r="AZ97" i="3"/>
  <c r="AZ120" i="3"/>
  <c r="G534" i="3"/>
  <c r="G530" i="3"/>
  <c r="G522" i="3"/>
  <c r="G516" i="3"/>
  <c r="G512" i="3"/>
  <c r="G506" i="3"/>
  <c r="G498" i="3"/>
  <c r="G494"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G328" i="3"/>
  <c r="BA330" i="3"/>
  <c r="BL331" i="3"/>
  <c r="AZ331" i="3" s="1"/>
  <c r="G332" i="3"/>
  <c r="BA334" i="3"/>
  <c r="BL335" i="3"/>
  <c r="G336" i="3"/>
  <c r="BA338" i="3"/>
  <c r="BL339" i="3"/>
  <c r="G340" i="3"/>
  <c r="BL343" i="3"/>
  <c r="G344" i="3"/>
  <c r="G348" i="3"/>
  <c r="G355" i="3"/>
  <c r="AZ214" i="3"/>
  <c r="G342" i="3"/>
  <c r="BL345" i="3"/>
  <c r="AZ345" i="3" s="1"/>
  <c r="G346" i="3"/>
  <c r="BL349" i="3"/>
  <c r="BL352" i="3"/>
  <c r="G353" i="3"/>
  <c r="BA357" i="3"/>
  <c r="BL358" i="3"/>
  <c r="G359" i="3"/>
  <c r="BA361" i="3"/>
  <c r="AZ361" i="3"/>
  <c r="BL362" i="3"/>
  <c r="G363" i="3"/>
  <c r="BA365" i="3"/>
  <c r="BL366" i="3"/>
  <c r="AZ366" i="3" s="1"/>
  <c r="G367" i="3"/>
  <c r="BA369" i="3"/>
  <c r="AZ369" i="3"/>
  <c r="BL370" i="3"/>
  <c r="AZ370" i="3" s="1"/>
  <c r="G371" i="3"/>
  <c r="BA373" i="3"/>
  <c r="AZ373" i="3"/>
  <c r="BL374" i="3"/>
  <c r="G375" i="3"/>
  <c r="BA377" i="3"/>
  <c r="AZ377" i="3"/>
  <c r="AZ249" i="3"/>
  <c r="BA379" i="3"/>
  <c r="AZ379" i="3" s="1"/>
  <c r="BL380" i="3"/>
  <c r="G381" i="3"/>
  <c r="BA383" i="3"/>
  <c r="AZ383" i="3" s="1"/>
  <c r="BL384" i="3"/>
  <c r="G385" i="3"/>
  <c r="BA387" i="3"/>
  <c r="BL388" i="3"/>
  <c r="G389" i="3"/>
  <c r="BA391" i="3"/>
  <c r="AZ391" i="3" s="1"/>
  <c r="BL392" i="3"/>
  <c r="G393" i="3"/>
  <c r="AZ275" i="3"/>
  <c r="BO5" i="3"/>
  <c r="BM5" i="3"/>
  <c r="BJ5" i="3"/>
  <c r="BH5" i="3"/>
  <c r="BF5" i="3"/>
  <c r="BD5" i="3"/>
  <c r="AC5" i="3"/>
  <c r="AZ506" i="3"/>
  <c r="AZ496" i="3"/>
  <c r="G548" i="3"/>
  <c r="G538" i="3"/>
  <c r="G520" i="3"/>
  <c r="G502" i="3"/>
  <c r="BS5" i="3"/>
  <c r="BP5" i="3"/>
  <c r="BN5" i="3"/>
  <c r="BK5" i="3"/>
  <c r="BI5" i="3"/>
  <c r="BG5" i="3"/>
  <c r="BE5" i="3"/>
  <c r="G17" i="3"/>
  <c r="BA17" i="3"/>
  <c r="BT5" i="3"/>
  <c r="AZ350" i="3"/>
  <c r="AZ356" i="3"/>
  <c r="BA15" i="3"/>
  <c r="BR5" i="3"/>
  <c r="AZ392" i="3"/>
  <c r="AZ499" i="3"/>
  <c r="G509" i="3"/>
  <c r="BL493" i="3"/>
  <c r="AZ493" i="3" s="1"/>
  <c r="F83" i="43"/>
  <c r="H85" i="43" s="1"/>
  <c r="F50" i="43"/>
  <c r="H54" i="43" s="1"/>
  <c r="F72" i="43"/>
  <c r="H75" i="43" s="1"/>
  <c r="U17" i="39"/>
  <c r="S14" i="35"/>
  <c r="G8" i="1"/>
  <c r="G10" i="1"/>
  <c r="AC11" i="39"/>
  <c r="AZ563" i="3"/>
  <c r="U13" i="37"/>
  <c r="J37" i="33"/>
  <c r="W37" i="33" s="1"/>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F27" i="40"/>
  <c r="AA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1" i="3"/>
  <c r="AZ86" i="3"/>
  <c r="AZ110" i="3"/>
  <c r="F23" i="39"/>
  <c r="AA23" i="39" s="1"/>
  <c r="H27" i="36"/>
  <c r="U27" i="36" s="1"/>
  <c r="F27" i="36"/>
  <c r="AA27" i="36" s="1"/>
  <c r="H33" i="34"/>
  <c r="U33" i="34" s="1"/>
  <c r="F32" i="37"/>
  <c r="S32" i="37" s="1"/>
  <c r="F20" i="36"/>
  <c r="AA20" i="36" s="1"/>
  <c r="J33" i="34"/>
  <c r="AC33" i="34" s="1"/>
  <c r="H23" i="39"/>
  <c r="U23" i="39" s="1"/>
  <c r="D48" i="9"/>
  <c r="M52" i="9" s="1"/>
  <c r="K9" i="1"/>
  <c r="K6" i="1"/>
  <c r="AP6" i="1" s="1"/>
  <c r="W27" i="34"/>
  <c r="AC27" i="34"/>
  <c r="AB33" i="36"/>
  <c r="U33" i="36"/>
  <c r="AC12" i="39"/>
  <c r="W12" i="39"/>
  <c r="AC39" i="40"/>
  <c r="W39" i="40"/>
  <c r="AZ412" i="3"/>
  <c r="AZ586" i="3"/>
  <c r="W12" i="33"/>
  <c r="AC12" i="33"/>
  <c r="AZ473" i="3"/>
  <c r="BL14" i="3"/>
  <c r="U30" i="33"/>
  <c r="AC13" i="34"/>
  <c r="AA47" i="34"/>
  <c r="W28" i="37"/>
  <c r="S19" i="39"/>
  <c r="F12" i="33"/>
  <c r="H12" i="39"/>
  <c r="U12" i="39" s="1"/>
  <c r="AB12" i="39"/>
  <c r="F39" i="40"/>
  <c r="AA39" i="40" s="1"/>
  <c r="BA14" i="3"/>
  <c r="AZ367" i="3"/>
  <c r="AZ286" i="3"/>
  <c r="AZ189" i="3"/>
  <c r="B12" i="1"/>
  <c r="E12" i="1" s="1"/>
  <c r="B10" i="1"/>
  <c r="E10" i="1" s="1"/>
  <c r="K12" i="1"/>
  <c r="M12" i="1" s="1"/>
  <c r="S13" i="1"/>
  <c r="AR13" i="1" s="1"/>
  <c r="R13" i="1"/>
  <c r="J51" i="67"/>
  <c r="C42" i="1"/>
  <c r="C24" i="12" s="1"/>
  <c r="AC34" i="33"/>
  <c r="AB37" i="40"/>
  <c r="AC17" i="40"/>
  <c r="S28"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S25" i="37"/>
  <c r="W30" i="37"/>
  <c r="W38" i="37"/>
  <c r="W39" i="37"/>
  <c r="S30" i="37"/>
  <c r="J17" i="37"/>
  <c r="W17" i="37" s="1"/>
  <c r="F17" i="37"/>
  <c r="AA17" i="37" s="1"/>
  <c r="F79" i="37"/>
  <c r="G79" i="37" s="1"/>
  <c r="AC13" i="37"/>
  <c r="AA13" i="37"/>
  <c r="H10" i="37"/>
  <c r="AB10" i="37" s="1"/>
  <c r="F63" i="37"/>
  <c r="F11" i="37"/>
  <c r="S11" i="37" s="1"/>
  <c r="W25" i="34"/>
  <c r="U43" i="34"/>
  <c r="AC42" i="34"/>
  <c r="AA45" i="34"/>
  <c r="AA29" i="34"/>
  <c r="U27"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H27" i="33"/>
  <c r="F87" i="33"/>
  <c r="G87" i="33" s="1"/>
  <c r="H25" i="33"/>
  <c r="F25" i="33"/>
  <c r="J23" i="33"/>
  <c r="AC23" i="33" s="1"/>
  <c r="F85" i="33"/>
  <c r="H23" i="33"/>
  <c r="F81" i="33"/>
  <c r="F19" i="33"/>
  <c r="S19" i="33" s="1"/>
  <c r="W19" i="33"/>
  <c r="J17" i="33"/>
  <c r="F79" i="33"/>
  <c r="G79" i="33" s="1"/>
  <c r="S15" i="33"/>
  <c r="W15" i="33"/>
  <c r="J10" i="33"/>
  <c r="W10" i="33" s="1"/>
  <c r="H10" i="33"/>
  <c r="U10" i="33" s="1"/>
  <c r="AC11" i="33"/>
  <c r="AB14" i="33"/>
  <c r="W36" i="21"/>
  <c r="W41" i="21"/>
  <c r="S39"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C52" i="37"/>
  <c r="D52" i="37" s="1"/>
  <c r="A4" i="51"/>
  <c r="B6" i="72" s="1"/>
  <c r="C48" i="35"/>
  <c r="D48" i="35" s="1"/>
  <c r="B6" i="1"/>
  <c r="E6" i="1" s="1"/>
  <c r="K11" i="1"/>
  <c r="M11" i="1" s="1"/>
  <c r="O11" i="1" s="1"/>
  <c r="B9" i="1"/>
  <c r="E9" i="1" s="1"/>
  <c r="K7" i="1"/>
  <c r="G1" i="15"/>
  <c r="G1" i="69"/>
  <c r="G1" i="67"/>
  <c r="AB28" i="40"/>
  <c r="W28" i="40"/>
  <c r="AC14" i="40"/>
  <c r="S13" i="40"/>
  <c r="S33" i="40"/>
  <c r="U11" i="40"/>
  <c r="S31" i="40"/>
  <c r="AB13" i="40"/>
  <c r="AB17"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W29" i="36"/>
  <c r="AC20" i="36"/>
  <c r="AB28" i="36"/>
  <c r="W9" i="36"/>
  <c r="W22" i="36"/>
  <c r="W23" i="36"/>
  <c r="AB20" i="35"/>
  <c r="S24" i="35"/>
  <c r="U24" i="35"/>
  <c r="S35" i="35"/>
  <c r="W35" i="35"/>
  <c r="AA16" i="35"/>
  <c r="S28" i="37"/>
  <c r="U38" i="37"/>
  <c r="AB37" i="37"/>
  <c r="U8" i="37"/>
  <c r="AB40" i="34"/>
  <c r="AC45" i="34"/>
  <c r="AA31" i="34"/>
  <c r="AA30" i="34"/>
  <c r="AB45" i="34"/>
  <c r="AB47" i="34"/>
  <c r="AC14" i="34"/>
  <c r="AC29" i="34"/>
  <c r="W29" i="34"/>
  <c r="W46" i="34"/>
  <c r="AC46" i="34"/>
  <c r="U30" i="34"/>
  <c r="AB30" i="34"/>
  <c r="S37" i="34"/>
  <c r="U38" i="34"/>
  <c r="AA36" i="34"/>
  <c r="S36" i="34"/>
  <c r="AA8" i="34"/>
  <c r="AB9" i="34"/>
  <c r="U9" i="34"/>
  <c r="S46" i="34"/>
  <c r="AA46" i="34"/>
  <c r="U32" i="34"/>
  <c r="AB32" i="34"/>
  <c r="U14" i="34"/>
  <c r="AB14" i="34"/>
  <c r="W4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I101" i="21"/>
  <c r="J101" i="21" s="1"/>
  <c r="K101" i="21" s="1"/>
  <c r="L101" i="21" s="1"/>
  <c r="M101" i="21" s="1"/>
  <c r="F33" i="21"/>
  <c r="AA33" i="21" s="1"/>
  <c r="J33" i="21"/>
  <c r="AC33" i="21" s="1"/>
  <c r="H33" i="21"/>
  <c r="AB33" i="21" s="1"/>
  <c r="F37" i="21"/>
  <c r="AA37" i="21" s="1"/>
  <c r="AB46" i="21"/>
  <c r="U13" i="21"/>
  <c r="AB13" i="21"/>
  <c r="J37" i="21"/>
  <c r="W37" i="21" s="1"/>
  <c r="H15" i="21"/>
  <c r="U15" i="21" s="1"/>
  <c r="J17" i="21"/>
  <c r="AC17" i="21" s="1"/>
  <c r="AC19" i="21"/>
  <c r="S46" i="21"/>
  <c r="H45" i="21"/>
  <c r="U45" i="21" s="1"/>
  <c r="F29" i="21"/>
  <c r="AA29" i="21" s="1"/>
  <c r="F13" i="21"/>
  <c r="AA13" i="21" s="1"/>
  <c r="H32" i="21"/>
  <c r="U32" i="21" s="1"/>
  <c r="H9" i="21"/>
  <c r="U9" i="21" s="1"/>
  <c r="J9" i="21"/>
  <c r="W9" i="21" s="1"/>
  <c r="J32" i="21"/>
  <c r="W32" i="21" s="1"/>
  <c r="F32" i="21"/>
  <c r="S32" i="21" s="1"/>
  <c r="W29" i="21"/>
  <c r="AA9" i="21"/>
  <c r="K141" i="21"/>
  <c r="K144" i="21"/>
  <c r="K143" i="21"/>
  <c r="AB25" i="21"/>
  <c r="AB44" i="21"/>
  <c r="AC45" i="21"/>
  <c r="F10" i="21"/>
  <c r="AA10" i="21" s="1"/>
  <c r="K145" i="21"/>
  <c r="W25" i="21"/>
  <c r="W31" i="21"/>
  <c r="AA15" i="21"/>
  <c r="AC27" i="21"/>
  <c r="AC26" i="21"/>
  <c r="AB29" i="21"/>
  <c r="S28" i="21"/>
  <c r="AB36" i="21"/>
  <c r="W30" i="40"/>
  <c r="C19" i="39"/>
  <c r="C17" i="40"/>
  <c r="C23" i="40"/>
  <c r="C21" i="40"/>
  <c r="U30" i="40"/>
  <c r="B56" i="43"/>
  <c r="B67" i="43"/>
  <c r="B51" i="43"/>
  <c r="B54" i="43"/>
  <c r="B58" i="43"/>
  <c r="B62" i="43"/>
  <c r="B65" i="43"/>
  <c r="B69" i="43"/>
  <c r="D23" i="15"/>
  <c r="D22" i="15"/>
  <c r="E4" i="4"/>
  <c r="B5" i="62" s="1"/>
  <c r="B73" i="72" s="1"/>
  <c r="C4" i="4"/>
  <c r="S12" i="33"/>
  <c r="AA12" i="33"/>
  <c r="J32" i="39"/>
  <c r="W32" i="39" s="1"/>
  <c r="H32" i="39"/>
  <c r="AB32" i="39" s="1"/>
  <c r="AA32" i="39"/>
  <c r="S32" i="39"/>
  <c r="AB21" i="39"/>
  <c r="U21" i="39"/>
  <c r="AA21" i="39"/>
  <c r="J23" i="37"/>
  <c r="W23" i="37" s="1"/>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U27" i="33"/>
  <c r="AB27" i="33"/>
  <c r="G91" i="33"/>
  <c r="H91" i="33" s="1"/>
  <c r="I91" i="33" s="1"/>
  <c r="J91" i="33" s="1"/>
  <c r="K91" i="33" s="1"/>
  <c r="L91" i="33" s="1"/>
  <c r="M91" i="33" s="1"/>
  <c r="J27" i="33"/>
  <c r="U25" i="33"/>
  <c r="AB25" i="33"/>
  <c r="S25" i="33"/>
  <c r="AA25" i="33"/>
  <c r="H87" i="33"/>
  <c r="I87" i="33" s="1"/>
  <c r="J87" i="33" s="1"/>
  <c r="K87" i="33" s="1"/>
  <c r="L87" i="33" s="1"/>
  <c r="M87" i="33" s="1"/>
  <c r="J25" i="33"/>
  <c r="AC25" i="33" s="1"/>
  <c r="AB23" i="33"/>
  <c r="U23" i="33"/>
  <c r="F23" i="33"/>
  <c r="G85" i="33"/>
  <c r="AA19" i="33"/>
  <c r="H19" i="33"/>
  <c r="U19" i="33" s="1"/>
  <c r="G81" i="33"/>
  <c r="H17" i="33"/>
  <c r="U17" i="33" s="1"/>
  <c r="F17" i="33"/>
  <c r="S17" i="33" s="1"/>
  <c r="W17" i="33"/>
  <c r="AC17" i="33"/>
  <c r="J23" i="21"/>
  <c r="AC23" i="21" s="1"/>
  <c r="F85" i="21"/>
  <c r="G85" i="21" s="1"/>
  <c r="H23" i="21"/>
  <c r="U23" i="21" s="1"/>
  <c r="S13" i="21"/>
  <c r="D6" i="52"/>
  <c r="AP7" i="1"/>
  <c r="U32" i="39"/>
  <c r="AC32" i="39"/>
  <c r="J63" i="37"/>
  <c r="K63" i="37" s="1"/>
  <c r="L63" i="37" s="1"/>
  <c r="M63" i="37" s="1"/>
  <c r="J11" i="37"/>
  <c r="AC11" i="37" s="1"/>
  <c r="H70" i="34"/>
  <c r="I70" i="34" s="1"/>
  <c r="J70" i="34" s="1"/>
  <c r="K70" i="34" s="1"/>
  <c r="L70" i="34" s="1"/>
  <c r="M70" i="34" s="1"/>
  <c r="J11" i="34"/>
  <c r="W11" i="34" s="1"/>
  <c r="W27" i="33"/>
  <c r="AC27" i="33"/>
  <c r="AB19" i="33"/>
  <c r="AA17" i="33"/>
  <c r="H109" i="9"/>
  <c r="H112" i="9"/>
  <c r="D21" i="53" s="1"/>
  <c r="B39" i="72" s="1"/>
  <c r="H111" i="9"/>
  <c r="D126" i="9" s="1"/>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7" i="76"/>
  <c r="F38" i="15"/>
  <c r="L48" i="15"/>
  <c r="F8" i="67"/>
  <c r="M28" i="15"/>
  <c r="F20" i="31"/>
  <c r="F40" i="15"/>
  <c r="F9" i="15"/>
  <c r="F36" i="15"/>
  <c r="F3" i="73"/>
  <c r="AO13" i="1"/>
  <c r="B13" i="76"/>
  <c r="M24" i="67"/>
  <c r="F7" i="15"/>
  <c r="F16" i="67"/>
  <c r="M29" i="67"/>
  <c r="D35" i="9"/>
  <c r="F6" i="67"/>
  <c r="F38" i="67"/>
  <c r="M24" i="15"/>
  <c r="B12" i="76"/>
  <c r="E8" i="76"/>
  <c r="M23" i="15"/>
  <c r="M6" i="67"/>
  <c r="E12" i="76"/>
  <c r="E9" i="76"/>
  <c r="F13" i="67"/>
  <c r="D34" i="9"/>
  <c r="M9" i="15"/>
  <c r="F4" i="73"/>
  <c r="F42" i="15"/>
  <c r="J15" i="15"/>
  <c r="L47" i="15"/>
  <c r="E7" i="76"/>
  <c r="F6" i="15"/>
  <c r="B10" i="76"/>
  <c r="F5" i="73"/>
  <c r="E11" i="76"/>
  <c r="M8" i="67"/>
  <c r="F37" i="15"/>
  <c r="F26" i="67"/>
  <c r="F6" i="73"/>
  <c r="B9" i="76"/>
  <c r="L47" i="67"/>
  <c r="F13" i="15"/>
  <c r="C76" i="15"/>
  <c r="F16" i="15"/>
  <c r="E10" i="76"/>
  <c r="M28" i="67"/>
  <c r="M6" i="15"/>
  <c r="M26" i="67"/>
  <c r="L48" i="67"/>
  <c r="B11" i="76"/>
  <c r="F7" i="67"/>
  <c r="E2" i="68"/>
  <c r="M23" i="67"/>
  <c r="F8" i="15"/>
  <c r="M26" i="15"/>
  <c r="F43" i="67"/>
  <c r="M22" i="67"/>
  <c r="F7" i="73"/>
  <c r="F42" i="67"/>
  <c r="E13" i="76"/>
  <c r="M29" i="15"/>
  <c r="F9" i="67"/>
  <c r="F26" i="15"/>
  <c r="F43" i="15"/>
  <c r="F40" i="67"/>
  <c r="M8" i="15"/>
  <c r="B8" i="76"/>
  <c r="M22" i="15"/>
  <c r="E2" i="69"/>
  <c r="F36" i="67"/>
  <c r="B7" i="1" l="1"/>
  <c r="E7" i="1" s="1"/>
  <c r="G1" i="84"/>
  <c r="G1" i="83"/>
  <c r="G1" i="82"/>
  <c r="G1" i="85"/>
  <c r="M7" i="1"/>
  <c r="M10" i="1"/>
  <c r="AH10" i="1"/>
  <c r="M9" i="1"/>
  <c r="M8" i="1"/>
  <c r="F82" i="34"/>
  <c r="G82" i="34" s="1"/>
  <c r="J19" i="34"/>
  <c r="AC19" i="34" s="1"/>
  <c r="F19" i="34"/>
  <c r="H19" i="34"/>
  <c r="AB19" i="34" s="1"/>
  <c r="W41" i="34"/>
  <c r="W40" i="34"/>
  <c r="AB36" i="34"/>
  <c r="AB41" i="34"/>
  <c r="W33" i="34"/>
  <c r="AB35" i="34"/>
  <c r="W44" i="34"/>
  <c r="AA44" i="34"/>
  <c r="AA38" i="34"/>
  <c r="W28" i="34"/>
  <c r="AC28" i="34"/>
  <c r="S28" i="34"/>
  <c r="H28" i="34"/>
  <c r="U25" i="34"/>
  <c r="AA25" i="34"/>
  <c r="AC23" i="34"/>
  <c r="S23" i="34"/>
  <c r="W19" i="34"/>
  <c r="AC17" i="34"/>
  <c r="S17" i="34"/>
  <c r="U15" i="34"/>
  <c r="W31" i="34"/>
  <c r="W8" i="34"/>
  <c r="S43" i="34"/>
  <c r="AA40" i="34"/>
  <c r="U39" i="34"/>
  <c r="S35" i="34"/>
  <c r="AB33" i="34"/>
  <c r="AA33" i="34"/>
  <c r="AB8" i="34"/>
  <c r="W37" i="37"/>
  <c r="S37" i="37"/>
  <c r="W36" i="37"/>
  <c r="AB35" i="37"/>
  <c r="AC35" i="37"/>
  <c r="I99" i="37"/>
  <c r="J99" i="37" s="1"/>
  <c r="K99" i="37" s="1"/>
  <c r="L99" i="37" s="1"/>
  <c r="M99" i="37" s="1"/>
  <c r="H33" i="37"/>
  <c r="F33" i="37"/>
  <c r="AA33" i="37" s="1"/>
  <c r="J33" i="37"/>
  <c r="AC33" i="37" s="1"/>
  <c r="F19" i="37"/>
  <c r="S19" i="37" s="1"/>
  <c r="F75" i="37"/>
  <c r="G75" i="37" s="1"/>
  <c r="J19" i="37"/>
  <c r="W19" i="37" s="1"/>
  <c r="AB17" i="37"/>
  <c r="J15" i="37"/>
  <c r="W15" i="37" s="1"/>
  <c r="E71" i="37"/>
  <c r="F71" i="37" s="1"/>
  <c r="G71" i="37" s="1"/>
  <c r="H15" i="37"/>
  <c r="AB15" i="37" s="1"/>
  <c r="W32" i="37"/>
  <c r="U29" i="37"/>
  <c r="U36" i="37"/>
  <c r="U32" i="37"/>
  <c r="W31" i="37"/>
  <c r="AB31" i="37"/>
  <c r="AA23" i="37"/>
  <c r="U23" i="37"/>
  <c r="AC21" i="37"/>
  <c r="S21" i="37"/>
  <c r="U19" i="37"/>
  <c r="AA19" i="37"/>
  <c r="AC17" i="37"/>
  <c r="S17" i="37"/>
  <c r="S15" i="37"/>
  <c r="AC15" i="37"/>
  <c r="AC40" i="37"/>
  <c r="W40" i="37"/>
  <c r="S40" i="37"/>
  <c r="AA38" i="37"/>
  <c r="H40" i="37"/>
  <c r="AB25" i="37"/>
  <c r="J27" i="37"/>
  <c r="F27" i="37"/>
  <c r="AC12" i="37"/>
  <c r="S14" i="37"/>
  <c r="S36" i="37"/>
  <c r="AA35" i="37"/>
  <c r="AC34" i="37"/>
  <c r="AA31" i="37"/>
  <c r="AA29" i="37"/>
  <c r="AC29" i="37"/>
  <c r="AA43" i="21"/>
  <c r="S40" i="21"/>
  <c r="AB38" i="21"/>
  <c r="U19" i="21"/>
  <c r="AB19" i="21"/>
  <c r="F81" i="21"/>
  <c r="G81" i="21" s="1"/>
  <c r="U17" i="21"/>
  <c r="AC38" i="21"/>
  <c r="W43" i="21"/>
  <c r="AA36" i="21"/>
  <c r="U43" i="21"/>
  <c r="S37" i="21"/>
  <c r="AB31" i="21"/>
  <c r="U31" i="21"/>
  <c r="AA26" i="21"/>
  <c r="S27" i="21"/>
  <c r="U27" i="21"/>
  <c r="F31" i="21"/>
  <c r="AB23" i="21"/>
  <c r="W23" i="21"/>
  <c r="AA23" i="21"/>
  <c r="W21" i="21"/>
  <c r="S19" i="21"/>
  <c r="W17" i="21"/>
  <c r="S17" i="21"/>
  <c r="AB15" i="21"/>
  <c r="AC15" i="21"/>
  <c r="W13" i="21"/>
  <c r="AB9" i="21"/>
  <c r="AC9" i="21"/>
  <c r="W42" i="21"/>
  <c r="S42" i="21"/>
  <c r="AB42" i="21"/>
  <c r="U40" i="21"/>
  <c r="W39" i="21"/>
  <c r="AB39" i="21"/>
  <c r="AA38" i="21"/>
  <c r="U35" i="21"/>
  <c r="AA35" i="21"/>
  <c r="AC35" i="21"/>
  <c r="AC34" i="21"/>
  <c r="AA32" i="21"/>
  <c r="AB32" i="21"/>
  <c r="W34" i="40"/>
  <c r="F113" i="40"/>
  <c r="G113" i="40" s="1"/>
  <c r="H113" i="40" s="1"/>
  <c r="I113" i="40" s="1"/>
  <c r="J113" i="40" s="1"/>
  <c r="K113" i="40" s="1"/>
  <c r="L113" i="40" s="1"/>
  <c r="M113" i="40" s="1"/>
  <c r="H36" i="40"/>
  <c r="AB36" i="40" s="1"/>
  <c r="F36" i="40"/>
  <c r="AA36" i="40" s="1"/>
  <c r="J36" i="40"/>
  <c r="W36" i="40" s="1"/>
  <c r="F92" i="40"/>
  <c r="G92" i="40" s="1"/>
  <c r="H23" i="40"/>
  <c r="AB23" i="40" s="1"/>
  <c r="F23" i="40"/>
  <c r="AA23" i="40" s="1"/>
  <c r="J23" i="40"/>
  <c r="AC23" i="40" s="1"/>
  <c r="AC21" i="40"/>
  <c r="H19" i="40"/>
  <c r="U19" i="40" s="1"/>
  <c r="W19" i="40"/>
  <c r="F19" i="40"/>
  <c r="S19" i="40" s="1"/>
  <c r="S17" i="40"/>
  <c r="S39" i="40"/>
  <c r="S36" i="40"/>
  <c r="S35" i="40"/>
  <c r="S37" i="40"/>
  <c r="U36" i="40"/>
  <c r="AC37" i="40"/>
  <c r="U35" i="40"/>
  <c r="U25" i="40"/>
  <c r="AC25" i="40"/>
  <c r="S25" i="40"/>
  <c r="W23" i="40"/>
  <c r="U21" i="40"/>
  <c r="AA21" i="40"/>
  <c r="AB19" i="40"/>
  <c r="U15" i="40"/>
  <c r="AC15" i="40"/>
  <c r="AA15" i="40"/>
  <c r="W27" i="40"/>
  <c r="AC27" i="40"/>
  <c r="S30" i="40"/>
  <c r="S27" i="40"/>
  <c r="U27" i="40"/>
  <c r="F32" i="40"/>
  <c r="AB31" i="40"/>
  <c r="H32" i="40"/>
  <c r="AC11" i="40"/>
  <c r="S11" i="40"/>
  <c r="U8" i="40"/>
  <c r="W35" i="40"/>
  <c r="AA12" i="40"/>
  <c r="C15" i="40"/>
  <c r="B79" i="43"/>
  <c r="B68" i="43"/>
  <c r="B57" i="43"/>
  <c r="B77" i="43"/>
  <c r="B41" i="1"/>
  <c r="F30" i="11" s="1"/>
  <c r="C48" i="11" s="1"/>
  <c r="D93" i="9"/>
  <c r="F30" i="69"/>
  <c r="F48" i="69" s="1"/>
  <c r="F28" i="67"/>
  <c r="M18" i="67"/>
  <c r="F28" i="15"/>
  <c r="M18" i="15"/>
  <c r="F31" i="12"/>
  <c r="D68" i="9"/>
  <c r="F32" i="67"/>
  <c r="F60" i="67" s="1"/>
  <c r="C40" i="68"/>
  <c r="C21" i="68"/>
  <c r="E19" i="11"/>
  <c r="E19" i="68"/>
  <c r="BL18" i="3"/>
  <c r="BL19" i="3"/>
  <c r="BA20" i="3"/>
  <c r="AZ14" i="3"/>
  <c r="BA16" i="3"/>
  <c r="BL15" i="3"/>
  <c r="AZ15" i="3" s="1"/>
  <c r="BA22" i="3"/>
  <c r="BC5" i="3"/>
  <c r="F29" i="6"/>
  <c r="H5" i="3"/>
  <c r="BB5" i="3"/>
  <c r="G29" i="6"/>
  <c r="F3" i="35"/>
  <c r="G14" i="3"/>
  <c r="J1" i="73"/>
  <c r="W25" i="33"/>
  <c r="AC23" i="37"/>
  <c r="F48" i="9"/>
  <c r="O52" i="9" s="1"/>
  <c r="F30" i="68"/>
  <c r="F48" i="68" s="1"/>
  <c r="F52" i="9"/>
  <c r="F32" i="15"/>
  <c r="F60" i="15" s="1"/>
  <c r="F54" i="9"/>
  <c r="U36" i="33"/>
  <c r="AB36" i="33"/>
  <c r="AA32" i="37"/>
  <c r="AZ387" i="3"/>
  <c r="AZ362" i="3"/>
  <c r="AZ338" i="3"/>
  <c r="AZ390" i="3"/>
  <c r="AZ371" i="3"/>
  <c r="AZ351" i="3"/>
  <c r="AZ336" i="3"/>
  <c r="AZ305" i="3"/>
  <c r="AZ360" i="3"/>
  <c r="AZ511" i="3"/>
  <c r="AZ527" i="3"/>
  <c r="AZ575" i="3"/>
  <c r="AZ508" i="3"/>
  <c r="AZ570" i="3"/>
  <c r="AZ540" i="3"/>
  <c r="U30" i="21"/>
  <c r="W36" i="34"/>
  <c r="B97" i="43"/>
  <c r="B75" i="43"/>
  <c r="H9" i="33"/>
  <c r="F9" i="33"/>
  <c r="AA9" i="33" s="1"/>
  <c r="W27" i="35"/>
  <c r="J12" i="36"/>
  <c r="F12" i="36"/>
  <c r="H12" i="36"/>
  <c r="F25" i="36"/>
  <c r="H25" i="36"/>
  <c r="H34" i="36"/>
  <c r="J34" i="36"/>
  <c r="W34" i="36" s="1"/>
  <c r="H38" i="40"/>
  <c r="F38" i="40"/>
  <c r="BL580" i="3"/>
  <c r="AZ580" i="3" s="1"/>
  <c r="BL579" i="3"/>
  <c r="AZ579" i="3" s="1"/>
  <c r="BA577" i="3"/>
  <c r="BA576" i="3"/>
  <c r="AZ576" i="3" s="1"/>
  <c r="AZ306" i="3"/>
  <c r="AZ529" i="3"/>
  <c r="AB35" i="33"/>
  <c r="U35" i="33"/>
  <c r="S44" i="33"/>
  <c r="AA44" i="33"/>
  <c r="H25" i="35"/>
  <c r="J25" i="35"/>
  <c r="AC22" i="35"/>
  <c r="W22" i="35"/>
  <c r="J13" i="36"/>
  <c r="F13" i="36"/>
  <c r="F32" i="36"/>
  <c r="H32" i="36"/>
  <c r="H12" i="40"/>
  <c r="J12" i="40"/>
  <c r="U30" i="36"/>
  <c r="AB30" i="36"/>
  <c r="BA584" i="3"/>
  <c r="AZ584" i="3" s="1"/>
  <c r="BL582" i="3"/>
  <c r="AZ582" i="3" s="1"/>
  <c r="AB45" i="21"/>
  <c r="S20" i="36"/>
  <c r="AA35" i="33"/>
  <c r="AC39" i="34"/>
  <c r="S20" i="35"/>
  <c r="AA34" i="33"/>
  <c r="AZ357" i="3"/>
  <c r="AZ322" i="3"/>
  <c r="AZ313" i="3"/>
  <c r="AZ394" i="3"/>
  <c r="AA25" i="21"/>
  <c r="W44" i="33"/>
  <c r="AZ577" i="3"/>
  <c r="AZ503" i="3"/>
  <c r="AZ513" i="3"/>
  <c r="AZ571" i="3"/>
  <c r="AZ518" i="3"/>
  <c r="AZ556" i="3"/>
  <c r="AZ502" i="3"/>
  <c r="AA14" i="33"/>
  <c r="AB17" i="34"/>
  <c r="U23" i="34"/>
  <c r="H14" i="21"/>
  <c r="J14" i="21"/>
  <c r="F30" i="21"/>
  <c r="J30" i="21"/>
  <c r="J9" i="33"/>
  <c r="J26" i="33"/>
  <c r="F26" i="33"/>
  <c r="H26" i="33"/>
  <c r="AC9" i="34"/>
  <c r="W9" i="34"/>
  <c r="J45" i="33"/>
  <c r="F45" i="33"/>
  <c r="S14" i="34"/>
  <c r="AA14" i="34"/>
  <c r="F32" i="34"/>
  <c r="J32" i="34"/>
  <c r="F12" i="35"/>
  <c r="J12" i="35"/>
  <c r="S34" i="39"/>
  <c r="AA34" i="39"/>
  <c r="AC31" i="40"/>
  <c r="W31" i="40"/>
  <c r="AZ334" i="3"/>
  <c r="AZ498" i="3"/>
  <c r="W11" i="35"/>
  <c r="AC11" i="35"/>
  <c r="BL587" i="3"/>
  <c r="AZ587" i="3" s="1"/>
  <c r="AA38" i="33"/>
  <c r="S38" i="33"/>
  <c r="AC28" i="36"/>
  <c r="W28" i="36"/>
  <c r="J24" i="36"/>
  <c r="H24" i="36"/>
  <c r="F24" i="36"/>
  <c r="AB30" i="37"/>
  <c r="U30" i="37"/>
  <c r="H45" i="39"/>
  <c r="J45" i="39"/>
  <c r="W45" i="39" s="1"/>
  <c r="J38" i="40"/>
  <c r="BA569" i="3"/>
  <c r="AZ569" i="3" s="1"/>
  <c r="BA568" i="3"/>
  <c r="AZ568" i="3" s="1"/>
  <c r="BL550" i="3"/>
  <c r="BL398" i="3"/>
  <c r="AZ398" i="3" s="1"/>
  <c r="BL403" i="3"/>
  <c r="G405" i="3"/>
  <c r="G406" i="3"/>
  <c r="BA408" i="3"/>
  <c r="AZ408" i="3" s="1"/>
  <c r="BA409" i="3"/>
  <c r="AZ409" i="3" s="1"/>
  <c r="BA411" i="3"/>
  <c r="BL414" i="3"/>
  <c r="BL415" i="3"/>
  <c r="BA420" i="3"/>
  <c r="BA421" i="3"/>
  <c r="BL423" i="3"/>
  <c r="G427" i="3"/>
  <c r="BL430" i="3"/>
  <c r="G431" i="3"/>
  <c r="BL431" i="3"/>
  <c r="G444" i="3"/>
  <c r="AZ451" i="3"/>
  <c r="AZ414" i="3"/>
  <c r="AZ415" i="3"/>
  <c r="AZ519" i="3"/>
  <c r="AZ531" i="3"/>
  <c r="BL559" i="3"/>
  <c r="AZ559" i="3" s="1"/>
  <c r="BL573" i="3"/>
  <c r="AZ573" i="3" s="1"/>
  <c r="BL583" i="3"/>
  <c r="AZ583" i="3" s="1"/>
  <c r="S31" i="35"/>
  <c r="F39" i="37"/>
  <c r="S39" i="37" s="1"/>
  <c r="J44" i="39"/>
  <c r="G587" i="3"/>
  <c r="BA551" i="3"/>
  <c r="AZ551" i="3" s="1"/>
  <c r="BA550" i="3"/>
  <c r="AZ550" i="3" s="1"/>
  <c r="BL548" i="3"/>
  <c r="AZ548" i="3" s="1"/>
  <c r="BL16" i="3"/>
  <c r="AZ16" i="3" s="1"/>
  <c r="BA401" i="3"/>
  <c r="AZ401" i="3" s="1"/>
  <c r="BA403" i="3"/>
  <c r="BA404" i="3"/>
  <c r="AZ404" i="3" s="1"/>
  <c r="BA405" i="3"/>
  <c r="AZ405" i="3" s="1"/>
  <c r="G409" i="3"/>
  <c r="BL410" i="3"/>
  <c r="G419" i="3"/>
  <c r="BL420" i="3"/>
  <c r="G423" i="3"/>
  <c r="BA424" i="3"/>
  <c r="AB39" i="40"/>
  <c r="H39" i="37"/>
  <c r="BL585" i="3"/>
  <c r="AZ585" i="3" s="1"/>
  <c r="G558" i="3"/>
  <c r="G398" i="3"/>
  <c r="G399" i="3"/>
  <c r="BL400" i="3"/>
  <c r="AZ400" i="3" s="1"/>
  <c r="BL408" i="3"/>
  <c r="BL411" i="3"/>
  <c r="BL413" i="3"/>
  <c r="AZ413" i="3" s="1"/>
  <c r="G416" i="3"/>
  <c r="BL417" i="3"/>
  <c r="BL418" i="3"/>
  <c r="AZ418" i="3" s="1"/>
  <c r="BL428" i="3"/>
  <c r="BL429" i="3"/>
  <c r="G441" i="3"/>
  <c r="AZ217" i="3"/>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BA457" i="3"/>
  <c r="BA459" i="3"/>
  <c r="BA460" i="3"/>
  <c r="BA461" i="3"/>
  <c r="BL464" i="3"/>
  <c r="AZ464" i="3" s="1"/>
  <c r="BL466" i="3"/>
  <c r="AZ466" i="3" s="1"/>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BA384" i="3"/>
  <c r="AZ384" i="3" s="1"/>
  <c r="BA395" i="3"/>
  <c r="AZ395" i="3" s="1"/>
  <c r="BA208" i="3"/>
  <c r="AZ208" i="3" s="1"/>
  <c r="BA211" i="3"/>
  <c r="AZ211" i="3" s="1"/>
  <c r="BL213" i="3"/>
  <c r="BL215" i="3"/>
  <c r="BA222" i="3"/>
  <c r="AZ222" i="3" s="1"/>
  <c r="BA224" i="3"/>
  <c r="AZ224" i="3" s="1"/>
  <c r="BL224" i="3"/>
  <c r="BA227" i="3"/>
  <c r="AZ227" i="3" s="1"/>
  <c r="BA230" i="3"/>
  <c r="AZ230" i="3" s="1"/>
  <c r="AZ480" i="3"/>
  <c r="BA386" i="3"/>
  <c r="AZ386" i="3" s="1"/>
  <c r="G397" i="3"/>
  <c r="G210" i="3"/>
  <c r="BA216" i="3"/>
  <c r="AZ216" i="3" s="1"/>
  <c r="BA218" i="3"/>
  <c r="AZ218" i="3" s="1"/>
  <c r="BL218" i="3"/>
  <c r="BL220" i="3"/>
  <c r="BL221" i="3"/>
  <c r="G222" i="3"/>
  <c r="BL223" i="3"/>
  <c r="G224" i="3"/>
  <c r="BL225" i="3"/>
  <c r="BL226" i="3"/>
  <c r="G227" i="3"/>
  <c r="G231" i="3"/>
  <c r="BL231" i="3"/>
  <c r="G233" i="3"/>
  <c r="BL233" i="3"/>
  <c r="AZ233" i="3" s="1"/>
  <c r="BL252" i="3"/>
  <c r="BA260" i="3"/>
  <c r="BL435" i="3"/>
  <c r="BL436" i="3"/>
  <c r="BA439" i="3"/>
  <c r="BA440" i="3"/>
  <c r="AZ440" i="3" s="1"/>
  <c r="BA442" i="3"/>
  <c r="BA445" i="3"/>
  <c r="BA447" i="3"/>
  <c r="AZ447" i="3" s="1"/>
  <c r="BA449" i="3"/>
  <c r="BL453" i="3"/>
  <c r="BL454" i="3"/>
  <c r="G458" i="3"/>
  <c r="BL459" i="3"/>
  <c r="G462" i="3"/>
  <c r="BA465" i="3"/>
  <c r="AZ465" i="3" s="1"/>
  <c r="BA467" i="3"/>
  <c r="BA468" i="3"/>
  <c r="BL471" i="3"/>
  <c r="BL475" i="3"/>
  <c r="BA477" i="3"/>
  <c r="AZ477" i="3" s="1"/>
  <c r="BA478" i="3"/>
  <c r="BA481" i="3"/>
  <c r="BA488" i="3"/>
  <c r="AZ488" i="3" s="1"/>
  <c r="BA491" i="3"/>
  <c r="AZ491" i="3" s="1"/>
  <c r="BL324" i="3"/>
  <c r="AZ324" i="3" s="1"/>
  <c r="BL328" i="3"/>
  <c r="AZ328" i="3" s="1"/>
  <c r="BA335" i="3"/>
  <c r="AZ335" i="3" s="1"/>
  <c r="BA339" i="3"/>
  <c r="AZ339" i="3" s="1"/>
  <c r="BA348" i="3"/>
  <c r="BA417" i="3"/>
  <c r="AZ417" i="3" s="1"/>
  <c r="BL421" i="3"/>
  <c r="BL422" i="3"/>
  <c r="AZ422" i="3" s="1"/>
  <c r="BL425" i="3"/>
  <c r="BL426" i="3"/>
  <c r="BA428" i="3"/>
  <c r="BA429" i="3"/>
  <c r="AZ429" i="3" s="1"/>
  <c r="BA430" i="3"/>
  <c r="AZ430" i="3" s="1"/>
  <c r="BA432" i="3"/>
  <c r="AZ432" i="3" s="1"/>
  <c r="BA434" i="3"/>
  <c r="BA436" i="3"/>
  <c r="BA438" i="3"/>
  <c r="G442" i="3"/>
  <c r="G443" i="3"/>
  <c r="BA446" i="3"/>
  <c r="AZ446" i="3" s="1"/>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A228" i="3"/>
  <c r="AZ228" i="3" s="1"/>
  <c r="BA229" i="3"/>
  <c r="BL229" i="3"/>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A281" i="3"/>
  <c r="BA296" i="3"/>
  <c r="BA121" i="3"/>
  <c r="AZ121" i="3" s="1"/>
  <c r="BL121" i="3"/>
  <c r="BA124" i="3"/>
  <c r="AZ124" i="3" s="1"/>
  <c r="BA126" i="3"/>
  <c r="AZ126" i="3" s="1"/>
  <c r="BA129" i="3"/>
  <c r="BL134" i="3"/>
  <c r="BL137" i="3"/>
  <c r="BA160" i="3"/>
  <c r="AZ160" i="3" s="1"/>
  <c r="BL167" i="3"/>
  <c r="AZ167" i="3" s="1"/>
  <c r="BA169" i="3"/>
  <c r="AZ169" i="3" s="1"/>
  <c r="BL171" i="3"/>
  <c r="AZ171" i="3" s="1"/>
  <c r="BL69" i="3"/>
  <c r="AZ69" i="3" s="1"/>
  <c r="BL76" i="3"/>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A149" i="3"/>
  <c r="AZ149" i="3" s="1"/>
  <c r="BA150" i="3"/>
  <c r="AZ150" i="3" s="1"/>
  <c r="BL155" i="3"/>
  <c r="AZ155" i="3" s="1"/>
  <c r="BA162" i="3"/>
  <c r="BA164" i="3"/>
  <c r="AZ164" i="3" s="1"/>
  <c r="BA166" i="3"/>
  <c r="AZ166" i="3" s="1"/>
  <c r="BL170" i="3"/>
  <c r="G178" i="3"/>
  <c r="BL178" i="3"/>
  <c r="AZ178" i="3" s="1"/>
  <c r="BA180" i="3"/>
  <c r="AZ180" i="3" s="1"/>
  <c r="BL182" i="3"/>
  <c r="G183" i="3"/>
  <c r="BA194" i="3"/>
  <c r="AZ194" i="3" s="1"/>
  <c r="G202" i="3"/>
  <c r="BA30" i="3"/>
  <c r="BA40" i="3"/>
  <c r="BA55" i="3"/>
  <c r="AZ55" i="3" s="1"/>
  <c r="BL74" i="3"/>
  <c r="AZ74" i="3" s="1"/>
  <c r="BL285" i="3"/>
  <c r="BL287" i="3"/>
  <c r="BA290" i="3"/>
  <c r="BL113" i="3"/>
  <c r="BL115" i="3"/>
  <c r="AZ115" i="3" s="1"/>
  <c r="BA118" i="3"/>
  <c r="AZ118" i="3" s="1"/>
  <c r="BL118" i="3"/>
  <c r="BA122" i="3"/>
  <c r="AZ122" i="3" s="1"/>
  <c r="AZ13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AZ297" i="3" s="1"/>
  <c r="BL297" i="3"/>
  <c r="BL300" i="3"/>
  <c r="BA302" i="3"/>
  <c r="AZ302" i="3" s="1"/>
  <c r="G115" i="3"/>
  <c r="BA117" i="3"/>
  <c r="BA130" i="3"/>
  <c r="BL130" i="3"/>
  <c r="BA146" i="3"/>
  <c r="AZ146" i="3" s="1"/>
  <c r="BL149" i="3"/>
  <c r="BL150" i="3"/>
  <c r="BA152" i="3"/>
  <c r="AZ152" i="3" s="1"/>
  <c r="BA154" i="3"/>
  <c r="AZ154" i="3" s="1"/>
  <c r="G158" i="3"/>
  <c r="BL162" i="3"/>
  <c r="BA176" i="3"/>
  <c r="AZ176" i="3" s="1"/>
  <c r="AZ201" i="3"/>
  <c r="G51" i="3"/>
  <c r="BL64" i="3"/>
  <c r="AZ64" i="3" s="1"/>
  <c r="T32" i="71"/>
  <c r="D32" i="71"/>
  <c r="C47" i="71"/>
  <c r="D47" i="71" s="1"/>
  <c r="D46" i="71"/>
  <c r="C67" i="71"/>
  <c r="T68" i="71"/>
  <c r="O68" i="71"/>
  <c r="T76" i="71"/>
  <c r="D76" i="71"/>
  <c r="C75" i="71"/>
  <c r="Y27" i="71"/>
  <c r="Z27" i="71" s="1"/>
  <c r="Y26" i="71"/>
  <c r="Z26" i="71" s="1"/>
  <c r="AA3" i="71"/>
  <c r="BA173" i="3"/>
  <c r="AZ173" i="3" s="1"/>
  <c r="BA174" i="3"/>
  <c r="BL179" i="3"/>
  <c r="AZ179" i="3" s="1"/>
  <c r="BA181" i="3"/>
  <c r="AZ181" i="3" s="1"/>
  <c r="BA182" i="3"/>
  <c r="AZ182" i="3" s="1"/>
  <c r="BL185" i="3"/>
  <c r="BL193" i="3"/>
  <c r="BL194" i="3"/>
  <c r="BA198" i="3"/>
  <c r="AZ198" i="3" s="1"/>
  <c r="G199" i="3"/>
  <c r="G205" i="3"/>
  <c r="BL206" i="3"/>
  <c r="BA19" i="3"/>
  <c r="AZ19" i="3" s="1"/>
  <c r="G27" i="3"/>
  <c r="BA27" i="3"/>
  <c r="AZ27" i="3" s="1"/>
  <c r="BL30" i="3"/>
  <c r="BL31" i="3"/>
  <c r="AZ31" i="3" s="1"/>
  <c r="G37" i="3"/>
  <c r="BL40" i="3"/>
  <c r="AZ40" i="3" s="1"/>
  <c r="BL41" i="3"/>
  <c r="AZ41" i="3" s="1"/>
  <c r="BL45" i="3"/>
  <c r="BA48" i="3"/>
  <c r="BA49" i="3"/>
  <c r="AZ49" i="3" s="1"/>
  <c r="BA51" i="3"/>
  <c r="AZ51" i="3" s="1"/>
  <c r="G55" i="3"/>
  <c r="BL56" i="3"/>
  <c r="BA58" i="3"/>
  <c r="BL59" i="3"/>
  <c r="AZ59" i="3" s="1"/>
  <c r="BL60" i="3"/>
  <c r="BA61" i="3"/>
  <c r="AZ61" i="3" s="1"/>
  <c r="BA68" i="3"/>
  <c r="BA73" i="3"/>
  <c r="BL77" i="3"/>
  <c r="BA79" i="3"/>
  <c r="AZ79" i="3" s="1"/>
  <c r="AZ108"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AZ18" i="3" s="1"/>
  <c r="G21" i="3"/>
  <c r="BL21" i="3"/>
  <c r="G23" i="3"/>
  <c r="G29" i="3"/>
  <c r="BL29" i="3"/>
  <c r="G33" i="3"/>
  <c r="G34" i="3"/>
  <c r="BA37" i="3"/>
  <c r="G39" i="3"/>
  <c r="BL39" i="3"/>
  <c r="G43" i="3"/>
  <c r="G44" i="3"/>
  <c r="BA45" i="3"/>
  <c r="AZ45" i="3" s="1"/>
  <c r="BA46" i="3"/>
  <c r="BL49" i="3"/>
  <c r="BL50" i="3"/>
  <c r="AZ50" i="3" s="1"/>
  <c r="BL51" i="3"/>
  <c r="G53" i="3"/>
  <c r="BL53" i="3"/>
  <c r="BA56" i="3"/>
  <c r="BA57" i="3"/>
  <c r="BL58" i="3"/>
  <c r="G60" i="3"/>
  <c r="BA60" i="3"/>
  <c r="BA63" i="3"/>
  <c r="BA66" i="3"/>
  <c r="AZ66" i="3" s="1"/>
  <c r="BA71" i="3"/>
  <c r="AZ71" i="3" s="1"/>
  <c r="G76" i="3"/>
  <c r="G80" i="3"/>
  <c r="AB21" i="37"/>
  <c r="U21" i="37"/>
  <c r="T44" i="71"/>
  <c r="P65" i="71"/>
  <c r="P66" i="71"/>
  <c r="AA28" i="71"/>
  <c r="Y25" i="71"/>
  <c r="Z25" i="71" s="1"/>
  <c r="C36" i="71"/>
  <c r="D35" i="71"/>
  <c r="AB32" i="71"/>
  <c r="Y35" i="71"/>
  <c r="Z35" i="71" s="1"/>
  <c r="S80" i="71"/>
  <c r="B79" i="71"/>
  <c r="B78" i="71" s="1"/>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BA77" i="3"/>
  <c r="AZ77" i="3" s="1"/>
  <c r="BA80" i="3"/>
  <c r="U21" i="33"/>
  <c r="AB21" i="33"/>
  <c r="AB27" i="71"/>
  <c r="C51" i="71"/>
  <c r="E39" i="71"/>
  <c r="E40" i="71" s="1"/>
  <c r="U40" i="71" s="1"/>
  <c r="Y37" i="71"/>
  <c r="Z37" i="71" s="1"/>
  <c r="F66" i="71"/>
  <c r="Q67" i="71"/>
  <c r="X25" i="71"/>
  <c r="V24" i="71"/>
  <c r="E23" i="71"/>
  <c r="E22" i="71" s="1"/>
  <c r="E21" i="71" s="1"/>
  <c r="E20" i="71" s="1"/>
  <c r="BL84" i="3"/>
  <c r="BA89" i="3"/>
  <c r="G103" i="3"/>
  <c r="BA103" i="3"/>
  <c r="AZ103" i="3" s="1"/>
  <c r="BA104" i="3"/>
  <c r="AZ104" i="3" s="1"/>
  <c r="BA106" i="3"/>
  <c r="BL108" i="3"/>
  <c r="G110" i="3"/>
  <c r="BL111" i="3"/>
  <c r="AA27" i="71"/>
  <c r="S28" i="71"/>
  <c r="C83" i="71"/>
  <c r="C79" i="71"/>
  <c r="C71" i="71"/>
  <c r="C39" i="71"/>
  <c r="Y28" i="71"/>
  <c r="Z28" i="71" s="1"/>
  <c r="Y30" i="71"/>
  <c r="Z30" i="71" s="1"/>
  <c r="X28" i="71"/>
  <c r="X32" i="71"/>
  <c r="AB38" i="71"/>
  <c r="F75" i="71"/>
  <c r="F74" i="71" s="1"/>
  <c r="BA84" i="3"/>
  <c r="BL88" i="3"/>
  <c r="AZ88" i="3" s="1"/>
  <c r="BL90" i="3"/>
  <c r="BL92" i="3"/>
  <c r="G101" i="3"/>
  <c r="BA101" i="3"/>
  <c r="AZ101" i="3" s="1"/>
  <c r="BL112" i="3"/>
  <c r="S21" i="34"/>
  <c r="B88" i="43"/>
  <c r="F35" i="71"/>
  <c r="F36" i="71" s="1"/>
  <c r="V36" i="71" s="1"/>
  <c r="AA34" i="7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K14" i="1" s="1"/>
  <c r="L19" i="6"/>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J53" i="67"/>
  <c r="J57" i="67"/>
  <c r="J55" i="67" s="1"/>
  <c r="J58" i="67" s="1"/>
  <c r="Q50" i="67" s="1"/>
  <c r="L56" i="67"/>
  <c r="I54" i="67"/>
  <c r="M7" i="15"/>
  <c r="J6" i="15" s="1"/>
  <c r="F50" i="15"/>
  <c r="F51" i="15"/>
  <c r="F71" i="15"/>
  <c r="C6" i="15"/>
  <c r="F66" i="67"/>
  <c r="L59" i="15"/>
  <c r="N59" i="15"/>
  <c r="L58" i="15"/>
  <c r="M59" i="15"/>
  <c r="F66" i="15"/>
  <c r="F64" i="15"/>
  <c r="C27" i="67"/>
  <c r="F71" i="67"/>
  <c r="C27" i="15"/>
  <c r="F65" i="15"/>
  <c r="N59" i="67"/>
  <c r="L59" i="67"/>
  <c r="L58" i="67"/>
  <c r="M59" i="67"/>
  <c r="B13" i="70"/>
  <c r="M7" i="67"/>
  <c r="F50" i="67"/>
  <c r="F68" i="67"/>
  <c r="F64" i="67"/>
  <c r="F68" i="15"/>
  <c r="C36" i="68"/>
  <c r="D9" i="69"/>
  <c r="C36" i="69"/>
  <c r="D9" i="68"/>
  <c r="M27" i="82"/>
  <c r="C76" i="85"/>
  <c r="C16" i="67"/>
  <c r="F37" i="83"/>
  <c r="M8" i="84"/>
  <c r="M8" i="82"/>
  <c r="F36" i="84"/>
  <c r="F38" i="82"/>
  <c r="C76" i="67"/>
  <c r="F43" i="85"/>
  <c r="F42" i="83"/>
  <c r="L47" i="84"/>
  <c r="M6" i="83"/>
  <c r="F42" i="84"/>
  <c r="M22" i="83"/>
  <c r="M26" i="82"/>
  <c r="M26" i="85"/>
  <c r="F16" i="83"/>
  <c r="F9" i="85"/>
  <c r="M29" i="84"/>
  <c r="F13" i="83"/>
  <c r="F13" i="85"/>
  <c r="F6" i="83"/>
  <c r="F16" i="84"/>
  <c r="F26" i="82"/>
  <c r="M29" i="82"/>
  <c r="F36" i="85"/>
  <c r="F9" i="82"/>
  <c r="C76" i="84"/>
  <c r="J15" i="85"/>
  <c r="M22" i="84"/>
  <c r="M27" i="85"/>
  <c r="D3" i="73"/>
  <c r="F7" i="85"/>
  <c r="M9" i="84"/>
  <c r="M23" i="85"/>
  <c r="F40" i="82"/>
  <c r="F36" i="83"/>
  <c r="M23" i="84"/>
  <c r="F6" i="84"/>
  <c r="D7" i="73"/>
  <c r="F40" i="85"/>
  <c r="F40" i="84"/>
  <c r="D5" i="73"/>
  <c r="M28" i="85"/>
  <c r="F37" i="85"/>
  <c r="M9" i="82"/>
  <c r="M6" i="84"/>
  <c r="L47" i="85"/>
  <c r="F43" i="82"/>
  <c r="J15" i="67"/>
  <c r="L48" i="82"/>
  <c r="F42" i="85"/>
  <c r="D6" i="73"/>
  <c r="F9" i="84"/>
  <c r="J15" i="82"/>
  <c r="L48" i="83"/>
  <c r="F16" i="85"/>
  <c r="J15" i="83"/>
  <c r="M28" i="83"/>
  <c r="F38" i="85"/>
  <c r="C76" i="83"/>
  <c r="M9" i="67"/>
  <c r="M24" i="85"/>
  <c r="F38" i="83"/>
  <c r="F37" i="84"/>
  <c r="M24" i="83"/>
  <c r="C76" i="82"/>
  <c r="F16" i="82"/>
  <c r="M6" i="85"/>
  <c r="M27" i="83"/>
  <c r="F13" i="84"/>
  <c r="M27" i="84"/>
  <c r="M6" i="82"/>
  <c r="F37" i="82"/>
  <c r="F8" i="85"/>
  <c r="F6" i="82"/>
  <c r="F7" i="82"/>
  <c r="M24" i="82"/>
  <c r="F8" i="83"/>
  <c r="F38" i="84"/>
  <c r="F36" i="82"/>
  <c r="M26" i="84"/>
  <c r="M28" i="84"/>
  <c r="F43" i="83"/>
  <c r="M8" i="83"/>
  <c r="F8" i="82"/>
  <c r="L48" i="85"/>
  <c r="M9" i="83"/>
  <c r="F7" i="83"/>
  <c r="F37" i="67"/>
  <c r="F6" i="85"/>
  <c r="F8" i="84"/>
  <c r="F26" i="84"/>
  <c r="D4" i="73"/>
  <c r="J15" i="84"/>
  <c r="F26" i="83"/>
  <c r="M29" i="85"/>
  <c r="F13" i="82"/>
  <c r="M9" i="85"/>
  <c r="L47" i="82"/>
  <c r="F9" i="83"/>
  <c r="M8" i="85"/>
  <c r="F42" i="82"/>
  <c r="F7" i="84"/>
  <c r="M28" i="82"/>
  <c r="F40" i="83"/>
  <c r="L48" i="84"/>
  <c r="M23" i="82"/>
  <c r="F43" i="84"/>
  <c r="M26" i="83"/>
  <c r="L47" i="83"/>
  <c r="M22" i="85"/>
  <c r="M23" i="83"/>
  <c r="C16" i="15"/>
  <c r="M24" i="84"/>
  <c r="M29" i="83"/>
  <c r="F26" i="85"/>
  <c r="M22" i="82"/>
  <c r="I54" i="82" l="1"/>
  <c r="J53" i="82"/>
  <c r="J57" i="82"/>
  <c r="J55" i="82" s="1"/>
  <c r="J58" i="82" s="1"/>
  <c r="Q50" i="82" s="1"/>
  <c r="L56" i="82"/>
  <c r="F65" i="82"/>
  <c r="C6" i="82"/>
  <c r="C32" i="82" s="1"/>
  <c r="Q71" i="82"/>
  <c r="F68" i="82"/>
  <c r="F51" i="82"/>
  <c r="C27" i="82"/>
  <c r="L58" i="82"/>
  <c r="N59" i="82"/>
  <c r="L59" i="82"/>
  <c r="M59" i="82"/>
  <c r="F64" i="82"/>
  <c r="F66" i="82"/>
  <c r="M7" i="82"/>
  <c r="J6" i="82" s="1"/>
  <c r="J19" i="82" s="1"/>
  <c r="F50" i="82"/>
  <c r="F71" i="82"/>
  <c r="F68" i="83"/>
  <c r="C6" i="83"/>
  <c r="C33" i="83" s="1"/>
  <c r="F51" i="83"/>
  <c r="F65" i="83"/>
  <c r="C27" i="83"/>
  <c r="J53" i="83"/>
  <c r="J57" i="83"/>
  <c r="J55" i="83" s="1"/>
  <c r="J58" i="83" s="1"/>
  <c r="Q50" i="83" s="1"/>
  <c r="I54" i="83"/>
  <c r="L56" i="83"/>
  <c r="Q71" i="83"/>
  <c r="M59" i="83"/>
  <c r="N59" i="83"/>
  <c r="L59" i="83"/>
  <c r="L58" i="83"/>
  <c r="F64" i="83"/>
  <c r="F66" i="83"/>
  <c r="F50" i="83"/>
  <c r="M7" i="83"/>
  <c r="J6" i="83" s="1"/>
  <c r="J18" i="83" s="1"/>
  <c r="F71" i="83"/>
  <c r="F65" i="84"/>
  <c r="C6" i="84"/>
  <c r="C32" i="84" s="1"/>
  <c r="Q71" i="84"/>
  <c r="C27" i="84"/>
  <c r="J53" i="84"/>
  <c r="I54" i="84"/>
  <c r="J57" i="84"/>
  <c r="J55" i="84" s="1"/>
  <c r="J58" i="84" s="1"/>
  <c r="Q50" i="84" s="1"/>
  <c r="F68" i="84"/>
  <c r="F51" i="84"/>
  <c r="F66" i="84"/>
  <c r="F64" i="84"/>
  <c r="L59" i="84"/>
  <c r="N59" i="84"/>
  <c r="L58" i="84"/>
  <c r="M59" i="84"/>
  <c r="F71" i="84"/>
  <c r="F50" i="84"/>
  <c r="M7" i="84"/>
  <c r="J6" i="84" s="1"/>
  <c r="J18" i="84" s="1"/>
  <c r="J57" i="85"/>
  <c r="J55" i="85" s="1"/>
  <c r="J58" i="85" s="1"/>
  <c r="Q50" i="85" s="1"/>
  <c r="J53" i="85"/>
  <c r="I54" i="85"/>
  <c r="F68" i="85"/>
  <c r="C27" i="85"/>
  <c r="L58" i="85"/>
  <c r="N59" i="85"/>
  <c r="M59" i="85"/>
  <c r="L59" i="85"/>
  <c r="F51" i="85"/>
  <c r="Q71" i="85"/>
  <c r="F65" i="85"/>
  <c r="F64" i="85"/>
  <c r="F66" i="85"/>
  <c r="F71" i="85"/>
  <c r="F50" i="85"/>
  <c r="M7" i="85"/>
  <c r="J6" i="85" s="1"/>
  <c r="C6" i="85"/>
  <c r="O10" i="1"/>
  <c r="P10" i="1" s="1"/>
  <c r="Q16" i="1"/>
  <c r="F27" i="69" s="1"/>
  <c r="C47" i="69" s="1"/>
  <c r="D45" i="69" s="1"/>
  <c r="O7" i="1"/>
  <c r="P7" i="1" s="1"/>
  <c r="G26" i="43"/>
  <c r="S19" i="34"/>
  <c r="AA19" i="34"/>
  <c r="U19" i="34"/>
  <c r="AB28" i="34"/>
  <c r="U28" i="34"/>
  <c r="U15" i="37"/>
  <c r="U40" i="37"/>
  <c r="AB40" i="37"/>
  <c r="AA27" i="37"/>
  <c r="S27" i="37"/>
  <c r="AC27" i="37"/>
  <c r="W27" i="37"/>
  <c r="S31" i="21"/>
  <c r="AA31" i="21"/>
  <c r="F11" i="85"/>
  <c r="M11" i="85"/>
  <c r="J10" i="85" s="1"/>
  <c r="F11" i="84"/>
  <c r="M11" i="84"/>
  <c r="J10" i="84" s="1"/>
  <c r="F11" i="83"/>
  <c r="M11" i="83"/>
  <c r="J10" i="83" s="1"/>
  <c r="F11" i="82"/>
  <c r="M11" i="82"/>
  <c r="J10" i="82" s="1"/>
  <c r="AC36" i="40"/>
  <c r="S23" i="40"/>
  <c r="AA19" i="40"/>
  <c r="AB32" i="40"/>
  <c r="U32" i="40"/>
  <c r="S32" i="40"/>
  <c r="AA32" i="40"/>
  <c r="E26" i="43"/>
  <c r="N94" i="46"/>
  <c r="J26" i="43"/>
  <c r="N370" i="46"/>
  <c r="F26" i="43"/>
  <c r="D26" i="43" s="1"/>
  <c r="C25" i="43" s="1"/>
  <c r="P6" i="1"/>
  <c r="C13" i="12" s="1"/>
  <c r="L20" i="6"/>
  <c r="L27" i="6" s="1"/>
  <c r="G16" i="1"/>
  <c r="F10" i="39" s="1"/>
  <c r="S10" i="39" s="1"/>
  <c r="H16" i="1"/>
  <c r="K16" i="1"/>
  <c r="F65" i="67"/>
  <c r="Q71" i="67"/>
  <c r="J7" i="37"/>
  <c r="AC7" i="37" s="1"/>
  <c r="G5" i="3"/>
  <c r="B3" i="3" s="1"/>
  <c r="E510" i="3" s="1"/>
  <c r="AZ84" i="3"/>
  <c r="C70" i="71"/>
  <c r="D70" i="71" s="1"/>
  <c r="D71" i="71"/>
  <c r="AZ39" i="3"/>
  <c r="AZ21" i="3"/>
  <c r="C56" i="71"/>
  <c r="D55" i="71"/>
  <c r="D67" i="71"/>
  <c r="C66" i="71"/>
  <c r="O67" i="71"/>
  <c r="AZ459" i="3"/>
  <c r="AB39" i="37"/>
  <c r="U39" i="37"/>
  <c r="AB45" i="39"/>
  <c r="U45" i="39"/>
  <c r="AB24" i="36"/>
  <c r="U24" i="36"/>
  <c r="AC9" i="33"/>
  <c r="W9" i="33"/>
  <c r="U14" i="21"/>
  <c r="AB14" i="21"/>
  <c r="AC12" i="40"/>
  <c r="W12" i="40"/>
  <c r="S13" i="36"/>
  <c r="AA13" i="36"/>
  <c r="W25" i="35"/>
  <c r="AC25" i="35"/>
  <c r="AB12" i="36"/>
  <c r="U12" i="36"/>
  <c r="D79" i="71"/>
  <c r="C78" i="71"/>
  <c r="D78" i="71" s="1"/>
  <c r="C52" i="71"/>
  <c r="D51" i="71"/>
  <c r="C26" i="71"/>
  <c r="D26" i="71" s="1"/>
  <c r="D27" i="71"/>
  <c r="AZ58" i="3"/>
  <c r="AZ294" i="3"/>
  <c r="AZ457" i="3"/>
  <c r="AC24" i="36"/>
  <c r="W24" i="36"/>
  <c r="W32" i="34"/>
  <c r="AC32" i="34"/>
  <c r="AA45" i="33"/>
  <c r="S45" i="33"/>
  <c r="U26" i="33"/>
  <c r="AB26" i="33"/>
  <c r="AC30" i="21"/>
  <c r="W30" i="21"/>
  <c r="AB12" i="40"/>
  <c r="U12" i="40"/>
  <c r="AB25" i="35"/>
  <c r="U25" i="35"/>
  <c r="AB34" i="36"/>
  <c r="U34" i="36"/>
  <c r="AA12" i="36"/>
  <c r="S12" i="36"/>
  <c r="AB9" i="33"/>
  <c r="U9" i="33"/>
  <c r="D83" i="71"/>
  <c r="C82" i="71"/>
  <c r="D82" i="71" s="1"/>
  <c r="AZ63" i="3"/>
  <c r="AZ57" i="3"/>
  <c r="B19" i="71"/>
  <c r="B18" i="71" s="1"/>
  <c r="B17" i="71" s="1"/>
  <c r="B16" i="71" s="1"/>
  <c r="S20" i="71"/>
  <c r="AZ130" i="3"/>
  <c r="AZ244" i="3"/>
  <c r="AZ239" i="3"/>
  <c r="AZ162" i="3"/>
  <c r="AZ273" i="3"/>
  <c r="AZ274" i="3"/>
  <c r="AZ229" i="3"/>
  <c r="AZ428" i="3"/>
  <c r="AZ461" i="3"/>
  <c r="AZ454" i="3"/>
  <c r="W44" i="39"/>
  <c r="AC44" i="39"/>
  <c r="AC38" i="40"/>
  <c r="W38" i="40"/>
  <c r="AA32" i="34"/>
  <c r="S32" i="34"/>
  <c r="W45" i="33"/>
  <c r="AC45" i="33"/>
  <c r="S26" i="33"/>
  <c r="AA26" i="33"/>
  <c r="S30" i="21"/>
  <c r="AA30" i="21"/>
  <c r="AB32" i="36"/>
  <c r="U32" i="36"/>
  <c r="AA38" i="40"/>
  <c r="S38" i="40"/>
  <c r="AB25" i="36"/>
  <c r="U25" i="36"/>
  <c r="W12" i="36"/>
  <c r="AC12" i="36"/>
  <c r="J6" i="67"/>
  <c r="J18" i="67" s="1"/>
  <c r="J7" i="36"/>
  <c r="AC7" i="36" s="1"/>
  <c r="V36" i="36" s="1"/>
  <c r="I36" i="36" s="1"/>
  <c r="AZ80" i="3"/>
  <c r="AZ285" i="3"/>
  <c r="AZ396" i="3"/>
  <c r="AZ111" i="3"/>
  <c r="C40" i="71"/>
  <c r="D39" i="71"/>
  <c r="C22" i="71"/>
  <c r="D23" i="71"/>
  <c r="D75" i="71"/>
  <c r="C74" i="71"/>
  <c r="D74" i="71" s="1"/>
  <c r="AZ282" i="3"/>
  <c r="AZ460" i="3"/>
  <c r="AZ435" i="3"/>
  <c r="AZ425" i="3"/>
  <c r="AZ403" i="3"/>
  <c r="AZ421" i="3"/>
  <c r="AZ411" i="3"/>
  <c r="AA24" i="36"/>
  <c r="S24" i="36"/>
  <c r="W12" i="35"/>
  <c r="AC12" i="35"/>
  <c r="AC26" i="33"/>
  <c r="W26" i="33"/>
  <c r="W14" i="21"/>
  <c r="AC14" i="21"/>
  <c r="S32" i="36"/>
  <c r="AA32" i="36"/>
  <c r="AB38" i="40"/>
  <c r="U38" i="40"/>
  <c r="S25" i="36"/>
  <c r="AA25" i="36"/>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C7" i="43"/>
  <c r="C5" i="43" s="1"/>
  <c r="D10" i="52"/>
  <c r="D125" i="9"/>
  <c r="D11" i="52" s="1"/>
  <c r="B7" i="74"/>
  <c r="C7" i="74" s="1"/>
  <c r="F67" i="39"/>
  <c r="E69" i="39"/>
  <c r="F59" i="67"/>
  <c r="H7" i="37"/>
  <c r="AB7" i="37" s="1"/>
  <c r="T42" i="37" s="1"/>
  <c r="G42" i="37" s="1"/>
  <c r="H7" i="33"/>
  <c r="J7" i="33"/>
  <c r="D65" i="40"/>
  <c r="E63" i="40"/>
  <c r="F48" i="35"/>
  <c r="S7" i="36"/>
  <c r="AB7" i="36"/>
  <c r="T36" i="36" s="1"/>
  <c r="G36" i="36" s="1"/>
  <c r="F7" i="33"/>
  <c r="E58" i="21"/>
  <c r="W7" i="36"/>
  <c r="F7" i="37"/>
  <c r="M17" i="67"/>
  <c r="M17" i="15"/>
  <c r="F59" i="15"/>
  <c r="P28" i="43"/>
  <c r="B66" i="40" s="1"/>
  <c r="P25" i="43"/>
  <c r="C49" i="67"/>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F27" i="68"/>
  <c r="AE12" i="1"/>
  <c r="C16" i="83"/>
  <c r="G1" i="73"/>
  <c r="AE6" i="1"/>
  <c r="C16" i="82"/>
  <c r="C16" i="84"/>
  <c r="F41" i="67"/>
  <c r="C16" i="85"/>
  <c r="C49" i="84" l="1"/>
  <c r="C61" i="84" s="1"/>
  <c r="C33" i="82"/>
  <c r="J18" i="82"/>
  <c r="J19" i="83"/>
  <c r="C32" i="83"/>
  <c r="J5" i="82"/>
  <c r="J26" i="82" s="1"/>
  <c r="J5" i="83"/>
  <c r="J24" i="83" s="1"/>
  <c r="J19" i="84"/>
  <c r="C49" i="82"/>
  <c r="C61" i="82" s="1"/>
  <c r="J5" i="84"/>
  <c r="J26" i="84" s="1"/>
  <c r="C33" i="84"/>
  <c r="C49" i="83"/>
  <c r="C61" i="83" s="1"/>
  <c r="C49" i="85"/>
  <c r="C61" i="85" s="1"/>
  <c r="Q61" i="85"/>
  <c r="Q74" i="85"/>
  <c r="Q73" i="83"/>
  <c r="Q60" i="83"/>
  <c r="F1" i="83"/>
  <c r="Q52" i="83"/>
  <c r="Q61" i="82"/>
  <c r="Q74" i="82"/>
  <c r="Q73" i="84"/>
  <c r="Q60" i="84"/>
  <c r="Q61" i="83"/>
  <c r="Q74" i="83"/>
  <c r="L56" i="84"/>
  <c r="F1" i="84"/>
  <c r="Q52" i="84"/>
  <c r="Q73" i="82"/>
  <c r="Q60" i="82"/>
  <c r="Q73" i="85"/>
  <c r="Q60" i="85"/>
  <c r="L56" i="85"/>
  <c r="F1" i="85"/>
  <c r="Q52" i="85"/>
  <c r="Q74" i="84"/>
  <c r="Q61" i="84"/>
  <c r="Q52" i="82"/>
  <c r="F1" i="82"/>
  <c r="F45" i="69"/>
  <c r="J5" i="85"/>
  <c r="J24" i="85" s="1"/>
  <c r="C29" i="69"/>
  <c r="D27" i="69" s="1"/>
  <c r="C32" i="85"/>
  <c r="C33" i="85"/>
  <c r="J18" i="85"/>
  <c r="J19" i="85"/>
  <c r="E131" i="3"/>
  <c r="E378" i="3"/>
  <c r="E248" i="3"/>
  <c r="E94" i="3"/>
  <c r="E487" i="3"/>
  <c r="E139" i="3"/>
  <c r="E369" i="3"/>
  <c r="AY6" i="3"/>
  <c r="E275" i="3"/>
  <c r="E118" i="3"/>
  <c r="E211" i="3"/>
  <c r="J5" i="67"/>
  <c r="J24" i="67" s="1"/>
  <c r="W7" i="37"/>
  <c r="C10" i="85"/>
  <c r="C5" i="85" s="1"/>
  <c r="C53" i="85"/>
  <c r="C48" i="85" s="1"/>
  <c r="J24" i="84"/>
  <c r="C53" i="84"/>
  <c r="C10" i="84"/>
  <c r="C5" i="84" s="1"/>
  <c r="C53" i="83"/>
  <c r="C10" i="83"/>
  <c r="C5" i="83" s="1"/>
  <c r="C10" i="82"/>
  <c r="C5" i="82" s="1"/>
  <c r="C53" i="82"/>
  <c r="H10" i="39"/>
  <c r="U10" i="39" s="1"/>
  <c r="AA10" i="39"/>
  <c r="J10" i="40"/>
  <c r="AC10" i="40" s="1"/>
  <c r="H10" i="40"/>
  <c r="AB10" i="40" s="1"/>
  <c r="J10" i="39"/>
  <c r="W10" i="39" s="1"/>
  <c r="F10" i="40"/>
  <c r="S10" i="40" s="1"/>
  <c r="E227" i="3"/>
  <c r="E191" i="3"/>
  <c r="K6" i="3"/>
  <c r="E219" i="3"/>
  <c r="E514" i="3"/>
  <c r="E91" i="3"/>
  <c r="E483" i="3"/>
  <c r="E200" i="3"/>
  <c r="E69" i="3"/>
  <c r="E322" i="3"/>
  <c r="E400" i="3"/>
  <c r="E454" i="3"/>
  <c r="E77" i="3"/>
  <c r="E555" i="3"/>
  <c r="E242" i="3"/>
  <c r="E385" i="3"/>
  <c r="E387" i="3"/>
  <c r="E109" i="3"/>
  <c r="E327" i="3"/>
  <c r="E465" i="3"/>
  <c r="E495" i="3"/>
  <c r="E505" i="3"/>
  <c r="E142" i="3"/>
  <c r="E240" i="3"/>
  <c r="E296" i="3"/>
  <c r="E445" i="3"/>
  <c r="E431" i="3"/>
  <c r="E489" i="3"/>
  <c r="E214" i="3"/>
  <c r="AK6" i="3"/>
  <c r="E216" i="3"/>
  <c r="E119" i="3"/>
  <c r="X6" i="3"/>
  <c r="E423" i="3"/>
  <c r="E161" i="3"/>
  <c r="E563" i="3"/>
  <c r="E215" i="3"/>
  <c r="M6" i="3"/>
  <c r="E201" i="3"/>
  <c r="E509" i="3"/>
  <c r="E526" i="3"/>
  <c r="E377" i="3"/>
  <c r="E70" i="3"/>
  <c r="E557" i="3"/>
  <c r="AO6" i="3"/>
  <c r="E89" i="3"/>
  <c r="E362" i="3"/>
  <c r="E146" i="3"/>
  <c r="E577" i="3"/>
  <c r="E472" i="3"/>
  <c r="E277" i="3"/>
  <c r="E181" i="3"/>
  <c r="E399" i="3"/>
  <c r="E350" i="3"/>
  <c r="E183" i="3"/>
  <c r="E538" i="3"/>
  <c r="E44" i="3"/>
  <c r="E45" i="3"/>
  <c r="E148" i="3"/>
  <c r="E246" i="3"/>
  <c r="E263" i="3"/>
  <c r="E535" i="3"/>
  <c r="E278" i="3"/>
  <c r="E335" i="3"/>
  <c r="E570" i="3"/>
  <c r="E247" i="3"/>
  <c r="AJ6" i="3"/>
  <c r="E217" i="3"/>
  <c r="E273" i="3"/>
  <c r="E28" i="3"/>
  <c r="E345" i="3"/>
  <c r="Z6" i="3"/>
  <c r="E368" i="3"/>
  <c r="E315" i="3"/>
  <c r="E106" i="3"/>
  <c r="E587" i="3"/>
  <c r="E560" i="3"/>
  <c r="E228" i="3"/>
  <c r="E568" i="3"/>
  <c r="E124" i="3"/>
  <c r="E301" i="3"/>
  <c r="E528" i="3"/>
  <c r="E270" i="3"/>
  <c r="E186" i="3"/>
  <c r="E117" i="3"/>
  <c r="E132" i="3"/>
  <c r="E100" i="3"/>
  <c r="AI6" i="3"/>
  <c r="E135" i="3"/>
  <c r="E172" i="3"/>
  <c r="E189" i="3"/>
  <c r="AB6" i="3"/>
  <c r="E311" i="3"/>
  <c r="E579" i="3"/>
  <c r="E268" i="3"/>
  <c r="E572" i="3"/>
  <c r="E182" i="3"/>
  <c r="E531" i="3"/>
  <c r="E485" i="3"/>
  <c r="E204" i="3"/>
  <c r="E74" i="3"/>
  <c r="E171" i="3"/>
  <c r="E468" i="3"/>
  <c r="E406" i="3"/>
  <c r="E133" i="3"/>
  <c r="E545" i="3"/>
  <c r="E347" i="3"/>
  <c r="E586" i="3"/>
  <c r="E180" i="3"/>
  <c r="E231" i="3"/>
  <c r="E343" i="3"/>
  <c r="E318" i="3"/>
  <c r="E503" i="3"/>
  <c r="E261" i="3"/>
  <c r="E380" i="3"/>
  <c r="AR6" i="3"/>
  <c r="E337" i="3"/>
  <c r="E508" i="3"/>
  <c r="E175" i="3"/>
  <c r="E331" i="3"/>
  <c r="E27" i="3"/>
  <c r="E515" i="3"/>
  <c r="E571" i="3"/>
  <c r="E336" i="3"/>
  <c r="N6" i="3"/>
  <c r="E134" i="3"/>
  <c r="E361" i="3"/>
  <c r="E185" i="3"/>
  <c r="E439" i="3"/>
  <c r="E533" i="3"/>
  <c r="E410" i="3"/>
  <c r="E305" i="3"/>
  <c r="E441" i="3"/>
  <c r="E210" i="3"/>
  <c r="E447" i="3"/>
  <c r="E269" i="3"/>
  <c r="E458" i="3"/>
  <c r="E382" i="3"/>
  <c r="E558" i="3"/>
  <c r="E561" i="3"/>
  <c r="E143" i="3"/>
  <c r="E388" i="3"/>
  <c r="E530" i="3"/>
  <c r="E384" i="3"/>
  <c r="E162" i="3"/>
  <c r="E477" i="3"/>
  <c r="E111" i="3"/>
  <c r="E85" i="3"/>
  <c r="E130" i="3"/>
  <c r="E476" i="3"/>
  <c r="E414" i="3"/>
  <c r="E107" i="3"/>
  <c r="E567" i="3"/>
  <c r="E279" i="3"/>
  <c r="E433" i="3"/>
  <c r="E457" i="3"/>
  <c r="E519" i="3"/>
  <c r="E511" i="3"/>
  <c r="E253" i="3"/>
  <c r="E518" i="3"/>
  <c r="E61" i="3"/>
  <c r="E260" i="3"/>
  <c r="E559" i="3"/>
  <c r="E316" i="3"/>
  <c r="E330" i="3"/>
  <c r="AS6" i="3"/>
  <c r="E478" i="3"/>
  <c r="E271" i="3"/>
  <c r="E31" i="3"/>
  <c r="E150" i="3"/>
  <c r="E450" i="3"/>
  <c r="E527" i="3"/>
  <c r="E193" i="3"/>
  <c r="E314" i="3"/>
  <c r="E583" i="3"/>
  <c r="E578" i="3"/>
  <c r="E290" i="3"/>
  <c r="E114" i="3"/>
  <c r="E396" i="3"/>
  <c r="E88" i="3"/>
  <c r="E302" i="3"/>
  <c r="E585" i="3"/>
  <c r="E549" i="3"/>
  <c r="E351" i="3"/>
  <c r="E72" i="3"/>
  <c r="E562" i="3"/>
  <c r="E573" i="3"/>
  <c r="E99" i="3"/>
  <c r="E453" i="3"/>
  <c r="E293" i="3"/>
  <c r="E245" i="3"/>
  <c r="E550" i="3"/>
  <c r="E320" i="3"/>
  <c r="E125" i="3"/>
  <c r="E32" i="3"/>
  <c r="E395" i="3"/>
  <c r="E230" i="3"/>
  <c r="V6" i="3"/>
  <c r="E151" i="3"/>
  <c r="E516" i="3"/>
  <c r="E553" i="3"/>
  <c r="E30" i="3"/>
  <c r="E166" i="3"/>
  <c r="E444" i="3"/>
  <c r="E448" i="3"/>
  <c r="E496" i="3"/>
  <c r="AA6" i="3"/>
  <c r="O6" i="3"/>
  <c r="E415" i="3"/>
  <c r="E294" i="3"/>
  <c r="E551" i="3"/>
  <c r="E229" i="3"/>
  <c r="E239" i="3"/>
  <c r="E366" i="3"/>
  <c r="E334" i="3"/>
  <c r="E121" i="3"/>
  <c r="E581" i="3"/>
  <c r="E164" i="3"/>
  <c r="E424" i="3"/>
  <c r="E402" i="3"/>
  <c r="E93" i="3"/>
  <c r="E407" i="3"/>
  <c r="E358" i="3"/>
  <c r="E569" i="3"/>
  <c r="E282" i="3"/>
  <c r="E480" i="3"/>
  <c r="E295" i="3"/>
  <c r="E404" i="3"/>
  <c r="P6" i="3"/>
  <c r="E256" i="3"/>
  <c r="E128" i="3"/>
  <c r="E298" i="3"/>
  <c r="AG6" i="3"/>
  <c r="E236" i="3"/>
  <c r="E394" i="3"/>
  <c r="E73" i="3"/>
  <c r="AE6" i="3"/>
  <c r="E437" i="3"/>
  <c r="E120" i="3"/>
  <c r="E238" i="3"/>
  <c r="E353" i="3"/>
  <c r="E159" i="3"/>
  <c r="E565" i="3"/>
  <c r="E506" i="3"/>
  <c r="E126" i="3"/>
  <c r="E48" i="3"/>
  <c r="E443" i="3"/>
  <c r="E576" i="3"/>
  <c r="I6" i="3"/>
  <c r="E274" i="3"/>
  <c r="E55" i="3"/>
  <c r="E344" i="3"/>
  <c r="Q6" i="3"/>
  <c r="E262" i="3"/>
  <c r="E156" i="3"/>
  <c r="AN6" i="3"/>
  <c r="E221" i="3"/>
  <c r="E304" i="3"/>
  <c r="E97" i="3"/>
  <c r="E548" i="3"/>
  <c r="E346" i="3"/>
  <c r="E252" i="3"/>
  <c r="E580" i="3"/>
  <c r="E203" i="3"/>
  <c r="E429" i="3"/>
  <c r="E481" i="3"/>
  <c r="E177" i="3"/>
  <c r="E434" i="3"/>
  <c r="E280" i="3"/>
  <c r="E303" i="3"/>
  <c r="E17" i="3"/>
  <c r="E321" i="3"/>
  <c r="E501" i="3"/>
  <c r="E187" i="3"/>
  <c r="E237" i="3"/>
  <c r="E338" i="3"/>
  <c r="S6" i="3"/>
  <c r="E359" i="3"/>
  <c r="E426" i="3"/>
  <c r="AM6" i="3"/>
  <c r="E403" i="3"/>
  <c r="E145" i="3"/>
  <c r="E474" i="3"/>
  <c r="E374" i="3"/>
  <c r="E524" i="3"/>
  <c r="E451" i="3"/>
  <c r="E254" i="3"/>
  <c r="E213" i="3"/>
  <c r="E169" i="3"/>
  <c r="E418" i="3"/>
  <c r="E390" i="3"/>
  <c r="E574" i="3"/>
  <c r="E153" i="3"/>
  <c r="E272" i="3"/>
  <c r="E432" i="3"/>
  <c r="E397" i="3"/>
  <c r="E136" i="3"/>
  <c r="E297" i="3"/>
  <c r="AQ6" i="3"/>
  <c r="E81" i="3"/>
  <c r="E523" i="3"/>
  <c r="E285" i="3"/>
  <c r="E328" i="3"/>
  <c r="E29" i="3"/>
  <c r="E546" i="3"/>
  <c r="E379" i="3"/>
  <c r="E168" i="3"/>
  <c r="AD6" i="3"/>
  <c r="E250" i="3"/>
  <c r="E188" i="3"/>
  <c r="E319" i="3"/>
  <c r="E317" i="3"/>
  <c r="E92" i="3"/>
  <c r="E547" i="3"/>
  <c r="E411" i="3"/>
  <c r="E207" i="3"/>
  <c r="E14" i="3"/>
  <c r="E537" i="3"/>
  <c r="E224" i="3"/>
  <c r="E127" i="3"/>
  <c r="E87" i="3"/>
  <c r="E163" i="3"/>
  <c r="E584" i="3"/>
  <c r="E149" i="3"/>
  <c r="E520" i="3"/>
  <c r="E90" i="3"/>
  <c r="E364" i="3"/>
  <c r="E15" i="3"/>
  <c r="J6" i="3"/>
  <c r="E412" i="3"/>
  <c r="E113" i="3"/>
  <c r="E292" i="3"/>
  <c r="E53" i="3"/>
  <c r="E291" i="3"/>
  <c r="E71" i="3"/>
  <c r="E367" i="3"/>
  <c r="U6" i="3"/>
  <c r="E196" i="3"/>
  <c r="E208" i="3"/>
  <c r="E438" i="3"/>
  <c r="E352" i="3"/>
  <c r="E504" i="3"/>
  <c r="E459" i="3"/>
  <c r="E39" i="3"/>
  <c r="E375" i="3"/>
  <c r="E284" i="3"/>
  <c r="E312" i="3"/>
  <c r="E552" i="3"/>
  <c r="E123" i="3"/>
  <c r="E60" i="3"/>
  <c r="E393" i="3"/>
  <c r="E13" i="3"/>
  <c r="E96" i="3"/>
  <c r="E255" i="3"/>
  <c r="E471" i="3"/>
  <c r="E313" i="3"/>
  <c r="E82" i="3"/>
  <c r="E154" i="3"/>
  <c r="E66" i="3"/>
  <c r="E341" i="3"/>
  <c r="E464" i="3"/>
  <c r="E138" i="3"/>
  <c r="E521" i="3"/>
  <c r="E176" i="3"/>
  <c r="E299" i="3"/>
  <c r="E463" i="3"/>
  <c r="E324" i="3"/>
  <c r="E205" i="3"/>
  <c r="E249" i="3"/>
  <c r="E42" i="3"/>
  <c r="E355" i="3"/>
  <c r="E46" i="3"/>
  <c r="E152" i="3"/>
  <c r="E466" i="3"/>
  <c r="E440" i="3"/>
  <c r="E326" i="3"/>
  <c r="E225" i="3"/>
  <c r="E456" i="3"/>
  <c r="E206" i="3"/>
  <c r="E281" i="3"/>
  <c r="E33" i="3"/>
  <c r="E484" i="3"/>
  <c r="E479" i="3"/>
  <c r="E499" i="3"/>
  <c r="E170" i="3"/>
  <c r="E178" i="3"/>
  <c r="E427" i="3"/>
  <c r="E232" i="3"/>
  <c r="E26" i="3"/>
  <c r="E525" i="3"/>
  <c r="E383" i="3"/>
  <c r="E513" i="3"/>
  <c r="E492" i="3"/>
  <c r="E544" i="3"/>
  <c r="E517" i="3"/>
  <c r="E212" i="3"/>
  <c r="T52" i="71"/>
  <c r="D52" i="7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22" i="71"/>
  <c r="C21" i="71"/>
  <c r="E3" i="6"/>
  <c r="C34" i="34" s="1"/>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86" i="3"/>
  <c r="E174" i="3"/>
  <c r="E482" i="3"/>
  <c r="E391" i="3"/>
  <c r="E494" i="3"/>
  <c r="E283" i="3"/>
  <c r="E68" i="3"/>
  <c r="E184" i="3"/>
  <c r="E84" i="3"/>
  <c r="E371" i="3"/>
  <c r="E160" i="3"/>
  <c r="E467" i="3"/>
  <c r="E59" i="3"/>
  <c r="E349" i="3"/>
  <c r="E258" i="3"/>
  <c r="E37" i="3"/>
  <c r="E491" i="3"/>
  <c r="AP6" i="3"/>
  <c r="E430" i="3"/>
  <c r="E502" i="3"/>
  <c r="E286" i="3"/>
  <c r="E539" i="3"/>
  <c r="D56" i="71"/>
  <c r="T56" i="71"/>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0" i="71"/>
  <c r="D40" i="71"/>
  <c r="O65" i="71"/>
  <c r="D66" i="71"/>
  <c r="O66" i="71"/>
  <c r="B40" i="1"/>
  <c r="F24" i="85"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C17" i="83"/>
  <c r="AE7" i="1"/>
  <c r="F41" i="15"/>
  <c r="AE10" i="1"/>
  <c r="M27" i="15"/>
  <c r="M27" i="67"/>
  <c r="AE8" i="1"/>
  <c r="AE9" i="1"/>
  <c r="C48" i="84" l="1"/>
  <c r="C66" i="84" s="1"/>
  <c r="J26" i="83"/>
  <c r="C48" i="83"/>
  <c r="C66" i="83" s="1"/>
  <c r="C48" i="82"/>
  <c r="C66" i="82" s="1"/>
  <c r="J24" i="82"/>
  <c r="J26" i="85"/>
  <c r="E8" i="70"/>
  <c r="J34" i="34"/>
  <c r="H34" i="34"/>
  <c r="F34" i="34"/>
  <c r="I46" i="37"/>
  <c r="J46" i="37" s="1"/>
  <c r="C66" i="85"/>
  <c r="C60" i="85"/>
  <c r="C24" i="85"/>
  <c r="C38" i="85"/>
  <c r="F24" i="83"/>
  <c r="C24" i="83" s="1"/>
  <c r="F24" i="84"/>
  <c r="C38" i="84"/>
  <c r="C38" i="83"/>
  <c r="L36" i="43"/>
  <c r="L37" i="43" s="1"/>
  <c r="P37" i="43" s="1"/>
  <c r="F24" i="82"/>
  <c r="C38" i="82"/>
  <c r="U10" i="40"/>
  <c r="F24" i="67"/>
  <c r="C24" i="67" s="1"/>
  <c r="F25" i="12"/>
  <c r="C26" i="12" s="1"/>
  <c r="D25" i="12" s="1"/>
  <c r="F22" i="68"/>
  <c r="D116" i="43"/>
  <c r="H6" i="3"/>
  <c r="E6" i="3" s="1"/>
  <c r="F24" i="15"/>
  <c r="C24" i="15" s="1"/>
  <c r="F22" i="69"/>
  <c r="F41" i="69" s="1"/>
  <c r="F22" i="11"/>
  <c r="C23" i="11" s="1"/>
  <c r="D21" i="71"/>
  <c r="C20"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F41" i="82"/>
  <c r="C17" i="84"/>
  <c r="C17" i="82"/>
  <c r="C14" i="83"/>
  <c r="F41" i="85"/>
  <c r="C14" i="67"/>
  <c r="F41" i="83"/>
  <c r="C17" i="85"/>
  <c r="F41" i="84"/>
  <c r="C17" i="67"/>
  <c r="C60" i="84" l="1"/>
  <c r="C60" i="83"/>
  <c r="C60" i="82"/>
  <c r="F69" i="84"/>
  <c r="J29" i="84"/>
  <c r="J29" i="82"/>
  <c r="F69" i="82"/>
  <c r="J29" i="85"/>
  <c r="F69" i="85"/>
  <c r="F69" i="83"/>
  <c r="J29" i="83"/>
  <c r="C15" i="83"/>
  <c r="C18" i="83"/>
  <c r="AB34" i="34"/>
  <c r="T49" i="34" s="1"/>
  <c r="G49" i="34" s="1"/>
  <c r="U34" i="34"/>
  <c r="AC34" i="34"/>
  <c r="V49" i="34" s="1"/>
  <c r="I49" i="34" s="1"/>
  <c r="W34" i="34"/>
  <c r="E10" i="70"/>
  <c r="E7" i="70"/>
  <c r="AA34" i="34"/>
  <c r="R49" i="34" s="1"/>
  <c r="S34" i="34"/>
  <c r="D30" i="6"/>
  <c r="O36" i="43"/>
  <c r="P36" i="43"/>
  <c r="O37" i="43"/>
  <c r="M37" i="43"/>
  <c r="N36" i="43"/>
  <c r="Q37" i="43"/>
  <c r="M36" i="43"/>
  <c r="N37" i="43"/>
  <c r="Q36" i="43"/>
  <c r="C24" i="84"/>
  <c r="C24" i="82"/>
  <c r="C26" i="68"/>
  <c r="D22" i="68" s="1"/>
  <c r="C26" i="69"/>
  <c r="D22" i="69" s="1"/>
  <c r="C44" i="68"/>
  <c r="D41" i="68" s="1"/>
  <c r="F41" i="68"/>
  <c r="C44" i="69"/>
  <c r="D41" i="69" s="1"/>
  <c r="C25" i="11"/>
  <c r="C24" i="11"/>
  <c r="H25" i="6"/>
  <c r="C44" i="11"/>
  <c r="D41" i="11" s="1"/>
  <c r="C26" i="11"/>
  <c r="D22" i="11" s="1"/>
  <c r="C19" i="71"/>
  <c r="T20" i="71"/>
  <c r="D20" i="71"/>
  <c r="U20"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F35" i="84"/>
  <c r="C14" i="85"/>
  <c r="F35" i="85"/>
  <c r="M21" i="84"/>
  <c r="C14" i="84"/>
  <c r="B6" i="76"/>
  <c r="F35" i="82"/>
  <c r="C14" i="82"/>
  <c r="M21" i="85"/>
  <c r="M21" i="82"/>
  <c r="C14" i="15"/>
  <c r="M21" i="83"/>
  <c r="F35" i="83"/>
  <c r="C19" i="83" l="1"/>
  <c r="C20" i="83" s="1"/>
  <c r="C23" i="83" s="1"/>
  <c r="C18" i="82"/>
  <c r="C15" i="82"/>
  <c r="C15" i="85"/>
  <c r="C18" i="85"/>
  <c r="C15" i="84"/>
  <c r="C18" i="84"/>
  <c r="G53" i="34"/>
  <c r="H53" i="34" s="1"/>
  <c r="G54" i="34"/>
  <c r="H54" i="34" s="1"/>
  <c r="R50" i="34"/>
  <c r="E49" i="34"/>
  <c r="I53" i="34"/>
  <c r="J53" i="34" s="1"/>
  <c r="J20" i="85"/>
  <c r="J17" i="85" s="1"/>
  <c r="C34" i="85"/>
  <c r="C31" i="85" s="1"/>
  <c r="F63" i="85"/>
  <c r="C62" i="85" s="1"/>
  <c r="C59" i="85" s="1"/>
  <c r="J20" i="84"/>
  <c r="J17" i="84" s="1"/>
  <c r="C34" i="84"/>
  <c r="C31" i="84" s="1"/>
  <c r="F63" i="84"/>
  <c r="C62" i="84" s="1"/>
  <c r="C59" i="84" s="1"/>
  <c r="J20" i="83"/>
  <c r="J17" i="83" s="1"/>
  <c r="C34" i="83"/>
  <c r="C31" i="83" s="1"/>
  <c r="F63" i="83"/>
  <c r="C62" i="83" s="1"/>
  <c r="C59" i="83" s="1"/>
  <c r="C34" i="82"/>
  <c r="C31" i="82" s="1"/>
  <c r="F63" i="82"/>
  <c r="C62" i="82" s="1"/>
  <c r="C59" i="82" s="1"/>
  <c r="J20" i="82"/>
  <c r="J17" i="82" s="1"/>
  <c r="C22" i="11"/>
  <c r="C31" i="11" s="1"/>
  <c r="C18" i="12"/>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9" i="82" l="1"/>
  <c r="C20" i="82" s="1"/>
  <c r="C23" i="82" s="1"/>
  <c r="C19" i="85"/>
  <c r="C20" i="85" s="1"/>
  <c r="C26" i="85" s="1"/>
  <c r="C19" i="84"/>
  <c r="C20" i="84" s="1"/>
  <c r="E54" i="34"/>
  <c r="F54" i="34" s="1"/>
  <c r="E53" i="34"/>
  <c r="F53" i="34" s="1"/>
  <c r="C50" i="34"/>
  <c r="C49" i="34"/>
  <c r="I54" i="34"/>
  <c r="J54" i="34" s="1"/>
  <c r="C26" i="83"/>
  <c r="C29" i="83" s="1"/>
  <c r="C21" i="12"/>
  <c r="C22" i="12" s="1"/>
  <c r="D18" i="71"/>
  <c r="C17"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3" i="85" l="1"/>
  <c r="C29" i="85" s="1"/>
  <c r="J14" i="85" s="1"/>
  <c r="C26" i="84"/>
  <c r="C23" i="84"/>
  <c r="Q49" i="83"/>
  <c r="C36" i="83"/>
  <c r="C13" i="83"/>
  <c r="J59" i="83"/>
  <c r="J60" i="83" s="1"/>
  <c r="Q48" i="83" s="1"/>
  <c r="J14" i="83"/>
  <c r="C57" i="83"/>
  <c r="C64" i="83" s="1"/>
  <c r="C26" i="82"/>
  <c r="C29" i="82" s="1"/>
  <c r="J59" i="82" s="1"/>
  <c r="J60" i="82" s="1"/>
  <c r="Q48" i="82" s="1"/>
  <c r="C30" i="12"/>
  <c r="C28" i="12" s="1"/>
  <c r="C27" i="12"/>
  <c r="C25" i="12" s="1"/>
  <c r="D17" i="71"/>
  <c r="C16"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M21" i="67"/>
  <c r="M21" i="15"/>
  <c r="L46" i="82" l="1"/>
  <c r="C29" i="84"/>
  <c r="C36" i="84" s="1"/>
  <c r="J59" i="85"/>
  <c r="J60" i="85" s="1"/>
  <c r="Q48" i="85" s="1"/>
  <c r="Q49" i="85"/>
  <c r="C57" i="85"/>
  <c r="C64" i="85" s="1"/>
  <c r="C13" i="85"/>
  <c r="C37" i="85" s="1"/>
  <c r="C36" i="85"/>
  <c r="C36" i="82"/>
  <c r="J14" i="82"/>
  <c r="Q49" i="82"/>
  <c r="C57" i="82"/>
  <c r="C64" i="82" s="1"/>
  <c r="C13" i="82"/>
  <c r="Q70" i="83"/>
  <c r="C37" i="83"/>
  <c r="C30" i="83" s="1"/>
  <c r="C39" i="83" s="1"/>
  <c r="C56" i="83"/>
  <c r="C65" i="83" s="1"/>
  <c r="C58" i="83" s="1"/>
  <c r="C67" i="83" s="1"/>
  <c r="C68" i="83" s="1"/>
  <c r="C71" i="83" s="1"/>
  <c r="C75" i="83"/>
  <c r="J13" i="85"/>
  <c r="J23" i="85" s="1"/>
  <c r="J22" i="85"/>
  <c r="J22" i="83"/>
  <c r="J13" i="83"/>
  <c r="J23" i="83" s="1"/>
  <c r="E48" i="21"/>
  <c r="L57" i="85"/>
  <c r="L60" i="85" s="1"/>
  <c r="L57" i="84"/>
  <c r="L60" i="84" s="1"/>
  <c r="C32" i="12"/>
  <c r="B2" i="12" s="1"/>
  <c r="B3" i="12" s="1"/>
  <c r="L57" i="83"/>
  <c r="L60" i="83" s="1"/>
  <c r="L46" i="83" s="1"/>
  <c r="L57" i="82"/>
  <c r="L60" i="82"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3"/>
  <c r="L46" i="85" l="1"/>
  <c r="C57" i="84"/>
  <c r="C64" i="84" s="1"/>
  <c r="Q49" i="84"/>
  <c r="J59" i="84"/>
  <c r="J60" i="84" s="1"/>
  <c r="Q48" i="84" s="1"/>
  <c r="C13" i="84"/>
  <c r="Q70" i="84" s="1"/>
  <c r="J14" i="84"/>
  <c r="J22" i="84" s="1"/>
  <c r="C30" i="85"/>
  <c r="C39" i="85" s="1"/>
  <c r="C40" i="85" s="1"/>
  <c r="Q70" i="85"/>
  <c r="C75" i="85"/>
  <c r="C56" i="85"/>
  <c r="C65" i="85" s="1"/>
  <c r="C58" i="85" s="1"/>
  <c r="C67" i="85" s="1"/>
  <c r="C68" i="85" s="1"/>
  <c r="C71" i="85" s="1"/>
  <c r="J16" i="83"/>
  <c r="J25" i="83" s="1"/>
  <c r="Q67" i="83"/>
  <c r="J16" i="85"/>
  <c r="J25" i="85" s="1"/>
  <c r="Q69" i="83"/>
  <c r="Q68" i="83" s="1"/>
  <c r="C40" i="83"/>
  <c r="B2" i="83" s="1"/>
  <c r="B3" i="83" s="1"/>
  <c r="J22" i="82"/>
  <c r="J13" i="82"/>
  <c r="J23" i="82" s="1"/>
  <c r="C80" i="83"/>
  <c r="C79" i="83" s="1"/>
  <c r="C37" i="82"/>
  <c r="C30" i="82" s="1"/>
  <c r="C39" i="82" s="1"/>
  <c r="C75" i="82"/>
  <c r="C56" i="82"/>
  <c r="C65" i="82" s="1"/>
  <c r="C58" i="82" s="1"/>
  <c r="C67" i="82" s="1"/>
  <c r="C68" i="82" s="1"/>
  <c r="Q70" i="82"/>
  <c r="Q57" i="85"/>
  <c r="Q66" i="85"/>
  <c r="Q66" i="84"/>
  <c r="Q57" i="84"/>
  <c r="Q66" i="83"/>
  <c r="Q57" i="83"/>
  <c r="Q66" i="82"/>
  <c r="Q57" i="82"/>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L51" i="85"/>
  <c r="B2" i="85" l="1"/>
  <c r="B3" i="85" s="1"/>
  <c r="L46" i="84"/>
  <c r="Q69" i="85"/>
  <c r="Q68" i="85" s="1"/>
  <c r="J13" i="84"/>
  <c r="J23" i="84" s="1"/>
  <c r="J16" i="84" s="1"/>
  <c r="J25" i="84" s="1"/>
  <c r="C80" i="85"/>
  <c r="C79" i="85" s="1"/>
  <c r="C75" i="84"/>
  <c r="C56" i="84"/>
  <c r="C65" i="84" s="1"/>
  <c r="C58" i="84" s="1"/>
  <c r="C67" i="84" s="1"/>
  <c r="C68" i="84" s="1"/>
  <c r="C37" i="84"/>
  <c r="C30" i="84" s="1"/>
  <c r="C39" i="84" s="1"/>
  <c r="Q67" i="85"/>
  <c r="C80" i="82"/>
  <c r="C79" i="82" s="1"/>
  <c r="J16" i="82"/>
  <c r="J25" i="82" s="1"/>
  <c r="C46" i="85"/>
  <c r="Q67" i="82"/>
  <c r="C71" i="82"/>
  <c r="C43" i="83"/>
  <c r="C46" i="83"/>
  <c r="Q65" i="83"/>
  <c r="Q75" i="83" s="1"/>
  <c r="Q56" i="83"/>
  <c r="Q62" i="83" s="1"/>
  <c r="Q47" i="83"/>
  <c r="Q53" i="83" s="1"/>
  <c r="C83" i="83"/>
  <c r="C82" i="83" s="1"/>
  <c r="Q47" i="85"/>
  <c r="Q53" i="85" s="1"/>
  <c r="C83" i="85"/>
  <c r="C82" i="85" s="1"/>
  <c r="Q56" i="85"/>
  <c r="Q62" i="85" s="1"/>
  <c r="C43" i="85"/>
  <c r="Q65" i="85"/>
  <c r="Q75" i="85" s="1"/>
  <c r="Q69" i="82"/>
  <c r="Q68" i="82" s="1"/>
  <c r="C40" i="82"/>
  <c r="C46" i="82"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1" i="84"/>
  <c r="C80" i="84" l="1"/>
  <c r="C79" i="84" s="1"/>
  <c r="Q67" i="84"/>
  <c r="C71" i="84"/>
  <c r="C40" i="84"/>
  <c r="Q69" i="84"/>
  <c r="Q68" i="84" s="1"/>
  <c r="B2" i="82"/>
  <c r="B3" i="82" s="1"/>
  <c r="C83" i="82"/>
  <c r="C82" i="82" s="1"/>
  <c r="Q56" i="82"/>
  <c r="Q62" i="82" s="1"/>
  <c r="Q65" i="82"/>
  <c r="Q75" i="82" s="1"/>
  <c r="Q47" i="82"/>
  <c r="Q53" i="82" s="1"/>
  <c r="C43"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L51" i="15"/>
  <c r="D2" i="35"/>
  <c r="Q47" i="84" l="1"/>
  <c r="Q53" i="84" s="1"/>
  <c r="Q56" i="84"/>
  <c r="Q62" i="84" s="1"/>
  <c r="C43" i="84"/>
  <c r="B2" i="84"/>
  <c r="B3" i="84" s="1"/>
  <c r="Q65" i="84"/>
  <c r="Q75" i="84" s="1"/>
  <c r="C83" i="84"/>
  <c r="C82" i="84" s="1"/>
  <c r="C46" i="84"/>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7" i="1"/>
  <c r="AO9" i="1"/>
  <c r="AO10" i="1"/>
  <c r="AO8"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D9" i="71"/>
  <c r="C8" i="71"/>
  <c r="C42" i="40"/>
  <c r="C43" i="40"/>
  <c r="E47" i="40"/>
  <c r="F47" i="40" s="1"/>
  <c r="E46" i="40"/>
  <c r="F46" i="40" s="1"/>
  <c r="I47" i="40"/>
  <c r="J47" i="40" s="1"/>
  <c r="D20" i="9"/>
  <c r="D103" i="9" l="1"/>
  <c r="C7" i="71"/>
  <c r="D8" i="71"/>
  <c r="B58" i="40"/>
  <c r="F58" i="40" s="1"/>
  <c r="B54" i="40"/>
  <c r="F54" i="40" s="1"/>
  <c r="B53" i="40"/>
  <c r="F53" i="40" s="1"/>
  <c r="B59" i="40"/>
  <c r="F59" i="40" s="1"/>
  <c r="B52" i="40"/>
  <c r="F52" i="40" s="1"/>
  <c r="B56" i="40"/>
  <c r="F56" i="40" s="1"/>
  <c r="B60" i="40"/>
  <c r="F60" i="40" s="1"/>
  <c r="B57" i="40"/>
  <c r="F57" i="40" s="1"/>
  <c r="B51" i="40"/>
  <c r="F51" i="40" s="1"/>
  <c r="F61" i="40" l="1"/>
  <c r="B2" i="40" s="1"/>
  <c r="D7" i="71"/>
  <c r="C6" i="71"/>
  <c r="B3" i="40" l="1"/>
  <c r="C6" i="68"/>
  <c r="D6" i="71"/>
  <c r="C5" i="71"/>
  <c r="D5" i="71" s="1"/>
  <c r="M24" i="43" s="1"/>
  <c r="C7" i="68" l="1"/>
  <c r="C5" i="68" s="1"/>
  <c r="C23" i="68" l="1"/>
  <c r="C20" i="68"/>
  <c r="C28" i="68" l="1"/>
  <c r="C27" i="68" s="1"/>
  <c r="C25" i="68"/>
  <c r="C22" i="68" s="1"/>
  <c r="C31" i="68" l="1"/>
  <c r="C52" i="68" s="1"/>
  <c r="C57" i="68" s="1"/>
  <c r="C56" i="68" s="1"/>
  <c r="B2" i="68" l="1"/>
  <c r="C19" i="9"/>
  <c r="D22" i="9" l="1"/>
  <c r="G19" i="9"/>
  <c r="C102" i="9"/>
  <c r="C21" i="9"/>
  <c r="B3" i="68"/>
  <c r="C20" i="9"/>
  <c r="G21" i="9" l="1"/>
  <c r="D14" i="74"/>
  <c r="B6" i="74" s="1"/>
  <c r="D6" i="74" s="1"/>
  <c r="C103" i="9"/>
  <c r="G20" i="9"/>
  <c r="C32" i="9" s="1"/>
  <c r="F14" i="74" l="1"/>
  <c r="E14" i="74"/>
  <c r="B5" i="74"/>
  <c r="D5" i="74" s="1"/>
  <c r="C35" i="9"/>
  <c r="C34" i="9" s="1"/>
  <c r="B49" i="72"/>
  <c r="D5" i="52"/>
  <c r="D119" i="9"/>
  <c r="B52" i="72"/>
  <c r="G4" i="52"/>
  <c r="E81" i="9"/>
  <c r="E80" i="9"/>
  <c r="C80" i="9"/>
  <c r="B32" i="72"/>
  <c r="D14" i="53"/>
  <c r="E97" i="9"/>
  <c r="E96" i="9"/>
  <c r="C96" i="9"/>
  <c r="B31" i="72"/>
  <c r="D15" i="53"/>
  <c r="B21" i="72"/>
  <c r="D7" i="53"/>
  <c r="M55" i="9"/>
  <c r="D59" i="9"/>
  <c r="B22" i="72"/>
  <c r="D6" i="53"/>
  <c r="P57" i="9"/>
  <c r="D55" i="9"/>
  <c r="M53" i="9"/>
  <c r="N57" i="9"/>
  <c r="N58" i="9"/>
  <c r="B47" i="72"/>
  <c r="D118" i="9"/>
  <c r="D4" i="52"/>
  <c r="C73" i="9"/>
  <c r="C78" i="9"/>
  <c r="C86" i="9"/>
  <c r="C93" i="9"/>
  <c r="H102" i="9"/>
  <c r="C5" i="74"/>
  <c r="C72" i="9"/>
  <c r="C79" i="9"/>
  <c r="C81" i="9"/>
  <c r="D5" i="53"/>
  <c r="B20" i="72"/>
  <c r="D8" i="52"/>
  <c r="M64" i="9"/>
  <c r="L64" i="9"/>
  <c r="H108" i="9"/>
  <c r="C6" i="74"/>
  <c r="D122" i="9"/>
  <c r="D123" i="9"/>
  <c r="D9" i="52"/>
  <c r="H4" i="52"/>
  <c r="C104" i="9"/>
  <c r="L65" i="9"/>
  <c r="M65" i="9"/>
  <c r="D52" i="9"/>
  <c r="D53" i="9"/>
  <c r="C64" i="9"/>
  <c r="C63" i="9"/>
  <c r="C67" i="9"/>
  <c r="C68" i="9"/>
  <c r="D54" i="9"/>
  <c r="C105" i="9"/>
  <c r="I4" i="52"/>
  <c r="L68" i="9"/>
  <c r="M68" i="9"/>
  <c r="L63" i="9"/>
  <c r="M63" i="9"/>
  <c r="M69" i="9"/>
  <c r="N69" i="9"/>
  <c r="N61" i="9"/>
  <c r="N59" i="9"/>
  <c r="N60" i="9"/>
  <c r="E118" i="9"/>
  <c r="E4" i="52"/>
  <c r="B48" i="72"/>
  <c r="F4" i="52"/>
  <c r="B51" i="72"/>
  <c r="D13" i="53"/>
  <c r="B30" i="72"/>
  <c r="M48" i="9"/>
  <c r="L67" i="9"/>
  <c r="M67" i="9"/>
  <c r="H119" i="9"/>
  <c r="H5" i="52"/>
  <c r="D45" i="9"/>
  <c r="C85" i="9"/>
  <c r="C95" i="9"/>
  <c r="C97" i="9"/>
  <c r="D58" i="9"/>
  <c r="D56" i="9"/>
  <c r="M54" i="9"/>
  <c r="G118" i="9"/>
  <c r="F118" i="9"/>
  <c r="F119" i="9"/>
  <c r="F5" i="52"/>
  <c r="B53" i="72"/>
  <c r="I118" i="9"/>
  <c r="H118" i="9"/>
  <c r="H101" i="9"/>
  <c r="H107" i="9"/>
  <c r="M49" i="9"/>
  <c r="L66" i="9"/>
  <c r="M6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A3B7E920-4361-4237-B179-BCDDD091ECB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D66D3B3F-6DED-4B72-BBA1-F3686D5EE35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47A93912-D9BF-4A60-B35D-9C2629ECEBF6}">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5A6A4A1-F542-4A10-956C-855C05E2258F}">
      <text>
        <r>
          <rPr>
            <sz val="11"/>
            <color indexed="81"/>
            <rFont val="宋体"/>
            <family val="3"/>
            <charset val="134"/>
          </rPr>
          <t>在建项目均选择“是”</t>
        </r>
      </text>
    </comment>
    <comment ref="F59" authorId="1" shapeId="0" xr:uid="{9F7667CB-1BE7-4C0F-A92F-2931AEE94385}">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43BE8BF-3B66-43A8-9441-E4106FE7021C}">
      <text>
        <r>
          <rPr>
            <sz val="10"/>
            <color indexed="81"/>
            <rFont val="宋体"/>
            <family val="3"/>
            <charset val="134"/>
          </rPr>
          <t xml:space="preserve">在建
</t>
        </r>
      </text>
    </comment>
    <comment ref="N59" authorId="0" shapeId="0" xr:uid="{0A8AA8F4-DE48-40B5-80B2-5E448CE59243}">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124A97A2-C576-4485-B3FF-91462BB84BC4}">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7525651-4BC9-4641-8960-56AAE77EC5B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12D5BB9-2C56-4BF8-8488-31BA1835D72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552BD01-3D72-43F6-A102-03EF79AE7326}">
      <text>
        <r>
          <rPr>
            <sz val="11"/>
            <color indexed="81"/>
            <rFont val="宋体"/>
            <family val="3"/>
            <charset val="134"/>
          </rPr>
          <t>在建项目均选择“是”</t>
        </r>
      </text>
    </comment>
    <comment ref="F59" authorId="1" shapeId="0" xr:uid="{6BD4FBB0-3B89-4922-819F-7FF7B7A4A76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31E51289-D9E1-4437-B221-563A932CB8C5}">
      <text>
        <r>
          <rPr>
            <sz val="10"/>
            <color indexed="81"/>
            <rFont val="宋体"/>
            <family val="3"/>
            <charset val="134"/>
          </rPr>
          <t xml:space="preserve">在建
</t>
        </r>
      </text>
    </comment>
    <comment ref="N59" authorId="0" shapeId="0" xr:uid="{C6BF6993-BC22-4CB8-B655-84143AA21A47}">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9D39BBE4-50B0-4ABA-8E54-C8ED0BC429D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6CC15D61-17D8-4825-B49B-BBFD94E3015F}">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B866718A-B97C-4002-B6CF-B0D1E1369236}">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4464A01-F43B-4547-8C9E-40F7D708A0E2}">
      <text>
        <r>
          <rPr>
            <sz val="11"/>
            <color indexed="81"/>
            <rFont val="宋体"/>
            <family val="3"/>
            <charset val="134"/>
          </rPr>
          <t>在建项目均选择“是”</t>
        </r>
      </text>
    </comment>
    <comment ref="F59" authorId="1" shapeId="0" xr:uid="{4BA31079-8B01-4362-89A3-5A553F1A7203}">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48DD7ECA-6F28-40F2-829A-723CC0DBAB61}">
      <text>
        <r>
          <rPr>
            <sz val="10"/>
            <color indexed="81"/>
            <rFont val="宋体"/>
            <family val="3"/>
            <charset val="134"/>
          </rPr>
          <t xml:space="preserve">在建
</t>
        </r>
      </text>
    </comment>
    <comment ref="N59" authorId="0" shapeId="0" xr:uid="{468DCD0F-0367-43CD-BE04-4EDD9FE1BF34}">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6F793CA2-3B05-43EA-8642-DE266D3340C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98E0CD1-99B1-4247-9264-D145183801F9}">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97E95D17-FA64-4745-937E-A889CCAEE386}">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1D9D1AD-AAAE-4972-A57F-982BECD1F1F4}">
      <text>
        <r>
          <rPr>
            <sz val="11"/>
            <color indexed="81"/>
            <rFont val="宋体"/>
            <family val="3"/>
            <charset val="134"/>
          </rPr>
          <t>在建项目均选择“是”</t>
        </r>
      </text>
    </comment>
    <comment ref="F59" authorId="1" shapeId="0" xr:uid="{0842B6FA-86B6-4FB1-A72B-A8BBE140C3C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C2CE6C97-0775-45BE-B19E-7D4B6A49D2D3}">
      <text>
        <r>
          <rPr>
            <sz val="10"/>
            <color indexed="81"/>
            <rFont val="宋体"/>
            <family val="3"/>
            <charset val="134"/>
          </rPr>
          <t xml:space="preserve">在建
</t>
        </r>
      </text>
    </comment>
    <comment ref="N59" authorId="0" shapeId="0" xr:uid="{65A6C35A-A2BD-4CBA-AD6F-3FCEF1FA04C0}">
      <text>
        <r>
          <rPr>
            <sz val="10"/>
            <color indexed="81"/>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<sst xmlns="http://schemas.openxmlformats.org/spreadsheetml/2006/main" count="10676" uniqueCount="3940">
  <si>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</si>
  <si>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</si>
  <si>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</si>
  <si>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</si>
  <si>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</si>
  <si>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</si>
  <si>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</si>
  <si>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</si>
  <si>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</si>
  <si>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</si>
  <si>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</si>
  <si>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</si>
  <si>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</si>
  <si>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</si>
  <si>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</si>
  <si>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</si>
  <si>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</si>
  <si>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</si>
  <si>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</si>
  <si>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</si>
  <si>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</si>
  <si>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</si>
  <si>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</si>
  <si>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</si>
  <si>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</si>
  <si>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</si>
  <si>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</si>
  <si>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</si>
  <si>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</si>
  <si>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</si>
  <si>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</si>
  <si>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</si>
  <si>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</si>
  <si>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</si>
  <si>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</si>
  <si>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</si>
  <si>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</si>
  <si>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</si>
  <si>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</si>
  <si>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</si>
  <si>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</si>
  <si>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</si>
  <si>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</si>
  <si>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</si>
  <si>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</si>
  <si>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</si>
  <si>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</si>
  <si>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</si>
  <si>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</si>
  <si>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</si>
  <si>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</si>
  <si>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</si>
  <si>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</si>
  <si>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</si>
  <si>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</si>
  <si>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</si>
  <si>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</si>
  <si>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</si>
  <si>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</si>
  <si>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</si>
  <si>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</si>
  <si>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</si>
  <si>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</si>
  <si>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</si>
  <si>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</si>
  <si>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</si>
  <si>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</si>
  <si>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</si>
  <si>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</si>
  <si>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</si>
  <si>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</si>
  <si>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</si>
  <si>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</si>
  <si>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</si>
  <si>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</si>
  <si>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</si>
  <si>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</si>
  <si>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</si>
  <si>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</si>
  <si>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</si>
  <si>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</si>
  <si>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</si>
  <si>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</si>
  <si>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</si>
  <si>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</si>
  <si>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</si>
  <si>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</si>
  <si>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</si>
  <si>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</si>
  <si>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</si>
  <si>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</si>
  <si>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</si>
  <si>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</si>
  <si>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</si>
  <si>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</si>
  <si>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</si>
  <si>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</si>
  <si>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</si>
  <si>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</si>
  <si>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</si>
  <si>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</si>
  <si>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</si>
  <si>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</si>
  <si>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</si>
  <si>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</si>
  <si>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</si>
  <si>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</si>
  <si>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</si>
  <si>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</si>
  <si>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</si>
  <si>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</si>
  <si>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</si>
  <si>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</si>
  <si>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</si>
  <si>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</si>
  <si>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</si>
  <si>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</si>
  <si>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</si>
  <si>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</si>
  <si>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</si>
  <si>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</si>
  <si>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</si>
  <si>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</si>
  <si>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</si>
  <si>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</si>
  <si>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</si>
  <si>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</si>
  <si>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</si>
  <si>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</si>
  <si>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</si>
  <si>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</si>
  <si>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</si>
  <si>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</si>
  <si>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</si>
  <si>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</si>
  <si>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</si>
  <si>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</si>
  <si>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</si>
  <si>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</si>
  <si>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</si>
  <si>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</si>
  <si>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</si>
  <si>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</si>
  <si>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</si>
  <si>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</si>
  <si>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</si>
  <si>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</si>
  <si>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</si>
  <si>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</si>
  <si>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</si>
  <si>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</si>
  <si>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</si>
  <si>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</si>
  <si>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</si>
  <si>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</si>
  <si>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</si>
  <si>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</si>
  <si>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</si>
  <si>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</si>
  <si>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</si>
  <si>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</si>
  <si>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</si>
  <si>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</si>
  <si>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</si>
  <si>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</si>
  <si>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</si>
  <si>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</si>
  <si>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</si>
  <si>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</si>
  <si>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</si>
  <si>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</si>
  <si>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</si>
  <si>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</si>
  <si>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</si>
  <si>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</si>
  <si>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</si>
  <si>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</si>
  <si>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</si>
  <si>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</si>
  <si>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</si>
  <si>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</si>
  <si>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</si>
  <si>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</si>
  <si>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</si>
  <si>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</si>
  <si>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</si>
  <si>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</si>
  <si>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</si>
  <si>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</si>
  <si>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</si>
  <si>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</si>
  <si>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</si>
  <si>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</si>
  <si>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</si>
  <si>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</si>
  <si>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</si>
  <si>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</si>
  <si>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</si>
  <si>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</si>
  <si>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</si>
  <si>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</si>
  <si>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</si>
  <si>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</si>
  <si>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</si>
  <si>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</si>
  <si>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</si>
  <si>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</si>
  <si>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</si>
  <si>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</si>
  <si>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</si>
  <si>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</si>
  <si>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</si>
  <si>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</si>
  <si>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</si>
  <si>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</si>
  <si>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</si>
  <si>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</si>
  <si>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</si>
  <si>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</si>
  <si>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</si>
  <si>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</si>
  <si>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</si>
  <si>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</si>
  <si>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</si>
  <si>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</si>
  <si>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</si>
  <si>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</si>
  <si>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</si>
  <si>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</si>
  <si>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</si>
  <si>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</si>
  <si>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</si>
  <si>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</si>
  <si>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</si>
  <si>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</si>
  <si>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</si>
  <si>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</si>
  <si>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</si>
  <si>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</si>
  <si>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</si>
  <si>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</si>
  <si>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</si>
  <si>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</si>
  <si>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</si>
  <si>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</si>
  <si>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</si>
  <si>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</si>
  <si>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</si>
  <si>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</si>
  <si>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</si>
  <si>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</si>
  <si>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</si>
  <si>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</si>
  <si>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</si>
  <si>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</si>
  <si>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</si>
  <si>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</si>
  <si>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</si>
  <si>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</si>
  <si>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</si>
  <si>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</si>
  <si>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</si>
  <si>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</si>
  <si>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</si>
  <si>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</si>
  <si>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</si>
  <si>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</si>
  <si>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</si>
  <si>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</si>
  <si>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</si>
  <si>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</si>
  <si>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</si>
  <si>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</si>
  <si>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</si>
  <si>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</si>
  <si>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</si>
  <si>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</si>
  <si>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</si>
  <si>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</si>
  <si>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</si>
  <si>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</si>
  <si>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</si>
  <si>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</si>
  <si>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</si>
  <si>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</si>
  <si>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</si>
  <si>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</si>
  <si>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</si>
  <si>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</si>
  <si>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</si>
  <si>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</si>
  <si>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</si>
  <si>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</si>
  <si>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</si>
  <si>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</si>
  <si>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</si>
  <si>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</si>
  <si>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</si>
  <si>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</si>
  <si>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</si>
  <si>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</si>
  <si>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</si>
  <si>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</si>
  <si>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</si>
  <si>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</si>
  <si>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</si>
  <si>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</si>
  <si>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</si>
  <si>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</si>
  <si>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</si>
  <si>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</si>
  <si>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</si>
  <si>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</si>
  <si>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</si>
  <si>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</si>
  <si>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</si>
  <si>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</si>
  <si>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</si>
  <si>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</si>
  <si>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</si>
  <si>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</si>
  <si>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</si>
  <si>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</si>
  <si>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</si>
  <si>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</si>
  <si>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</si>
  <si>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</si>
  <si>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</si>
  <si>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</si>
  <si>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</si>
  <si>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</si>
  <si>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</si>
  <si>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</si>
  <si>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</si>
  <si>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</si>
  <si>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</si>
  <si>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</si>
  <si>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</si>
  <si>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</si>
  <si>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</si>
  <si>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</si>
  <si>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</si>
  <si>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</si>
  <si>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</si>
  <si>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</si>
  <si>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</si>
  <si>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</si>
  <si>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</si>
  <si>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</si>
  <si>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</si>
  <si>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</si>
  <si>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</si>
  <si>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</si>
  <si>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</si>
  <si>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</si>
  <si>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</si>
  <si>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</si>
  <si>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</si>
  <si>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</si>
  <si>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</si>
  <si>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</si>
  <si>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</si>
  <si>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</si>
  <si>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</si>
  <si>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</si>
  <si>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</si>
  <si>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</si>
  <si>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</si>
  <si>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</si>
  <si>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</si>
  <si>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</si>
  <si>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</si>
  <si>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</si>
  <si>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</si>
  <si>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</si>
  <si>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</si>
  <si>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</si>
  <si>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</si>
  <si>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</si>
  <si>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</si>
  <si>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</si>
  <si>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</si>
  <si>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</si>
  <si>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</si>
  <si>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</si>
  <si>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</si>
  <si>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</si>
  <si>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</si>
  <si>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</si>
  <si>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</si>
  <si>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</si>
  <si>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</si>
  <si>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</si>
  <si>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</si>
  <si>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</si>
  <si>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</si>
  <si>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</si>
  <si>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</si>
  <si>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</si>
  <si>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</si>
  <si>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</si>
  <si>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</si>
  <si>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</si>
  <si>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</si>
  <si>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</si>
  <si>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</si>
  <si>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</si>
  <si>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</si>
  <si>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</si>
  <si>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</si>
  <si>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</si>
  <si>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</si>
  <si>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</si>
  <si>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</si>
  <si>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</si>
  <si>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</si>
  <si>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</si>
  <si>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</si>
  <si>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</si>
  <si>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</si>
  <si>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</si>
  <si>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</si>
  <si>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</si>
  <si>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</si>
  <si>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</si>
  <si>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</si>
  <si>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</si>
  <si>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</si>
  <si>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</si>
  <si>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</si>
  <si>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</si>
  <si>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</si>
  <si>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</si>
  <si>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</si>
  <si>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</si>
  <si>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</si>
  <si>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</si>
  <si>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</si>
  <si>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</si>
  <si>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</si>
  <si>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</si>
  <si>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</si>
  <si>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</si>
  <si>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</si>
  <si>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</si>
  <si>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</si>
  <si>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</si>
  <si>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</si>
  <si>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</si>
  <si>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</si>
  <si>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</si>
  <si>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</si>
  <si>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</si>
  <si>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</si>
  <si>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</si>
  <si>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</si>
  <si>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</si>
  <si>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</si>
  <si>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</si>
  <si>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</si>
  <si>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</si>
  <si>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</si>
  <si>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</si>
  <si>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</si>
  <si>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</si>
  <si>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</si>
  <si>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</si>
  <si>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</si>
  <si>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</si>
  <si>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</si>
  <si>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</si>
  <si>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</si>
  <si>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</si>
  <si>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</si>
  <si>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</si>
  <si>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</si>
  <si>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</si>
  <si>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</si>
  <si>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</si>
  <si>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</si>
  <si>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</si>
  <si>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</si>
  <si>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</si>
  <si>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</si>
  <si>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</si>
  <si>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</si>
  <si>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</si>
  <si>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</si>
  <si>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</si>
  <si>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</si>
  <si>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</si>
  <si>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</si>
  <si>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</si>
  <si>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</si>
  <si>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</si>
  <si>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</si>
  <si>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</si>
  <si>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</si>
  <si>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</si>
  <si>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</si>
  <si>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</si>
  <si>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</si>
  <si>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</si>
  <si>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</si>
  <si>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</si>
  <si>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</si>
  <si>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</si>
  <si>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</si>
  <si>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</si>
  <si>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</si>
  <si>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</si>
  <si>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</si>
  <si>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</si>
  <si>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</si>
  <si>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</si>
  <si>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</si>
  <si>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</si>
  <si>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</si>
  <si>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</si>
  <si>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</si>
  <si>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</si>
  <si>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</si>
  <si>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</si>
  <si>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</si>
  <si>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</si>
  <si>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</si>
  <si>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</si>
  <si>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</si>
  <si>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</si>
  <si>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</si>
  <si>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</si>
  <si>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</si>
  <si>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</si>
  <si>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</si>
  <si>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</si>
  <si>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</si>
  <si>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</si>
  <si>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</si>
  <si>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</si>
  <si>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</si>
  <si>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</si>
  <si>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</si>
  <si>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</si>
  <si>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</si>
  <si>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</si>
  <si>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</si>
  <si>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</si>
  <si>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</si>
  <si>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</si>
  <si>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</si>
  <si>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</si>
  <si>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</si>
  <si>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</si>
  <si>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</si>
  <si>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</si>
  <si>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</si>
  <si>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</si>
  <si>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</si>
  <si>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</si>
  <si>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</si>
  <si>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</si>
  <si>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</si>
  <si>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</si>
  <si>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</si>
  <si>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</si>
  <si>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</si>
  <si>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</si>
  <si>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</si>
  <si>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</si>
  <si>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</si>
  <si>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</si>
  <si>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</si>
  <si>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</si>
  <si>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</si>
  <si>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</si>
  <si>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</si>
  <si>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</si>
  <si>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</si>
  <si>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</si>
  <si>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</si>
  <si>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</si>
  <si>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</si>
  <si>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</si>
  <si>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</si>
  <si>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</si>
  <si>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</si>
  <si>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</si>
  <si>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</si>
  <si>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</si>
  <si>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</si>
  <si>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</si>
  <si>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</si>
  <si>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</si>
  <si>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</si>
  <si>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</si>
  <si>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</si>
  <si>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</si>
  <si>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</si>
  <si>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</si>
  <si>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</si>
  <si>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</si>
  <si>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</si>
  <si>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</si>
  <si>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</si>
  <si>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</si>
  <si>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</si>
  <si>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</si>
  <si>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</si>
  <si>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</si>
  <si>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</si>
  <si>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</si>
  <si>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</si>
  <si>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</si>
  <si>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</si>
  <si>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</si>
  <si>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</si>
  <si>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</si>
  <si>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</si>
  <si>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</si>
  <si>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</si>
  <si>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</si>
  <si>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</si>
  <si>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</si>
  <si>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</si>
  <si>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</si>
  <si>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</si>
  <si>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</si>
  <si>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</si>
  <si>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</si>
  <si>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</si>
  <si>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</si>
  <si>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</si>
  <si>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</si>
  <si>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</si>
  <si>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</si>
  <si>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</si>
  <si>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</si>
  <si>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</si>
  <si>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</si>
  <si>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</si>
  <si>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</si>
  <si>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</si>
  <si>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</si>
  <si>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</si>
  <si>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</si>
  <si>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</si>
  <si>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</si>
  <si>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</si>
  <si>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</si>
  <si>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</si>
  <si>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</si>
  <si>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</si>
  <si>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</si>
  <si>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</si>
  <si>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</si>
  <si>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</si>
  <si>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</si>
  <si>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</si>
  <si>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</si>
  <si>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</si>
  <si>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</si>
  <si>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</si>
  <si>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</si>
  <si>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</si>
  <si>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</si>
  <si>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</si>
  <si>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</si>
  <si>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</si>
  <si>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</si>
  <si>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</si>
  <si>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</si>
  <si>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</si>
  <si>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</si>
  <si>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</si>
  <si>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</si>
  <si>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</si>
  <si>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</si>
  <si>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</si>
  <si>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</si>
  <si>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</si>
  <si>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</si>
  <si>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</si>
  <si>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</si>
  <si>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</si>
  <si>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</si>
  <si>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</si>
  <si>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</si>
  <si>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</si>
  <si>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</si>
  <si>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</si>
  <si>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</si>
  <si>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</si>
  <si>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</si>
  <si>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</si>
  <si>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</si>
  <si>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</si>
  <si>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</si>
  <si>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</si>
  <si>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</si>
  <si>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</si>
  <si>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</si>
  <si>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</si>
  <si>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</si>
  <si>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</si>
  <si>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</si>
  <si>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</si>
  <si>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</si>
  <si>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</si>
  <si>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</si>
  <si>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</si>
  <si>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</si>
  <si>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</si>
  <si>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</si>
  <si>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</si>
  <si>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</si>
  <si>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</si>
  <si>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</si>
  <si>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</si>
  <si>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</si>
  <si>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</si>
  <si>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</si>
  <si>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</si>
  <si>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</si>
  <si>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</si>
  <si>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</si>
  <si>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</si>
  <si>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</si>
  <si>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</si>
  <si>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</si>
  <si>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</si>
  <si>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</si>
  <si>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</si>
  <si>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</si>
  <si>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</si>
  <si>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</si>
  <si>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</si>
  <si>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</si>
  <si>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</si>
  <si>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</si>
  <si>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</si>
  <si>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</si>
  <si>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</si>
  <si>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</si>
  <si>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</si>
  <si>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</si>
  <si>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</si>
  <si>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</si>
  <si>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</si>
  <si>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</si>
  <si>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</si>
  <si>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</si>
  <si>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</si>
  <si>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</si>
  <si>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</si>
  <si>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</si>
  <si>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</si>
  <si>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</si>
  <si>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</si>
  <si>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</si>
  <si>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</si>
  <si>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</si>
  <si>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</si>
  <si>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</si>
  <si>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</si>
  <si>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</si>
  <si>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</si>
  <si>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</si>
  <si>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</si>
  <si>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</si>
  <si>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</si>
  <si>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</si>
  <si>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</si>
  <si>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</si>
  <si>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</si>
  <si>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</si>
  <si>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</si>
  <si>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</si>
  <si>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</si>
  <si>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</si>
  <si>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</si>
  <si>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</si>
  <si>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</si>
  <si>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</si>
  <si>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</si>
  <si>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</si>
  <si>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</si>
  <si>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</si>
  <si>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</si>
  <si>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</si>
  <si>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</si>
  <si>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</si>
  <si>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</si>
  <si>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</si>
  <si>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</si>
  <si>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</si>
  <si>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</si>
  <si>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</si>
  <si>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</si>
  <si>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</si>
  <si>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</si>
  <si>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</si>
  <si>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</si>
  <si>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</si>
  <si>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</si>
  <si>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</si>
  <si>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</si>
  <si>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</si>
  <si>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</si>
  <si>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</si>
  <si>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</si>
  <si>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</si>
  <si>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</si>
  <si>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</si>
  <si>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</si>
  <si>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</si>
  <si>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</si>
  <si>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</si>
  <si>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</si>
  <si>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</si>
  <si>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</si>
  <si>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</si>
  <si>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</si>
  <si>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</si>
  <si>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</si>
  <si>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</si>
  <si>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</si>
  <si>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</si>
  <si>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</si>
  <si>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</si>
  <si>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</si>
  <si>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</si>
  <si>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</si>
  <si>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</si>
  <si>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</si>
  <si>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</si>
  <si>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</si>
  <si>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</si>
  <si>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</si>
  <si>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</si>
  <si>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</si>
  <si>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</si>
  <si>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</si>
  <si>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</si>
  <si>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</si>
  <si>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</si>
  <si>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</si>
  <si>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</si>
  <si>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</si>
  <si>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</si>
  <si>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</si>
  <si>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</si>
  <si>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</si>
  <si>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</si>
  <si>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</si>
  <si>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</si>
  <si>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</si>
  <si>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</si>
  <si>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</si>
  <si>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</si>
  <si>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</si>
  <si>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</si>
  <si>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</si>
  <si>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</si>
  <si>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</si>
  <si>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</si>
  <si>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</si>
  <si>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</si>
  <si>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</si>
  <si>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</si>
  <si>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</si>
  <si>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</si>
  <si>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</si>
  <si>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</si>
  <si>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</si>
  <si>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</si>
  <si>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</si>
  <si>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</si>
  <si>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</si>
  <si>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</si>
  <si>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</si>
  <si>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</si>
  <si>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</si>
  <si>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</si>
  <si>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</si>
  <si>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</si>
  <si>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</si>
  <si>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</si>
  <si>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</si>
  <si>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</si>
  <si>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</si>
  <si>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</si>
  <si>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</si>
  <si>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</si>
  <si>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</si>
  <si>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</si>
  <si>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</si>
  <si>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</si>
  <si>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</si>
  <si>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</si>
  <si>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</si>
  <si>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</si>
  <si>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</si>
  <si>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</si>
  <si>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</si>
  <si>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</si>
  <si>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</si>
  <si>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</si>
  <si>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</si>
  <si>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</si>
  <si>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</si>
  <si>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</si>
  <si>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</si>
  <si>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</si>
  <si>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</si>
  <si>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</si>
  <si>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</si>
  <si>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</si>
  <si>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</si>
  <si>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</si>
  <si>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</si>
  <si>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</si>
  <si>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</si>
  <si>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</si>
  <si>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</si>
  <si>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</si>
  <si>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</si>
  <si>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</si>
  <si>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</si>
  <si>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</si>
  <si>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</si>
  <si>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</si>
  <si>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</si>
  <si>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</si>
  <si>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</si>
  <si>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</si>
  <si>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</si>
  <si>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</si>
  <si>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</si>
  <si>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</si>
  <si>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</si>
  <si>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</si>
  <si>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</si>
  <si>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</si>
  <si>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</si>
  <si>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</si>
  <si>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</si>
  <si>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</si>
  <si>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</si>
  <si>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</si>
  <si>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</si>
  <si>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</si>
  <si>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</si>
  <si>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</si>
  <si>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</si>
  <si>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</si>
  <si>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</si>
  <si>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</si>
  <si>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</si>
  <si>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</si>
  <si>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</si>
  <si>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</si>
  <si>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</si>
  <si>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</si>
  <si>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</si>
  <si>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</si>
  <si>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</si>
  <si>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</si>
  <si>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</si>
  <si>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</si>
  <si>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</si>
  <si>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</si>
  <si>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</si>
  <si>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</si>
  <si>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</si>
  <si>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</si>
  <si>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</si>
  <si>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</si>
  <si>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</si>
  <si>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</si>
  <si>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</si>
  <si>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</si>
  <si>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</si>
  <si>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</si>
  <si>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</si>
  <si>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</si>
  <si>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</si>
  <si>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</si>
  <si>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</si>
  <si>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</si>
  <si>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</si>
  <si>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</si>
  <si>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</si>
  <si>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</si>
  <si>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</si>
  <si>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</si>
  <si>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</si>
  <si>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</si>
  <si>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</si>
  <si>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</si>
  <si>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</si>
  <si>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</si>
  <si>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</si>
  <si>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</si>
  <si>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</si>
  <si>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</si>
  <si>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</si>
  <si>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</si>
  <si>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</si>
  <si>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</si>
  <si>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</si>
  <si>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</si>
  <si>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</si>
  <si>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</si>
  <si>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</si>
  <si>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</si>
  <si>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</si>
  <si>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</si>
  <si>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</si>
  <si>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</si>
  <si>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</si>
  <si>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</si>
  <si>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</si>
  <si>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</si>
  <si>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</si>
  <si>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</si>
  <si>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</si>
  <si>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</si>
  <si>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</si>
  <si>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</si>
  <si>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</si>
  <si>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</si>
  <si>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</si>
  <si>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</si>
  <si>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</si>
  <si>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</si>
  <si>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</si>
  <si>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</si>
  <si>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</si>
  <si>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</si>
  <si>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</si>
  <si>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</si>
  <si>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</si>
  <si>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</si>
  <si>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</si>
  <si>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</si>
  <si>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</si>
  <si>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</si>
  <si>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</si>
  <si>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</si>
  <si>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</si>
  <si>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</si>
  <si>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</si>
  <si>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</si>
  <si>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</si>
  <si>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</si>
  <si>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</si>
  <si>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</si>
  <si>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</si>
  <si>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</si>
  <si>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</si>
  <si>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</si>
  <si>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</si>
  <si>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</si>
  <si>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</si>
  <si>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</si>
  <si>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</si>
  <si>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</si>
  <si>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</si>
  <si>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</si>
  <si>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</si>
  <si>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</si>
  <si>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</si>
  <si>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</si>
  <si>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</si>
  <si>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</si>
  <si>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</si>
  <si>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</si>
  <si>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</si>
  <si>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</si>
  <si>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</si>
  <si>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</si>
  <si>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</si>
  <si>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</si>
  <si>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</si>
  <si>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</si>
  <si>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</si>
  <si>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</si>
  <si>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</si>
  <si>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</si>
  <si>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</si>
  <si>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</si>
  <si>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</si>
  <si>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</si>
  <si>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</si>
  <si>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</si>
  <si>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</si>
  <si>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</si>
  <si>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</si>
  <si>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</si>
  <si>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</si>
  <si>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</si>
  <si>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</si>
  <si>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</si>
  <si>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</si>
  <si>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</si>
  <si>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</si>
  <si>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</si>
  <si>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</si>
  <si>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</si>
  <si>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</si>
  <si>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</si>
  <si>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</si>
  <si>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</si>
  <si>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</si>
  <si>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</si>
  <si>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</si>
  <si>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</si>
  <si>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</si>
  <si>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</si>
  <si>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</si>
  <si>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</si>
  <si>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</si>
  <si>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</si>
  <si>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</si>
  <si>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</si>
  <si>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</si>
  <si>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</si>
  <si>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</si>
  <si>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</si>
  <si>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</si>
  <si>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</si>
  <si>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</si>
  <si>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</si>
  <si>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</si>
  <si>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</si>
  <si>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</si>
  <si>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</si>
  <si>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</si>
  <si>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</si>
  <si>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</si>
  <si>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</si>
  <si>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</si>
  <si>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</si>
  <si>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</si>
  <si>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</si>
  <si>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</si>
  <si>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</si>
  <si>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</si>
  <si>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</si>
  <si>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</si>
  <si>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</si>
  <si>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</si>
  <si>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</si>
  <si>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</si>
  <si>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</si>
  <si>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</si>
  <si>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</si>
  <si>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</si>
  <si>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</si>
  <si>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</si>
  <si>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</si>
  <si>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</si>
  <si>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</si>
  <si>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</si>
  <si>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</si>
  <si>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</si>
  <si>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</si>
  <si>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</si>
  <si>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</si>
  <si>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</si>
  <si>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</si>
  <si>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</si>
  <si>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</si>
  <si>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</si>
  <si>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</si>
  <si>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</si>
  <si>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</si>
  <si>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</si>
  <si>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</si>
  <si>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</si>
  <si>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</si>
  <si>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</si>
  <si>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</si>
  <si>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</si>
  <si>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</si>
  <si>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</si>
  <si>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</si>
  <si>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</si>
  <si>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</si>
  <si>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</si>
  <si>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</si>
  <si>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</si>
  <si>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</si>
  <si>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</si>
  <si>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</si>
  <si>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</si>
  <si>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</si>
  <si>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</si>
  <si>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</si>
  <si>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</si>
  <si>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</si>
  <si>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</si>
  <si>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</si>
  <si>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</si>
  <si>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</si>
  <si>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</si>
  <si>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</si>
  <si>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</si>
  <si>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</si>
  <si>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</si>
  <si>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</si>
  <si>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</si>
  <si>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</si>
  <si>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</si>
  <si>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</si>
  <si>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</si>
  <si>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</si>
  <si>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</si>
  <si>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</si>
  <si>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</si>
  <si>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</si>
  <si>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</si>
  <si>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</si>
  <si>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</si>
  <si>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</si>
  <si>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</si>
  <si>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</si>
  <si>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</si>
  <si>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</si>
  <si>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</si>
  <si>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</si>
  <si>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</si>
  <si>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</si>
  <si>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</si>
  <si>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</si>
  <si>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</si>
  <si>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</si>
  <si>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</si>
  <si>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</si>
  <si>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</si>
  <si>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</si>
  <si>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</si>
  <si>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</si>
  <si>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</si>
  <si>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</si>
  <si>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</si>
  <si>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</si>
  <si>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</si>
  <si>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</si>
  <si>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</si>
  <si>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</si>
  <si>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</si>
  <si>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</si>
  <si>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</si>
  <si>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</si>
  <si>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</si>
  <si>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</si>
  <si>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</si>
  <si>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</si>
  <si>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</si>
  <si>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</si>
  <si>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</si>
  <si>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</si>
  <si>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</si>
  <si>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</si>
  <si>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</si>
  <si>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</si>
  <si>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</si>
  <si>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</si>
  <si>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</si>
  <si>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</si>
  <si>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</si>
  <si>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</si>
  <si>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</si>
  <si>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</si>
  <si>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</si>
  <si>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</si>
  <si>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</si>
  <si>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</si>
  <si>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</si>
  <si>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</si>
  <si>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</si>
  <si>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</si>
  <si>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</si>
  <si>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</si>
  <si>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</si>
  <si>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</si>
  <si>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</si>
  <si>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</si>
  <si>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</si>
  <si>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</si>
  <si>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</si>
  <si>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</si>
  <si>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</si>
  <si>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</si>
  <si>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</si>
  <si>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</si>
  <si>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</si>
  <si>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</si>
  <si>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</si>
  <si>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</si>
  <si>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</si>
  <si>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</si>
  <si>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</si>
  <si>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</si>
  <si>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</si>
  <si>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</si>
  <si>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</si>
  <si>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</si>
  <si>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</si>
  <si>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</si>
  <si>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</si>
  <si>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</si>
  <si>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</si>
  <si>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</si>
  <si>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</si>
  <si>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</si>
  <si>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</si>
  <si>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</si>
  <si>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</si>
  <si>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</si>
  <si>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</si>
  <si>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</si>
  <si>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</si>
  <si>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</si>
  <si>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</si>
  <si>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</si>
  <si>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</si>
  <si>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</si>
  <si>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</si>
  <si>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</si>
  <si>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</si>
  <si>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</si>
  <si>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</si>
  <si>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</si>
  <si>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</si>
  <si>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</si>
  <si>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</si>
  <si>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</si>
  <si>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</si>
  <si>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</si>
  <si>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</si>
  <si>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</si>
  <si>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</si>
  <si>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</si>
  <si>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</si>
  <si>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</si>
  <si>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</si>
  <si>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</si>
  <si>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</si>
  <si>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</si>
  <si>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</si>
  <si>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</si>
  <si>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</si>
  <si>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</si>
  <si>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</si>
  <si>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</si>
  <si>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</si>
  <si>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</si>
  <si>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</si>
  <si>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</si>
  <si>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</si>
  <si>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</si>
  <si>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</si>
  <si>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</si>
  <si>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</si>
  <si>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</si>
  <si>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</si>
  <si>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</si>
  <si>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</si>
  <si>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</si>
  <si>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</si>
  <si>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</si>
  <si>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</si>
  <si>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</si>
  <si>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</si>
  <si>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</si>
  <si>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</si>
  <si>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</si>
  <si>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</si>
  <si>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</si>
  <si>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</si>
  <si>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</si>
  <si>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</si>
  <si>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</si>
  <si>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</si>
  <si>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</si>
  <si>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</si>
  <si>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</si>
  <si>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</si>
  <si>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</si>
  <si>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</si>
  <si>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</si>
  <si>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</si>
  <si>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</si>
  <si>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</si>
  <si>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</si>
  <si>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</si>
  <si>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</si>
  <si>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</si>
  <si>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</si>
  <si>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</si>
  <si>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</si>
  <si>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</si>
  <si>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</si>
  <si>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</si>
  <si>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</si>
  <si>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</si>
  <si>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</si>
  <si>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</si>
  <si>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</si>
  <si>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</si>
  <si>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</si>
  <si>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</si>
  <si>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</si>
  <si>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</si>
  <si>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</si>
  <si>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</si>
  <si>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</si>
  <si>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</si>
  <si>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</si>
  <si>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</si>
  <si>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</si>
  <si>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</si>
  <si>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</si>
  <si>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</si>
  <si>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</si>
  <si>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</si>
  <si>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</si>
  <si>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</si>
  <si>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</si>
  <si>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</si>
  <si>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</si>
  <si>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</si>
  <si>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</si>
  <si>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</si>
  <si>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</si>
  <si>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</si>
  <si>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</si>
  <si>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</si>
  <si>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</si>
  <si>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</si>
  <si>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</si>
  <si>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</si>
  <si>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</si>
  <si>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</si>
  <si>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</si>
  <si>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</si>
  <si>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</si>
  <si>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</si>
  <si>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</si>
  <si>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</si>
  <si>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</si>
  <si>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</si>
  <si>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</si>
  <si>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</si>
  <si>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</si>
  <si>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</si>
  <si>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</si>
  <si>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</si>
  <si>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</si>
  <si>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</si>
  <si>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</si>
  <si>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</si>
  <si>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</si>
  <si>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</si>
  <si>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</si>
  <si>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</si>
  <si>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</si>
  <si>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</si>
  <si>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</si>
  <si>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</si>
  <si>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</si>
  <si>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</si>
  <si>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</si>
  <si>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</si>
  <si>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</si>
  <si>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</si>
  <si>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</si>
  <si>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</si>
  <si>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</si>
  <si>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</si>
  <si>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</si>
  <si>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</si>
  <si>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</si>
  <si>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</si>
  <si>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</si>
  <si>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</si>
  <si>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</si>
  <si>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</si>
  <si>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</si>
  <si>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</si>
  <si>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</si>
  <si>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</si>
  <si>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</si>
  <si>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</si>
  <si>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</si>
  <si>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</si>
  <si>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</si>
  <si>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</si>
  <si>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</si>
  <si>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</si>
  <si>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</si>
  <si>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</si>
  <si>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</si>
  <si>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</si>
  <si>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</si>
  <si>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</si>
  <si>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</si>
  <si>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</si>
  <si>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</si>
  <si>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</si>
  <si>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</si>
  <si>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</si>
  <si>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</si>
  <si>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</si>
  <si>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</si>
  <si>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</si>
  <si>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</si>
  <si>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</si>
  <si>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</si>
  <si>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</si>
  <si>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</si>
  <si>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</si>
  <si>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</si>
  <si>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</si>
  <si>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</si>
  <si>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</si>
  <si>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</si>
  <si>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</si>
  <si>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</si>
  <si>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</si>
  <si>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</si>
  <si>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</si>
  <si>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</si>
  <si>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</si>
  <si>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</si>
  <si>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</si>
  <si>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</si>
  <si>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</si>
  <si>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</si>
  <si>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</si>
  <si>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</si>
  <si>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</si>
  <si>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</si>
  <si>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</si>
  <si>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</si>
  <si>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</si>
  <si>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</si>
  <si>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</si>
  <si>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</si>
  <si>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</si>
  <si>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</si>
  <si>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</si>
  <si>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</si>
  <si>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</si>
  <si>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</si>
  <si>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</si>
  <si>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</si>
  <si>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</si>
  <si>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</si>
  <si>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</si>
  <si>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</si>
  <si>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</si>
  <si>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</si>
  <si>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</si>
  <si>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</si>
  <si>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</si>
  <si>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</si>
  <si>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</si>
  <si>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</si>
  <si>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</si>
  <si>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</si>
  <si>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</si>
  <si>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</si>
  <si>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</si>
  <si>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</si>
  <si>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</si>
  <si>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</si>
  <si>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</si>
  <si>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</si>
  <si>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</si>
  <si>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</si>
  <si>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</si>
  <si>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</si>
  <si>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</si>
  <si>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</si>
  <si>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</si>
  <si>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</si>
  <si>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</si>
  <si>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</si>
  <si>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</si>
  <si>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</si>
  <si>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</si>
  <si>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</si>
  <si>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</si>
  <si>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</si>
  <si>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</si>
  <si>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</si>
  <si>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</si>
  <si>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</si>
  <si>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</si>
  <si>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</si>
  <si>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</si>
  <si>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</si>
  <si>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</si>
  <si>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</si>
  <si>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</si>
  <si>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</si>
  <si>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</si>
  <si>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</si>
  <si>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</si>
  <si>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</si>
  <si>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</si>
  <si>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</si>
  <si>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</si>
  <si>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</si>
  <si>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</si>
  <si>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</si>
  <si>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</si>
  <si>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</si>
  <si>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</si>
  <si>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</si>
  <si>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</si>
  <si>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</si>
  <si>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</si>
  <si>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</si>
  <si>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</si>
  <si>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</si>
  <si>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</si>
  <si>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</si>
  <si>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</si>
  <si>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</si>
  <si>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</si>
  <si>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</si>
  <si>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</si>
  <si>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</si>
  <si>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</si>
  <si>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</si>
  <si>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</si>
  <si>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</si>
  <si>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</si>
  <si>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</si>
  <si>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</si>
  <si>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</si>
  <si>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</si>
  <si>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</si>
  <si>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</si>
  <si>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</si>
  <si>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</si>
  <si>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</si>
  <si>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</si>
  <si>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</si>
  <si>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</si>
  <si>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</si>
  <si>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</si>
  <si>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</si>
  <si>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</si>
  <si>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</si>
  <si>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</si>
  <si>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</si>
  <si>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</si>
  <si>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</si>
  <si>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</si>
  <si>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</si>
  <si>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</si>
  <si>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</si>
  <si>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</si>
  <si>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</si>
  <si>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</si>
  <si>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</si>
  <si>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</si>
  <si>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</si>
  <si>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</si>
  <si>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</si>
  <si>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</si>
  <si>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</si>
  <si>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</si>
  <si>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</si>
  <si>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</si>
  <si>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</si>
  <si>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</si>
  <si>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</si>
  <si>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</si>
  <si>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</si>
  <si>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</si>
  <si>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</si>
  <si>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</si>
  <si>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</si>
  <si>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</si>
  <si>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</si>
  <si>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</si>
  <si>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</si>
  <si>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</si>
  <si>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</si>
  <si>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</si>
  <si>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</si>
  <si>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</si>
  <si>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</si>
  <si>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</si>
  <si>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</si>
  <si>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</si>
  <si>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</si>
  <si>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</si>
  <si>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</si>
  <si>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</si>
  <si>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</si>
  <si>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</si>
  <si>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</si>
  <si>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</si>
  <si>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</si>
  <si>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</si>
  <si>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</si>
  <si>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</si>
  <si>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</si>
  <si>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</si>
  <si>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</si>
  <si>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</si>
  <si>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</si>
  <si>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</si>
  <si>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</si>
  <si>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</si>
  <si>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</si>
  <si>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</si>
  <si>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</si>
  <si>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</si>
  <si>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</si>
  <si>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</si>
  <si>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</si>
  <si>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</si>
  <si>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</si>
  <si>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</si>
  <si>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</si>
  <si>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</si>
  <si>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</si>
  <si>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</si>
  <si>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</si>
  <si>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</si>
  <si>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</si>
  <si>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</si>
  <si>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</si>
  <si>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</si>
  <si>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</si>
  <si>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</si>
  <si>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</si>
  <si>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</si>
  <si>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</si>
  <si>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</si>
  <si>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</si>
  <si>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</si>
  <si>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</si>
  <si>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</si>
  <si>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</si>
  <si>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</si>
  <si>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</si>
  <si>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</si>
  <si>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</si>
  <si>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</si>
  <si>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</si>
  <si>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</si>
  <si>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</si>
  <si>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</si>
  <si>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</si>
  <si>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</si>
  <si>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</si>
  <si>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</si>
  <si>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</si>
  <si>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</si>
  <si>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</si>
  <si>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</si>
  <si>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</si>
  <si>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</si>
  <si>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</si>
  <si>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</si>
  <si>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</si>
  <si>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</si>
  <si>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</si>
  <si>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</si>
  <si>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</si>
  <si>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</si>
  <si>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</si>
  <si>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</si>
  <si>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</si>
  <si>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</si>
  <si>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</si>
  <si>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</si>
  <si>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</si>
  <si>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</si>
  <si>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</si>
  <si>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</si>
  <si>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</si>
  <si>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</si>
  <si>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</si>
  <si>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</si>
  <si>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</si>
  <si>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</si>
  <si>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</si>
  <si>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</si>
  <si>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</si>
  <si>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</si>
  <si>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</si>
  <si>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</si>
  <si>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</si>
  <si>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</si>
  <si>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</si>
  <si>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</si>
  <si>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</si>
  <si>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</si>
  <si>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</si>
  <si>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</si>
  <si>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</si>
  <si>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</si>
  <si>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</si>
  <si>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</si>
  <si>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</si>
  <si>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</si>
  <si>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</si>
  <si>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</si>
  <si>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</si>
  <si>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</si>
  <si>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</si>
  <si>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</si>
  <si>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</si>
  <si>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</si>
  <si>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</si>
  <si>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</si>
  <si>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</si>
  <si>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</si>
  <si>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</si>
  <si>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</si>
  <si>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</si>
  <si>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</si>
  <si>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</si>
  <si>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</si>
  <si>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</si>
  <si>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</si>
  <si>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</si>
  <si>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</si>
  <si>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</si>
  <si>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</si>
  <si>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</si>
  <si>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</si>
  <si>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</si>
  <si>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</si>
  <si>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</si>
  <si>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</si>
  <si>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</si>
  <si>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</si>
  <si>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</si>
  <si>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</si>
  <si>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</si>
  <si>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</si>
  <si>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</si>
  <si>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</si>
  <si>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</si>
  <si>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</si>
  <si>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</si>
  <si>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</si>
  <si>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</si>
  <si>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</si>
  <si>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</si>
  <si>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</si>
  <si>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</si>
  <si>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</si>
  <si>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</si>
  <si>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</si>
  <si>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</si>
  <si>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</si>
  <si>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</si>
  <si>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</si>
  <si>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</si>
  <si>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</si>
  <si>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</si>
  <si>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</si>
  <si>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</si>
  <si>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</si>
  <si>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</si>
  <si>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</si>
  <si>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</si>
  <si>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</si>
  <si>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</si>
  <si>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</si>
  <si>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</si>
  <si>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</si>
  <si>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</si>
  <si>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</si>
  <si>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</si>
  <si>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</si>
  <si>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</si>
  <si>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</si>
  <si>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</si>
  <si>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</si>
  <si>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</si>
  <si>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</si>
  <si>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</si>
  <si>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</si>
  <si>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</si>
  <si>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</si>
  <si>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</si>
  <si>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</si>
  <si>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</si>
  <si>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</si>
  <si>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</si>
  <si>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</si>
  <si>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</si>
  <si>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</si>
  <si>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</si>
  <si>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</si>
  <si>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</si>
  <si>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</si>
  <si>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</si>
  <si>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</si>
  <si>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</si>
  <si>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</si>
  <si>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</si>
  <si>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</si>
  <si>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</si>
  <si>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</si>
  <si>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</si>
  <si>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</si>
  <si>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</si>
  <si>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</si>
  <si>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</si>
  <si>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</si>
  <si>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</si>
  <si>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</si>
  <si>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</si>
  <si>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</si>
  <si>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</si>
  <si>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</si>
  <si>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</si>
  <si>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</si>
  <si>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</si>
  <si>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</si>
  <si>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</si>
  <si>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</si>
  <si>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</si>
  <si>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</si>
  <si>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</si>
  <si>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</si>
  <si>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</si>
  <si>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</si>
  <si>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</si>
  <si>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</si>
  <si>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</si>
  <si>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</si>
  <si>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</si>
  <si>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</si>
  <si>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</si>
  <si>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</si>
  <si>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</si>
  <si>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</si>
  <si>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</si>
  <si>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</si>
  <si>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</si>
  <si>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</si>
  <si>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</si>
  <si>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</si>
  <si>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</si>
  <si>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</si>
  <si>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</si>
  <si>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</si>
  <si>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</si>
  <si>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</si>
  <si>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</si>
  <si>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</si>
  <si>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</si>
  <si>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</si>
  <si>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</si>
  <si>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</si>
  <si>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</si>
  <si>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</si>
  <si>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</si>
  <si>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</si>
  <si>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</si>
  <si>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</si>
  <si>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</si>
  <si>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</si>
  <si>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</si>
  <si>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</si>
  <si>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</si>
  <si>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</si>
  <si>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</si>
  <si>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</si>
  <si>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</si>
  <si>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</si>
  <si>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</si>
  <si>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</si>
  <si>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</si>
  <si>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</si>
  <si>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</si>
  <si>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</si>
  <si>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</si>
  <si>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</si>
  <si>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</si>
  <si>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</si>
  <si>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</si>
  <si>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</si>
  <si>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</si>
  <si>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</si>
  <si>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</si>
  <si>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</si>
  <si>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</si>
  <si>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</si>
  <si>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</si>
  <si>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</si>
  <si>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</si>
  <si>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</si>
  <si>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</si>
  <si>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</si>
  <si>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</si>
  <si>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</si>
  <si>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</si>
  <si>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</si>
  <si>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</si>
  <si>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</si>
  <si>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</si>
  <si>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</si>
  <si>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</si>
  <si>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</si>
  <si>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</si>
  <si>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</si>
  <si>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</si>
  <si>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</si>
  <si>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</si>
  <si>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</si>
  <si>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</si>
  <si>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</si>
  <si>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</si>
  <si>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</si>
  <si>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</si>
  <si>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</si>
  <si>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</si>
  <si>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</si>
  <si>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</si>
  <si>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</si>
  <si>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</si>
  <si>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</si>
  <si>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</si>
  <si>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</si>
  <si>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</si>
  <si>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</si>
  <si>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</si>
  <si>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</si>
  <si>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</si>
  <si>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</si>
  <si>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</si>
  <si>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</si>
  <si>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</si>
  <si>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</si>
  <si>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</si>
  <si>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</si>
  <si>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</si>
  <si>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</si>
  <si>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</si>
  <si>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</si>
  <si>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</si>
  <si>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</si>
  <si>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</si>
  <si>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</si>
  <si>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</si>
  <si>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</si>
  <si>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</si>
  <si>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</si>
  <si>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</si>
  <si>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</si>
  <si>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</si>
  <si>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</si>
  <si>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</si>
  <si>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</si>
  <si>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</si>
  <si>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</si>
  <si>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</si>
  <si>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</si>
  <si>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</si>
  <si>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</si>
  <si>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</si>
  <si>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</si>
  <si>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</si>
  <si>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</si>
  <si>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</si>
  <si>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</si>
  <si>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</si>
  <si>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</si>
  <si>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</si>
  <si>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</si>
  <si>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</si>
  <si>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</si>
  <si>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</si>
  <si>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</si>
  <si>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</si>
  <si>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</si>
  <si>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</si>
  <si>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</si>
  <si>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</si>
  <si>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</si>
  <si>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</si>
  <si>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</si>
  <si>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</si>
  <si>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</si>
  <si>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</si>
  <si>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</si>
  <si>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</si>
  <si>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</si>
  <si>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</si>
  <si>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</si>
  <si>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</si>
  <si>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</si>
  <si>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</si>
  <si>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</si>
  <si>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</si>
  <si>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</si>
  <si>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</si>
  <si>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</si>
  <si>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</si>
  <si>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</si>
  <si>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</si>
  <si>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</si>
  <si>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</si>
  <si>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</si>
  <si>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</si>
  <si>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</si>
  <si>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</si>
  <si>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</si>
  <si>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</si>
  <si>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</si>
  <si>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</si>
  <si>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</si>
  <si>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</si>
  <si>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</si>
  <si>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</si>
  <si>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</si>
  <si>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</si>
  <si>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</si>
  <si>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</si>
  <si>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</si>
  <si>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</si>
  <si>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</si>
  <si>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</si>
  <si>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</si>
  <si>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</si>
  <si>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</si>
  <si>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</si>
  <si>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</si>
  <si>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</si>
  <si>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</si>
  <si>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</si>
  <si>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</si>
  <si>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</si>
  <si>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</si>
  <si>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</si>
  <si>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</si>
  <si>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</si>
  <si>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</si>
  <si>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</si>
  <si>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</si>
  <si>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</si>
  <si>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</si>
  <si>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</si>
  <si>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</si>
  <si>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</si>
  <si>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</si>
  <si>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</si>
  <si>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</si>
  <si>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</si>
  <si>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</si>
  <si>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</si>
  <si>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</si>
  <si>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</si>
  <si>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</si>
  <si>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</si>
  <si>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</si>
  <si>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</si>
  <si>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</si>
  <si>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</si>
  <si>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</si>
  <si>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</si>
  <si>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</si>
  <si>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</si>
  <si>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</si>
  <si>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</si>
  <si>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</si>
  <si>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</si>
  <si>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</si>
  <si>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</si>
  <si>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</si>
  <si>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</si>
  <si>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</si>
  <si>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</si>
  <si>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</si>
  <si>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</si>
  <si>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</si>
  <si>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</si>
  <si>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</si>
  <si>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</si>
  <si>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</si>
  <si>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</si>
  <si>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</si>
  <si>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</si>
  <si>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</si>
  <si>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</si>
  <si>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</si>
  <si>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</si>
  <si>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</si>
  <si>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</si>
  <si>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</si>
  <si>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</si>
  <si>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</si>
  <si>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</si>
  <si>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</si>
  <si>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</si>
  <si>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</si>
  <si>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</si>
  <si>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</si>
  <si>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</si>
  <si>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</si>
  <si>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</si>
  <si>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</si>
  <si>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</si>
  <si>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</si>
  <si>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</si>
  <si>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</si>
  <si>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</si>
  <si>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</si>
  <si>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</si>
  <si>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</si>
  <si>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</si>
  <si>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</si>
  <si>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</si>
  <si>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</si>
  <si>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</si>
  <si>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</si>
  <si>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</si>
  <si>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</si>
  <si>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</si>
  <si>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</si>
  <si>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</si>
  <si>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</si>
  <si>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</si>
  <si>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</si>
  <si>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</si>
  <si>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</si>
  <si>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</si>
  <si>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</si>
  <si>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</si>
  <si>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</si>
  <si>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</si>
  <si>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</si>
  <si>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</si>
  <si>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</si>
  <si>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</si>
  <si>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</si>
  <si>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</si>
  <si>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</si>
  <si>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</si>
  <si>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</si>
  <si>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</si>
  <si>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</si>
  <si>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</si>
  <si>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</si>
  <si>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</si>
  <si>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</si>
  <si>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</si>
  <si>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</si>
  <si>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</si>
  <si>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</si>
  <si>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</si>
  <si>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</si>
  <si>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</si>
  <si>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</si>
  <si>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</si>
  <si>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</si>
  <si>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</si>
  <si>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</si>
  <si>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</si>
  <si>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</si>
  <si>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</si>
  <si>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</si>
  <si>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</si>
  <si>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</si>
  <si>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</si>
  <si>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</si>
  <si>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</si>
  <si>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</si>
  <si>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</si>
  <si>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</si>
  <si>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</si>
  <si>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</si>
  <si>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</si>
  <si>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</si>
  <si>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</si>
  <si>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</si>
  <si>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</si>
  <si>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</si>
  <si>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</si>
  <si>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</si>
  <si>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</si>
  <si>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</si>
  <si>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</si>
  <si>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</si>
  <si>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</si>
  <si>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</si>
  <si>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</si>
  <si>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</si>
  <si>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</si>
  <si>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</si>
  <si>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</si>
  <si>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</si>
  <si>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</si>
  <si>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</si>
  <si>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</si>
  <si>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</si>
  <si>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</si>
  <si>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</si>
  <si>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</si>
  <si>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</si>
  <si>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</si>
  <si>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</si>
  <si>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</si>
  <si>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</si>
  <si>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</si>
  <si>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</si>
  <si>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</si>
  <si>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</si>
  <si>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</si>
  <si>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</si>
  <si>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</si>
  <si>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</si>
  <si>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</si>
  <si>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</si>
  <si>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</si>
  <si>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</si>
  <si>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</si>
  <si>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</si>
  <si>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</si>
  <si>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</si>
  <si>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</si>
  <si>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</si>
  <si>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</si>
  <si>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</si>
  <si>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</si>
  <si>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</si>
  <si>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</si>
  <si>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</si>
  <si>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</si>
  <si>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</si>
  <si>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</si>
  <si>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</si>
  <si>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</si>
  <si>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</si>
  <si>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</si>
  <si>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</si>
  <si>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</si>
  <si>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</si>
  <si>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</si>
  <si>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</si>
  <si>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</si>
  <si>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</si>
  <si>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</si>
  <si>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</si>
  <si>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</si>
  <si>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</si>
  <si>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</si>
  <si>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</si>
  <si>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</si>
  <si>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</si>
  <si>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</si>
  <si>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</si>
  <si>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</si>
  <si>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</si>
  <si>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</si>
  <si>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</si>
  <si>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</si>
  <si>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</si>
  <si>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</si>
  <si>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</si>
  <si>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</si>
  <si>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</si>
  <si>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</si>
  <si>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</si>
  <si>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</si>
  <si>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</si>
  <si>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</si>
  <si>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</si>
  <si>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</si>
  <si>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</si>
  <si>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</si>
  <si>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</si>
  <si>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</si>
  <si>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</si>
  <si>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</si>
  <si>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</si>
  <si>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</si>
  <si>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</si>
  <si>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</si>
  <si>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</si>
  <si>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</si>
  <si>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</si>
  <si>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</si>
  <si>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</si>
  <si>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</si>
  <si>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</si>
  <si>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</si>
  <si>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</si>
  <si>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</si>
  <si>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</si>
  <si>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</si>
  <si>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</si>
  <si>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</si>
  <si>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</si>
  <si>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</si>
  <si>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</si>
  <si>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</si>
  <si>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</si>
  <si>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</si>
  <si>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</si>
  <si>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</si>
  <si>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</si>
  <si>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</si>
  <si>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</si>
  <si>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</si>
  <si>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</si>
  <si>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</si>
  <si>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</si>
  <si>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</si>
  <si>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</si>
  <si>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</si>
  <si>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</si>
  <si>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</si>
  <si>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</si>
  <si>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</si>
  <si>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</si>
  <si>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</si>
  <si>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</si>
  <si>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</si>
  <si>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</si>
  <si>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</si>
  <si>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</si>
  <si>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</si>
  <si>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</si>
  <si>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</si>
  <si>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</si>
  <si>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</si>
  <si>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</si>
  <si>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</si>
  <si>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</si>
  <si>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</si>
  <si>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</si>
  <si>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</si>
  <si>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</si>
  <si>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</si>
  <si>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</si>
  <si>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</si>
  <si>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</si>
  <si>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</si>
  <si>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</si>
  <si>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</si>
  <si>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</si>
  <si>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</si>
  <si>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</si>
  <si>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</si>
  <si>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</si>
  <si>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</si>
  <si>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</si>
  <si>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</si>
  <si>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</si>
  <si>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</si>
  <si>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</si>
  <si>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</si>
  <si>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</si>
  <si>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</si>
  <si>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</si>
  <si>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</si>
  <si>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</si>
  <si>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</si>
  <si>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</si>
  <si>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</si>
  <si>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</si>
  <si>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</si>
  <si>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</si>
  <si>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</si>
  <si>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</si>
  <si>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</si>
  <si>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</si>
  <si>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</si>
  <si>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</si>
  <si>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</si>
  <si>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</si>
  <si>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</si>
  <si>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</si>
  <si>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</si>
  <si>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</si>
  <si>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</si>
  <si>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</si>
  <si>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</si>
  <si>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</si>
  <si>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</si>
  <si>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</si>
  <si>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</si>
  <si>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</si>
  <si>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</si>
  <si>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</si>
  <si>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</si>
  <si>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</si>
  <si>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</si>
  <si>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</si>
  <si>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</si>
  <si>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</si>
  <si>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</si>
  <si>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</si>
  <si>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</si>
  <si>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</si>
  <si>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</si>
  <si>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</si>
  <si>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</si>
  <si>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</si>
  <si>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</si>
  <si>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</si>
  <si>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</si>
  <si>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</si>
  <si>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</si>
  <si>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</si>
  <si>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</si>
  <si>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</si>
  <si>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</si>
  <si>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</si>
  <si>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</si>
  <si>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</si>
  <si>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</si>
  <si>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</si>
  <si>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</si>
  <si>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</si>
  <si>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</si>
  <si>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</si>
  <si>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</si>
  <si>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</si>
  <si>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</si>
  <si>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</si>
  <si>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</si>
  <si>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</si>
  <si>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</si>
  <si>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</si>
  <si>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</si>
  <si>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</si>
  <si>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</si>
  <si>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</si>
  <si>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</si>
  <si>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</si>
  <si>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</si>
  <si>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</si>
  <si>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</si>
  <si>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</si>
  <si>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</si>
  <si>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</si>
  <si>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</si>
  <si>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</si>
  <si>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</si>
  <si>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</si>
  <si>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</si>
  <si>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</si>
  <si>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</si>
  <si>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</si>
  <si>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</si>
  <si>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</si>
  <si>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</si>
  <si>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</si>
  <si>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</si>
  <si>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</si>
  <si>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</si>
  <si>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</si>
  <si>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</si>
  <si>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</si>
  <si>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</si>
  <si>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</si>
  <si>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</si>
  <si>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</si>
  <si>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</si>
  <si>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</si>
  <si>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</si>
  <si>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</si>
  <si>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</si>
  <si>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</si>
  <si>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</si>
  <si>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</si>
  <si>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</si>
  <si>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</si>
  <si>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</si>
  <si>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</si>
  <si>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</si>
  <si>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</si>
  <si>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</si>
  <si>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</si>
  <si>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</si>
  <si>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</si>
  <si>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</si>
  <si>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</si>
  <si>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</si>
  <si>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</si>
  <si>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</si>
  <si>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</si>
  <si>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</si>
  <si>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</si>
  <si>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</si>
  <si>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</si>
  <si>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</si>
  <si>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</si>
  <si>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</si>
  <si>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</si>
  <si>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</si>
  <si>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</si>
  <si>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</si>
  <si>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</si>
  <si>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</si>
  <si>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</si>
  <si>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</si>
  <si>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</si>
  <si>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</si>
  <si>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</si>
  <si>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</si>
  <si>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</si>
  <si>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</si>
  <si>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</si>
  <si>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</si>
  <si>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</si>
  <si>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</si>
  <si>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</si>
  <si>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</si>
  <si>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</si>
  <si>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</si>
  <si>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</si>
  <si>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</si>
  <si>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</si>
  <si>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</si>
  <si>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</si>
  <si>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</si>
  <si>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</si>
  <si>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</si>
  <si>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</si>
  <si>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</si>
  <si>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</si>
  <si>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</si>
  <si>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</si>
  <si>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</si>
  <si>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</si>
  <si>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</si>
  <si>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</si>
  <si>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</si>
  <si>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</si>
  <si>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</si>
  <si>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</si>
  <si>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</si>
  <si>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</si>
  <si>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</si>
  <si>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</si>
  <si>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</si>
  <si>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</si>
  <si>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</si>
  <si>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</si>
  <si>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</si>
  <si>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</si>
  <si>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</si>
  <si>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</si>
  <si>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</si>
  <si>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</si>
  <si>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</si>
  <si>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</si>
  <si>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</si>
  <si>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</si>
  <si>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</si>
  <si>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</si>
  <si>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</si>
  <si>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</si>
  <si>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</si>
  <si>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</si>
  <si>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</si>
  <si>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</si>
  <si>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</si>
  <si>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</si>
  <si>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</si>
  <si>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</si>
  <si>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</si>
  <si>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</si>
  <si>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</si>
  <si>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</si>
  <si>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</si>
  <si>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</si>
  <si>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</si>
  <si>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</si>
  <si>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</si>
  <si>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</si>
  <si>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</si>
  <si>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</si>
  <si>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</si>
  <si>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</si>
  <si>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</si>
  <si>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</si>
  <si>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</si>
  <si>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</si>
  <si>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</si>
  <si>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</si>
  <si>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</si>
  <si>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</si>
  <si>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</si>
  <si>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</si>
  <si>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</si>
  <si>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</si>
  <si>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</si>
  <si>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</si>
  <si>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</si>
  <si>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</si>
  <si>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</si>
  <si>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</si>
  <si>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</si>
  <si>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</si>
  <si>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</si>
  <si>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</si>
  <si>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</si>
  <si>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</si>
  <si>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</si>
  <si>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</si>
  <si>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</si>
  <si>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</si>
  <si>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</si>
  <si>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</si>
  <si>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</si>
  <si>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</si>
  <si>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</si>
  <si>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</si>
  <si>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</si>
  <si>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</si>
  <si>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</si>
  <si>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</si>
  <si>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</si>
  <si>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</si>
  <si>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</si>
  <si>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</si>
  <si>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</si>
  <si>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</si>
  <si>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</si>
  <si>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</si>
  <si>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</si>
  <si>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</si>
  <si>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</si>
  <si>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</si>
  <si>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</si>
  <si>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</si>
  <si>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</si>
  <si>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</si>
  <si>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</si>
  <si>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</si>
  <si>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</si>
  <si>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</si>
  <si>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</si>
  <si>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</si>
  <si>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</si>
  <si>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</si>
  <si>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</si>
  <si>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</si>
  <si>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</si>
  <si>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</si>
  <si>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</si>
  <si>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</si>
  <si>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</si>
  <si>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</si>
  <si>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</si>
  <si>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</si>
  <si>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</si>
  <si>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</si>
  <si>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</si>
  <si>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</si>
  <si>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</si>
  <si>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</si>
  <si>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</si>
  <si>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</si>
  <si>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</si>
  <si>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</si>
  <si>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</si>
  <si>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</si>
  <si>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</si>
  <si>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</si>
  <si>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</si>
  <si>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</si>
  <si>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</si>
  <si>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</si>
  <si>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</si>
  <si>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</si>
  <si>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</si>
  <si>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</si>
  <si>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</si>
  <si>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</si>
  <si>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</si>
  <si>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</si>
  <si>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</si>
  <si>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</si>
  <si>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</si>
  <si>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</si>
  <si>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</si>
  <si>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</si>
  <si>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</si>
  <si>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</si>
  <si>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</si>
  <si>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</si>
  <si>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</si>
  <si>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</si>
  <si>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</si>
  <si>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</si>
  <si>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</si>
  <si>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</si>
  <si>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</si>
  <si>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</si>
  <si>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</si>
  <si>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</si>
  <si>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</si>
  <si>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</si>
  <si>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</si>
  <si>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</si>
  <si>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</si>
  <si>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</si>
  <si>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</si>
  <si>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</si>
  <si>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</si>
  <si>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</si>
  <si>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</si>
  <si>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</si>
  <si>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</si>
  <si>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</si>
  <si>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</si>
  <si>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</si>
  <si>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</si>
  <si>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</si>
  <si>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</si>
  <si>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</si>
  <si>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</si>
  <si>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</si>
  <si>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</si>
  <si>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</si>
  <si>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</si>
  <si>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</si>
  <si>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</si>
  <si>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</si>
  <si>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</si>
  <si>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</si>
  <si>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</si>
  <si>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</si>
  <si>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</si>
  <si>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</si>
  <si>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</si>
  <si>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</si>
  <si>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</si>
  <si>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</si>
  <si>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</si>
  <si>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</si>
  <si>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</si>
  <si>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</si>
  <si>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</si>
  <si>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</si>
  <si>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</si>
  <si>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</si>
  <si>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</si>
  <si>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</si>
  <si>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</si>
  <si>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</si>
  <si>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</si>
  <si>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</si>
  <si>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</si>
  <si>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</si>
  <si>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</si>
  <si>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</si>
  <si>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</si>
  <si>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</si>
  <si>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</si>
  <si>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</si>
  <si>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</si>
  <si>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</si>
  <si>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</si>
  <si>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</si>
  <si>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</si>
  <si>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</si>
  <si>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</si>
  <si>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</si>
  <si>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</si>
  <si>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</si>
  <si>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</si>
  <si>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</si>
  <si>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</si>
  <si>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</si>
  <si>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</si>
  <si>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</si>
  <si>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</si>
  <si>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</si>
  <si>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</si>
  <si>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</si>
  <si>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</si>
  <si>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</si>
  <si>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</si>
  <si>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</si>
  <si>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</si>
  <si>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</si>
  <si>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</si>
  <si>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</si>
  <si>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</si>
  <si>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</si>
  <si>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</si>
  <si>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</si>
  <si>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</si>
  <si>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</si>
  <si>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</si>
  <si>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</si>
  <si>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</si>
  <si>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</si>
  <si>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</si>
  <si>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</si>
  <si>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</si>
  <si>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</si>
  <si>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</si>
  <si>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</si>
  <si>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</si>
  <si>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</si>
  <si>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</si>
  <si>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</si>
  <si>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</si>
  <si>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</si>
  <si>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</si>
  <si>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</si>
  <si>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</si>
  <si>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</si>
  <si>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</si>
  <si>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</si>
  <si>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</si>
  <si>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</si>
  <si>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</si>
  <si>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</si>
  <si>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</si>
  <si>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</si>
  <si>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</si>
  <si>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</si>
  <si>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</si>
  <si>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</si>
  <si>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</si>
  <si>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</si>
  <si>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</si>
  <si>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</si>
  <si>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</si>
  <si>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</si>
  <si>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</si>
  <si>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</si>
  <si>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</si>
  <si>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</si>
  <si>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</si>
  <si>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</si>
  <si>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</si>
  <si>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</si>
  <si>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</si>
  <si>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</si>
  <si>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</si>
  <si>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</si>
  <si>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</si>
  <si>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</si>
  <si>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</si>
  <si>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</si>
  <si>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</si>
  <si>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</si>
  <si>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</si>
  <si>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</si>
  <si>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</si>
  <si>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</si>
  <si>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</si>
  <si>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</si>
  <si>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</si>
  <si>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</si>
  <si>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</si>
  <si>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</si>
  <si>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</si>
  <si>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</si>
  <si>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</si>
  <si>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</si>
  <si>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</si>
  <si>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</si>
  <si>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</si>
  <si>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</si>
  <si>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</si>
  <si>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</si>
  <si>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</si>
  <si>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</si>
  <si>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</si>
  <si>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</si>
  <si>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</si>
  <si>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</si>
  <si>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</si>
  <si>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</si>
  <si>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</si>
  <si>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</si>
  <si>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</si>
  <si>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</si>
  <si>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</si>
  <si>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</si>
  <si>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</si>
  <si>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</si>
  <si>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</si>
  <si>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</si>
  <si>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</si>
  <si>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</si>
  <si>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</si>
  <si>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</si>
  <si>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</si>
  <si>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</si>
  <si>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</si>
  <si>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</si>
  <si>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</si>
  <si>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</si>
  <si>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</si>
  <si>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</si>
  <si>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</si>
  <si>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</si>
  <si>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</si>
  <si>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</si>
  <si>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</si>
  <si>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</si>
  <si>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</si>
  <si>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</si>
  <si>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</si>
  <si>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</si>
  <si>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</si>
  <si>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</si>
  <si>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</si>
  <si>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</si>
  <si>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</si>
  <si>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</si>
  <si>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</si>
  <si>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</si>
  <si>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</si>
  <si>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</si>
  <si>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</si>
  <si>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</si>
  <si>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</si>
  <si>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</si>
  <si>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</si>
  <si>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</si>
  <si>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</si>
  <si>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</si>
  <si>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</si>
  <si>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</si>
  <si>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</si>
  <si>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</si>
  <si>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</si>
  <si>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</si>
  <si>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</si>
  <si>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</si>
  <si>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</si>
  <si>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</si>
  <si>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</si>
  <si>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</si>
  <si>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</si>
  <si>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</si>
  <si>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</si>
  <si>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</si>
  <si>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</si>
  <si>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</si>
  <si>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</si>
  <si>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</si>
  <si>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</si>
  <si>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</si>
  <si>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</si>
  <si>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</si>
  <si>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</si>
  <si>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</si>
  <si>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</si>
  <si>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</si>
  <si>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</si>
  <si>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</si>
  <si>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</si>
  <si>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</si>
  <si>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</si>
  <si>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</si>
  <si>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</si>
  <si>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</si>
  <si>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</si>
  <si>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</si>
  <si>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</si>
  <si>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</si>
  <si>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</si>
  <si>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</si>
  <si>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</si>
  <si>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</si>
  <si>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</si>
  <si>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</si>
  <si>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</si>
  <si>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</si>
  <si>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</si>
  <si>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</si>
  <si>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</si>
  <si>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</si>
  <si>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</si>
  <si>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</si>
  <si>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</si>
  <si>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</si>
  <si>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</si>
  <si>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</si>
  <si>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</si>
  <si>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</si>
  <si>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</si>
  <si>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</si>
  <si>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</si>
  <si>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</si>
  <si>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</si>
  <si>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</si>
  <si>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</si>
  <si>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</si>
  <si>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</si>
  <si>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</si>
  <si>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</si>
  <si>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</si>
  <si>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</si>
  <si>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</si>
  <si>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</si>
  <si>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</si>
  <si>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</si>
  <si>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</si>
  <si>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</si>
  <si>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</si>
  <si>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</si>
  <si>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</si>
  <si>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</si>
  <si>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</si>
  <si>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</si>
  <si>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</si>
  <si>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</si>
  <si>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</si>
  <si>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</si>
  <si>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</si>
  <si>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</si>
  <si>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</si>
  <si>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</si>
  <si>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</si>
  <si>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</si>
  <si>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</si>
  <si>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</si>
  <si>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</si>
  <si>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</si>
  <si>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</si>
  <si>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</si>
  <si>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</si>
  <si>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</si>
  <si>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</si>
  <si>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</si>
  <si>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</si>
  <si>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</si>
  <si>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</si>
  <si>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</si>
  <si>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</si>
  <si>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</si>
  <si>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</si>
  <si>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</si>
  <si>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</si>
  <si>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</si>
  <si>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</si>
  <si>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</si>
  <si>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</si>
  <si>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</si>
  <si>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</si>
  <si>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</si>
  <si>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</si>
  <si>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</si>
  <si>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</si>
  <si>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</si>
  <si>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</si>
  <si>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</si>
  <si>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</si>
  <si>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</si>
  <si>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</si>
  <si>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</si>
  <si>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</si>
  <si>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</si>
  <si>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</si>
  <si>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</si>
  <si>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</si>
  <si>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</si>
  <si>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</si>
  <si>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</si>
  <si>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</si>
  <si>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</si>
  <si>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</si>
  <si>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</si>
  <si>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</si>
  <si>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</si>
  <si>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</si>
  <si>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</si>
  <si>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</si>
  <si>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</si>
  <si>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</si>
  <si>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</si>
  <si>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</si>
  <si>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</si>
  <si>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</si>
  <si>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</si>
  <si>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</si>
  <si>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</si>
  <si>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</si>
  <si>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</si>
  <si>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</si>
  <si>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</si>
  <si>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</si>
  <si>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</si>
  <si>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</si>
  <si>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</si>
  <si>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</si>
  <si>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</si>
  <si>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</si>
  <si>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</si>
  <si>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</si>
  <si>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</si>
  <si>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</si>
  <si>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</si>
  <si>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</si>
  <si>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</si>
  <si>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</si>
  <si>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</si>
  <si>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</si>
  <si>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</si>
  <si>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</si>
  <si>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</si>
  <si>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</si>
  <si>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</si>
  <si>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</si>
  <si>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</si>
  <si>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</si>
  <si>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</si>
  <si>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</si>
  <si>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</si>
  <si>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</si>
  <si>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</si>
  <si>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</si>
  <si>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</si>
  <si>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</si>
  <si>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</si>
  <si>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</si>
  <si>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</si>
  <si>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</si>
  <si>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</si>
  <si>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</si>
  <si>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</si>
  <si>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</si>
  <si>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</si>
  <si>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</si>
  <si>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</si>
  <si>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</si>
  <si>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</si>
  <si>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</si>
  <si>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</si>
  <si>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</si>
  <si>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</si>
  <si>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</si>
  <si>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</si>
  <si>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</si>
  <si>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</si>
  <si>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</si>
  <si>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</si>
  <si>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</si>
  <si>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</si>
  <si>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</si>
  <si>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</si>
  <si>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</si>
  <si>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</si>
  <si>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</si>
  <si>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</si>
  <si>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</si>
  <si>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</si>
  <si>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</si>
  <si>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</si>
  <si>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</si>
  <si>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</si>
  <si>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</si>
  <si>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</si>
  <si>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</si>
  <si>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</si>
  <si>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</si>
  <si>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</si>
  <si>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</si>
  <si>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</si>
  <si>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</si>
  <si>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</si>
  <si>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</si>
  <si>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</si>
  <si>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</si>
  <si>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</si>
  <si>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</si>
  <si>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</si>
  <si>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</si>
  <si>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</si>
  <si>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</si>
  <si>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</si>
  <si>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</si>
  <si>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</si>
  <si>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</si>
  <si>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</si>
  <si>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</si>
  <si>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</si>
  <si>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</si>
  <si>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</si>
  <si>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</si>
  <si>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</si>
  <si>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</si>
  <si>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</si>
  <si>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</si>
  <si>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</si>
  <si>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</si>
  <si>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</si>
  <si>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</si>
  <si>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</si>
  <si>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</si>
  <si>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</si>
  <si>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</si>
  <si>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</si>
  <si>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</si>
  <si>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</si>
  <si>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</si>
  <si>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</si>
  <si>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</si>
  <si>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</si>
  <si>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</si>
  <si>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</si>
  <si>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</si>
  <si>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</si>
  <si>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</si>
  <si>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</si>
  <si>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</si>
  <si>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</si>
  <si>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</si>
  <si>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</si>
  <si>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</si>
  <si>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</si>
  <si>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</si>
  <si>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</si>
  <si>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</si>
  <si>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</si>
  <si>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</si>
  <si>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</si>
  <si>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</si>
  <si>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</si>
  <si>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</si>
  <si>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</si>
  <si>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</si>
  <si>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</si>
  <si>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</si>
  <si>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</si>
  <si>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</si>
  <si>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</si>
  <si>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</si>
  <si>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</si>
  <si>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</si>
  <si>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</si>
  <si>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</si>
  <si>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</si>
  <si>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</si>
  <si>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</si>
  <si>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</si>
  <si>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</si>
  <si>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</si>
  <si>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</si>
  <si>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</si>
  <si>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</si>
  <si>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</si>
  <si>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</si>
  <si>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</si>
  <si>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</si>
  <si>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</si>
  <si>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</si>
  <si>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</si>
  <si>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</si>
  <si>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</si>
  <si>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</si>
  <si>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</si>
  <si>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</si>
  <si>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</si>
  <si>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</si>
  <si>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</si>
  <si>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</si>
  <si>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</si>
  <si>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</si>
  <si>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</si>
  <si>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</si>
  <si>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</si>
  <si>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</si>
  <si>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</si>
  <si>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楼号</t>
    <phoneticPr fontId="134" type="noConversion"/>
  </si>
  <si>
    <t>建筑面积</t>
    <phoneticPr fontId="134" type="noConversion"/>
  </si>
  <si>
    <t>总层数</t>
    <phoneticPr fontId="134" type="noConversion"/>
  </si>
  <si>
    <t>结构</t>
    <phoneticPr fontId="134" type="noConversion"/>
  </si>
  <si>
    <t>成新度</t>
    <phoneticPr fontId="134" type="noConversion"/>
  </si>
  <si>
    <t>1号楼</t>
    <phoneticPr fontId="134" type="noConversion"/>
  </si>
  <si>
    <t>1#厂房</t>
    <phoneticPr fontId="134" type="noConversion"/>
  </si>
  <si>
    <t>钢混</t>
    <phoneticPr fontId="134" type="noConversion"/>
  </si>
  <si>
    <t>生产用房</t>
    <phoneticPr fontId="134" type="noConversion"/>
  </si>
  <si>
    <t>2号楼</t>
    <phoneticPr fontId="134" type="noConversion"/>
  </si>
  <si>
    <t>3#厂房</t>
    <phoneticPr fontId="134" type="noConversion"/>
  </si>
  <si>
    <t>钢</t>
    <phoneticPr fontId="134" type="noConversion"/>
  </si>
  <si>
    <t>3号楼</t>
    <phoneticPr fontId="134" type="noConversion"/>
  </si>
  <si>
    <t>9#倒班宿舍</t>
    <phoneticPr fontId="134" type="noConversion"/>
  </si>
  <si>
    <t>混合</t>
    <phoneticPr fontId="134" type="noConversion"/>
  </si>
  <si>
    <t>非生产用房</t>
    <phoneticPr fontId="134" type="noConversion"/>
  </si>
  <si>
    <t>4号楼</t>
    <phoneticPr fontId="134" type="noConversion"/>
  </si>
  <si>
    <t>8#倒班宿舍</t>
    <phoneticPr fontId="134" type="noConversion"/>
  </si>
  <si>
    <t>非生产用房</t>
  </si>
  <si>
    <t>5号楼</t>
    <phoneticPr fontId="134" type="noConversion"/>
  </si>
  <si>
    <t>5#实验楼</t>
    <phoneticPr fontId="134" type="noConversion"/>
  </si>
  <si>
    <t>6号楼</t>
    <phoneticPr fontId="134" type="noConversion"/>
  </si>
  <si>
    <t>2（-1）</t>
    <phoneticPr fontId="134" type="noConversion"/>
  </si>
  <si>
    <t>1#实验楼</t>
    <phoneticPr fontId="134" type="noConversion"/>
  </si>
  <si>
    <t>-1层</t>
    <phoneticPr fontId="134" type="noConversion"/>
  </si>
  <si>
    <t>1层</t>
    <phoneticPr fontId="134" type="noConversion"/>
  </si>
  <si>
    <t>2层</t>
    <phoneticPr fontId="134" type="noConversion"/>
  </si>
  <si>
    <t>7号楼</t>
    <phoneticPr fontId="134" type="noConversion"/>
  </si>
  <si>
    <t>4#实验楼</t>
    <phoneticPr fontId="134" type="noConversion"/>
  </si>
  <si>
    <t>8号楼</t>
    <phoneticPr fontId="134" type="noConversion"/>
  </si>
  <si>
    <t>2#实验楼</t>
    <phoneticPr fontId="134" type="noConversion"/>
  </si>
  <si>
    <t>9号楼</t>
    <phoneticPr fontId="134" type="noConversion"/>
  </si>
  <si>
    <t>3#实验楼</t>
    <phoneticPr fontId="134" type="noConversion"/>
  </si>
  <si>
    <t>10号楼</t>
    <phoneticPr fontId="134" type="noConversion"/>
  </si>
  <si>
    <t>科研楼、餐厅及配套设施</t>
    <phoneticPr fontId="134" type="noConversion"/>
  </si>
  <si>
    <t>11号楼</t>
    <phoneticPr fontId="134" type="noConversion"/>
  </si>
  <si>
    <t>12（-2）</t>
    <phoneticPr fontId="134" type="noConversion"/>
  </si>
  <si>
    <t>办公楼</t>
    <phoneticPr fontId="134" type="noConversion"/>
  </si>
  <si>
    <t>-2层</t>
    <phoneticPr fontId="134" type="noConversion"/>
  </si>
  <si>
    <t>3层</t>
  </si>
  <si>
    <t>4层</t>
  </si>
  <si>
    <t>5层</t>
  </si>
  <si>
    <t>6层</t>
  </si>
  <si>
    <t>7层</t>
  </si>
  <si>
    <t>8层</t>
  </si>
  <si>
    <t>9层</t>
  </si>
  <si>
    <t>10层</t>
  </si>
  <si>
    <t>11层</t>
  </si>
  <si>
    <t>12层</t>
  </si>
  <si>
    <t>屋面附属用房</t>
    <phoneticPr fontId="134" type="noConversion"/>
  </si>
  <si>
    <t>总计</t>
    <phoneticPr fontId="134" type="noConversion"/>
  </si>
  <si>
    <r>
      <t>1</t>
    </r>
    <r>
      <rPr>
        <sz val="11"/>
        <color theme="1"/>
        <rFont val="宋体"/>
        <family val="3"/>
        <charset val="134"/>
        <scheme val="minor"/>
      </rPr>
      <t>1号楼租金</t>
    </r>
    <phoneticPr fontId="134" type="noConversion"/>
  </si>
  <si>
    <r>
      <t>3、</t>
    </r>
    <r>
      <rPr>
        <sz val="11"/>
        <color theme="1"/>
        <rFont val="宋体"/>
        <family val="3"/>
        <charset val="134"/>
        <scheme val="minor"/>
      </rPr>
      <t>4号楼租金</t>
    </r>
    <phoneticPr fontId="134" type="noConversion"/>
  </si>
  <si>
    <t>10号楼租金</t>
    <phoneticPr fontId="134" type="noConversion"/>
  </si>
  <si>
    <t>地上</t>
  </si>
  <si>
    <t>地下</t>
  </si>
  <si>
    <t>工业-1、2厂房</t>
    <phoneticPr fontId="3" type="noConversion"/>
  </si>
  <si>
    <t>办公-5-9实验楼</t>
    <phoneticPr fontId="3" type="noConversion"/>
  </si>
  <si>
    <t>办公-10、11办公楼</t>
    <phoneticPr fontId="3" type="noConversion"/>
  </si>
  <si>
    <t>地下车库</t>
    <phoneticPr fontId="3" type="noConversion"/>
  </si>
  <si>
    <t>是</t>
  </si>
  <si>
    <t>实验楼</t>
    <phoneticPr fontId="3" type="noConversion"/>
  </si>
  <si>
    <t>工业厂房</t>
    <phoneticPr fontId="3" type="noConversion"/>
  </si>
  <si>
    <t>宿舍</t>
    <phoneticPr fontId="3" type="noConversion"/>
  </si>
  <si>
    <r>
      <rPr>
        <sz val="11"/>
        <color theme="1"/>
        <rFont val="宋体"/>
        <family val="2"/>
        <charset val="134"/>
      </rPr>
      <t>项目类型</t>
    </r>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</si>
  <si>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</si>
  <si>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乙级办公楼</t>
    <phoneticPr fontId="247" type="noConversion"/>
  </si>
  <si>
    <t>单层轻型厂房</t>
    <phoneticPr fontId="247" type="noConversion"/>
  </si>
  <si>
    <r>
      <rPr>
        <sz val="11"/>
        <color theme="1"/>
        <rFont val="宋体"/>
        <family val="2"/>
        <charset val="134"/>
      </rPr>
      <t>经济型酒店</t>
    </r>
    <phoneticPr fontId="247" type="noConversion"/>
  </si>
  <si>
    <r>
      <rPr>
        <sz val="11"/>
        <color theme="1"/>
        <rFont val="宋体"/>
        <family val="2"/>
        <charset val="134"/>
      </rPr>
      <t>建筑类型</t>
    </r>
    <phoneticPr fontId="247" type="noConversion"/>
  </si>
  <si>
    <t>高层</t>
    <phoneticPr fontId="247" type="noConversion"/>
  </si>
  <si>
    <t>多层</t>
    <phoneticPr fontId="247" type="noConversion"/>
  </si>
  <si>
    <t>单层</t>
    <phoneticPr fontId="247" type="noConversion"/>
  </si>
  <si>
    <r>
      <rPr>
        <i/>
        <sz val="9"/>
        <color theme="1"/>
        <rFont val="宋体"/>
        <family val="3"/>
        <charset val="134"/>
      </rPr>
      <t>地上</t>
    </r>
    <phoneticPr fontId="247" type="noConversion"/>
  </si>
  <si>
    <r>
      <t>3</t>
    </r>
    <r>
      <rPr>
        <sz val="11"/>
        <color theme="1"/>
        <rFont val="宋体"/>
        <family val="3"/>
        <charset val="134"/>
      </rPr>
      <t>、</t>
    </r>
    <r>
      <rPr>
        <sz val="11"/>
        <color theme="1"/>
        <rFont val="Arial"/>
        <family val="2"/>
      </rPr>
      <t>5</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</si>
  <si>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</si>
  <si>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</si>
  <si>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</si>
  <si>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</si>
  <si>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t>-</t>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</si>
  <si>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</si>
  <si>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</si>
  <si>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</si>
  <si>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</si>
  <si>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</si>
  <si>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</si>
  <si>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</si>
  <si>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</si>
  <si>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</si>
  <si>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t>成新度</t>
  </si>
  <si>
    <t>地块名称</t>
  </si>
  <si>
    <t>地块编号</t>
  </si>
  <si>
    <t>建设用地面积(㎡)</t>
  </si>
  <si>
    <t>规划建筑面积(㎡)</t>
  </si>
  <si>
    <t>容积率</t>
  </si>
  <si>
    <t>详细规划</t>
  </si>
  <si>
    <t>成交时间</t>
  </si>
  <si>
    <t>成交价(万元)</t>
  </si>
  <si>
    <t>成交每亩价(万元/亩)</t>
  </si>
  <si>
    <t>成交楼面价(元/㎡)</t>
  </si>
  <si>
    <t>溢价率(%)</t>
  </si>
  <si>
    <t>受让单位</t>
  </si>
  <si>
    <t>亦庄新城YZ00-0803街区1502地块工业项目</t>
  </si>
  <si>
    <t>京开国土挂[2023]15号</t>
  </si>
  <si>
    <t xml:space="preserve"> ≤1.0</t>
  </si>
  <si>
    <t xml:space="preserve"> 一类工业用地(M1)</t>
  </si>
  <si>
    <t xml:space="preserve"> 北京亦蓝运营管理有限公司  </t>
  </si>
  <si>
    <t>亦庄新城YZ00-0106街区15M1地块工业项目</t>
  </si>
  <si>
    <t>京开国土挂[2023]14号</t>
  </si>
  <si>
    <t xml:space="preserve"> ≤2.0</t>
  </si>
  <si>
    <t xml:space="preserve"> 一类工业用地 (M1)</t>
  </si>
  <si>
    <t xml:space="preserve"> 艾美疫苗股份有限公司  </t>
  </si>
  <si>
    <t>北京城市副中心1104街区FZX-1104-6009地块</t>
  </si>
  <si>
    <t>京土整储挂(通)工业〔2023〕02号</t>
  </si>
  <si>
    <t xml:space="preserve"> ≤1.5</t>
  </si>
  <si>
    <t xml:space="preserve"> M4工业研发用地</t>
  </si>
  <si>
    <t xml:space="preserve"> 宜信达集团有限公司  </t>
  </si>
  <si>
    <t>北京城市副中心1104街区FZX-1104-6004地块</t>
  </si>
  <si>
    <t>京土整储挂(通)工业〔2023〕03号</t>
  </si>
  <si>
    <t xml:space="preserve"> 北京华融生物科技有限公司  </t>
  </si>
  <si>
    <t>亦庄新城YZ00-0206街区X44M1地块M1/M4混合用地项目</t>
  </si>
  <si>
    <t>京开国土挂[2023]12号</t>
  </si>
  <si>
    <t xml:space="preserve"> ≤2.5</t>
  </si>
  <si>
    <t xml:space="preserve"> M1/M4混合</t>
  </si>
  <si>
    <t xml:space="preserve"> 北京国科天迅科技股份有限公司  </t>
  </si>
  <si>
    <t>亦庄新城0302街区B11M4地块工业项目</t>
  </si>
  <si>
    <t>京开国土挂[2023]11号</t>
  </si>
  <si>
    <t xml:space="preserve"> 工业</t>
  </si>
  <si>
    <t xml:space="preserve"> 广钢气体(北京)有限公司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</si>
  <si>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</si>
  <si>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</si>
  <si>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</si>
  <si>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</si>
  <si>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</si>
  <si>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</si>
  <si>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</si>
  <si>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</si>
  <si>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</si>
  <si>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</si>
  <si>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</si>
  <si>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</si>
  <si>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</si>
  <si>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</si>
  <si>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</si>
  <si>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t>
  </si>
  <si>
    <t xml:space="preserve"> 北京义翘神州科技股份有限公司  </t>
  </si>
  <si>
    <t>北京大兴国际机场临空经济区0206-0052、0206-0053、0206-0070地块M1一类工业用地</t>
  </si>
  <si>
    <t>京临管挂工业〔2023〕001号</t>
  </si>
  <si>
    <t xml:space="preserve"> M1一类工业用地</t>
  </si>
  <si>
    <t xml:space="preserve"> 北京航城兴康再生医学科技发展有限公司  </t>
  </si>
  <si>
    <t>亦庄新城0606街区YZ00-0606-0058工业地项目</t>
  </si>
  <si>
    <t>京开国土挂[2023]06号</t>
  </si>
  <si>
    <t xml:space="preserve"> ≤2</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</si>
  <si>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</si>
  <si>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</si>
  <si>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</si>
  <si>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</si>
  <si>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</si>
  <si>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</si>
  <si>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</si>
  <si>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</si>
  <si>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</si>
  <si>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</si>
  <si>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</si>
  <si>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</si>
  <si>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</si>
  <si>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</si>
  <si>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</si>
  <si>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≤0.8</t>
  </si>
  <si>
    <t xml:space="preserve"> 工业M1</t>
  </si>
  <si>
    <t>亦庄新城0702街区N44M1地块工业项目</t>
  </si>
  <si>
    <t>京开国土挂[2022]16号</t>
  </si>
  <si>
    <t xml:space="preserve"> 工业用地</t>
  </si>
  <si>
    <t xml:space="preserve"> 北京京东方创元科技有限公司  </t>
  </si>
  <si>
    <t>亦庄新城0104街区48M4地块工业项目</t>
  </si>
  <si>
    <t>京开国土挂[2022]15号</t>
  </si>
  <si>
    <t xml:space="preserve"> 小于等于2.35</t>
  </si>
  <si>
    <t xml:space="preserve"> 工业研发用地(M4)</t>
  </si>
  <si>
    <t xml:space="preserve"> 北京北方华创微电子装备有限公司  </t>
  </si>
  <si>
    <t>北京经济技术开发区42M2地块工业项目</t>
  </si>
  <si>
    <t>京开国土挂[2022]14号</t>
  </si>
  <si>
    <t xml:space="preserve"> 小于等于1.5</t>
  </si>
  <si>
    <t xml:space="preserve"> 北京屹唐科技有限公司  </t>
  </si>
  <si>
    <t>亦庄新城0104街区34M4地块工业项目</t>
  </si>
  <si>
    <t>京开国土挂[2022]13号</t>
  </si>
  <si>
    <t xml:space="preserve"> 小于等于1.07</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</si>
  <si>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</si>
  <si>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</si>
  <si>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</si>
  <si>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</si>
  <si>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</si>
  <si>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</si>
  <si>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</si>
  <si>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</si>
  <si>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</si>
  <si>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</si>
  <si>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</si>
  <si>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</si>
  <si>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</si>
  <si>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</si>
  <si>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</si>
  <si>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</si>
  <si>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</si>
  <si>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</si>
  <si>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</si>
  <si>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</si>
  <si>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</si>
  <si>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</si>
  <si>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</si>
  <si>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</si>
  <si>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</si>
  <si>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</si>
  <si>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</si>
  <si>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</si>
  <si>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</si>
  <si>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</si>
  <si>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</si>
  <si>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</si>
  <si>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</si>
  <si>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</si>
  <si>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</si>
  <si>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</si>
  <si>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</si>
  <si>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</si>
  <si>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</si>
  <si>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</si>
  <si>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</si>
  <si>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</si>
  <si>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</si>
  <si>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</si>
  <si>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</si>
  <si>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</si>
  <si>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</si>
  <si>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</si>
  <si>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</si>
  <si>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</si>
  <si>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</si>
  <si>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</si>
  <si>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</si>
  <si>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</si>
  <si>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</si>
  <si>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</si>
  <si>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</si>
  <si>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</si>
  <si>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</si>
  <si>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</si>
  <si>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</si>
  <si>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北京经济技术开发区亦庄新城0603街区F13地块</t>
  </si>
  <si>
    <t>京开国土挂[2021]13号</t>
  </si>
  <si>
    <t xml:space="preserve"> 北京宝拓仓储服务有限公司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</si>
  <si>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</si>
  <si>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</si>
  <si>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</si>
  <si>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</si>
  <si>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</si>
  <si>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</si>
  <si>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</si>
  <si>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</si>
  <si>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北京大兴国际机场临空经济区DX12-0107-053地块</t>
  </si>
  <si>
    <t>京临管挂工业[2021]003号</t>
  </si>
  <si>
    <t xml:space="preserve"> 北京京航仓储服务有限公司  </t>
  </si>
  <si>
    <t>大兴区庞各庄镇DX06-0103-6022地块一类工业用地</t>
  </si>
  <si>
    <t>京土整储挂 (兴)工业 [2021]008 号</t>
  </si>
  <si>
    <t xml:space="preserve"> 北京安盾兰达智能科技有限公司  </t>
  </si>
  <si>
    <t>北京市永乐经济开发区TZ10-0300-6009地块</t>
  </si>
  <si>
    <t>京土整储挂(通)工业〔2021〕04号</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</si>
  <si>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</si>
  <si>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</si>
  <si>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</si>
  <si>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</si>
  <si>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</si>
  <si>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</si>
  <si>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</si>
  <si>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</si>
  <si>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</si>
  <si>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</si>
  <si>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</si>
  <si>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</si>
  <si>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r>
      <t>M4</t>
    </r>
    <r>
      <rPr>
        <sz val="11"/>
        <rFont val="宋体"/>
        <family val="3"/>
        <charset val="134"/>
      </rPr>
      <t>工业研发用地</t>
    </r>
    <phoneticPr fontId="3" type="noConversion"/>
  </si>
  <si>
    <r>
      <t>M1</t>
    </r>
    <r>
      <rPr>
        <sz val="11"/>
        <rFont val="宋体"/>
        <family val="3"/>
        <charset val="134"/>
      </rPr>
      <t>一类工业用地</t>
    </r>
    <phoneticPr fontId="3" type="noConversion"/>
  </si>
  <si>
    <t>有</t>
    <phoneticPr fontId="3" type="noConversion"/>
  </si>
  <si>
    <t>无</t>
    <phoneticPr fontId="3" type="noConversion"/>
  </si>
  <si>
    <t>较规则</t>
    <phoneticPr fontId="3" type="noConversion"/>
  </si>
  <si>
    <t>七通</t>
    <phoneticPr fontId="3" type="noConversion"/>
  </si>
  <si>
    <t>六通</t>
    <phoneticPr fontId="3" type="noConversion"/>
  </si>
  <si>
    <t>五通</t>
    <phoneticPr fontId="3" type="noConversion"/>
  </si>
  <si>
    <t>较好</t>
    <phoneticPr fontId="3" type="noConversion"/>
  </si>
  <si>
    <t>正常</t>
  </si>
  <si>
    <t>出让年限</t>
    <phoneticPr fontId="32" type="noConversion"/>
  </si>
  <si>
    <r>
      <t>50</t>
    </r>
    <r>
      <rPr>
        <sz val="11"/>
        <color indexed="8"/>
        <rFont val="宋体"/>
        <family val="3"/>
        <charset val="134"/>
      </rPr>
      <t>年</t>
    </r>
    <phoneticPr fontId="32" type="noConversion"/>
  </si>
  <si>
    <r>
      <t>20</t>
    </r>
    <r>
      <rPr>
        <sz val="11"/>
        <rFont val="宋体"/>
        <family val="3"/>
        <charset val="134"/>
      </rPr>
      <t>年</t>
    </r>
    <phoneticPr fontId="32" type="noConversion"/>
  </si>
  <si>
    <t>20年</t>
  </si>
  <si>
    <t>较好</t>
  </si>
  <si>
    <t>一般</t>
  </si>
  <si>
    <t>七通</t>
  </si>
  <si>
    <t>较规则</t>
  </si>
  <si>
    <t>五通</t>
  </si>
  <si>
    <t>楼面地价</t>
  </si>
  <si>
    <t>年期修正</t>
    <phoneticPr fontId="3" type="noConversion"/>
  </si>
  <si>
    <t>未包含在土地购买价格中</t>
  </si>
  <si>
    <t>全部缴纳</t>
  </si>
  <si>
    <t>已包含在土地取得成本中</t>
  </si>
  <si>
    <t>北京华封集芯电子有限公司</t>
  </si>
  <si>
    <t>已成交</t>
  </si>
  <si>
    <t>2021-12-24</t>
  </si>
  <si>
    <t>挂牌</t>
  </si>
  <si>
    <t>1.90</t>
  </si>
  <si>
    <t>M1工业</t>
  </si>
  <si>
    <t>马驹桥南</t>
  </si>
  <si>
    <t>北京海德利森科技有限公司</t>
  </si>
  <si>
    <t>2021-12-31</t>
  </si>
  <si>
    <t>2</t>
  </si>
  <si>
    <t>M2工业用地</t>
  </si>
  <si>
    <t>天宫院</t>
  </si>
  <si>
    <t>北京宝拓仓储服务有限公司</t>
  </si>
  <si>
    <t>2022-01-03</t>
  </si>
  <si>
    <t>1.50</t>
  </si>
  <si>
    <t>W1物流用地</t>
  </si>
  <si>
    <t/>
  </si>
  <si>
    <t>华海清科(北京)科技有限公司</t>
  </si>
  <si>
    <t>2022-02-08</t>
  </si>
  <si>
    <t>国家电投集团氢能科技发展有限公司</t>
  </si>
  <si>
    <t>2022-03-10</t>
  </si>
  <si>
    <t>庞各庄镇</t>
  </si>
  <si>
    <t>南洋云仓(北京)供应链管理有限公司</t>
  </si>
  <si>
    <t>2022-03-22</t>
  </si>
  <si>
    <t>礼贤镇</t>
  </si>
  <si>
    <t>小米景曦科技有限公司</t>
  </si>
  <si>
    <t>2022-04-20</t>
  </si>
  <si>
    <t>0.90</t>
  </si>
  <si>
    <t>50年</t>
  </si>
  <si>
    <t>北京新光凯乐汽车冷成型件股份有限公司</t>
  </si>
  <si>
    <t>1.54</t>
  </si>
  <si>
    <t>工业用地(M1)</t>
  </si>
  <si>
    <t>康龙化成(北京)医药科技有限公司</t>
  </si>
  <si>
    <t>2022-05-19</t>
  </si>
  <si>
    <t>≤1.7</t>
  </si>
  <si>
    <t>一类 工业用地(M1)</t>
  </si>
  <si>
    <t>路南区</t>
  </si>
  <si>
    <t>上药科园信海(北京)科技发展有限公司</t>
  </si>
  <si>
    <t>2022-05-31</t>
  </si>
  <si>
    <t>≤1.5</t>
  </si>
  <si>
    <t>北京富创精密半导体有限公司</t>
  </si>
  <si>
    <t>2022-06-01</t>
  </si>
  <si>
    <t>一类工业用地</t>
  </si>
  <si>
    <t>华丰燃料电池有限公司</t>
  </si>
  <si>
    <t>≤1.0</t>
  </si>
  <si>
    <t>北京华洋奎龙药业有限公司</t>
  </si>
  <si>
    <t>2022-06-30</t>
  </si>
  <si>
    <t>≥1.0,≤1.0</t>
  </si>
  <si>
    <t>北臧村北</t>
  </si>
  <si>
    <t>萨姆森控制设备(中国)有限公司</t>
  </si>
  <si>
    <t>2022-08-15</t>
  </si>
  <si>
    <t>工业(M1)</t>
  </si>
  <si>
    <t>亦庄核心区南部</t>
  </si>
  <si>
    <t>至纯科技(北京)有限公司</t>
  </si>
  <si>
    <t>北京神导惯性技术有限公司</t>
  </si>
  <si>
    <t>2022-09-05</t>
  </si>
  <si>
    <t>1.20</t>
  </si>
  <si>
    <t>瀛海</t>
  </si>
  <si>
    <t>航家通用航空有限公司</t>
  </si>
  <si>
    <t>≤1.15</t>
  </si>
  <si>
    <t>东方晶源微电子科技(北京)有限公司</t>
  </si>
  <si>
    <t>2022-10-26</t>
  </si>
  <si>
    <t>盛吉盛半导体科技(北京)有限公司</t>
  </si>
  <si>
    <t>青云店镇</t>
  </si>
  <si>
    <t>北京天科合达半导体股份有限公司</t>
  </si>
  <si>
    <t>2022-11-03</t>
  </si>
  <si>
    <t>北京世维通科技股份有限公司</t>
  </si>
  <si>
    <t>2023-01-05</t>
  </si>
  <si>
    <t>一类工业用地(M1)</t>
  </si>
  <si>
    <t>北京屹唐科技有限公司</t>
  </si>
  <si>
    <t>2023-01-29</t>
  </si>
  <si>
    <t>小于等于1.07</t>
  </si>
  <si>
    <t>18年</t>
  </si>
  <si>
    <t>亦庄核心区北部</t>
  </si>
  <si>
    <t>小于等于1.5</t>
  </si>
  <si>
    <t>北京北方华创微电子装备有限公司</t>
  </si>
  <si>
    <t>小于等于2.35</t>
  </si>
  <si>
    <t>工业研发用地(M4)</t>
  </si>
  <si>
    <t>北京京东方创元科技有限公司</t>
  </si>
  <si>
    <t>2023-02-07</t>
  </si>
  <si>
    <t>2.00</t>
  </si>
  <si>
    <t>广钢气体(北京)有限公司</t>
  </si>
  <si>
    <t>2023-02-23</t>
  </si>
  <si>
    <t>≤0.8</t>
  </si>
  <si>
    <t>工业M1</t>
  </si>
  <si>
    <t>路东区北部</t>
  </si>
  <si>
    <t>神州细胞工程有限公司</t>
  </si>
  <si>
    <t>2023-03-16</t>
  </si>
  <si>
    <t>北京鲁汶半导体科技有限公司</t>
  </si>
  <si>
    <t>2023-03-23</t>
  </si>
  <si>
    <t>北京新松半导体有限公司</t>
  </si>
  <si>
    <t>2023-03-30</t>
  </si>
  <si>
    <t>北京睿昇精机半导体科技有限公司</t>
  </si>
  <si>
    <t>广沣金源(北京)科技有限公司</t>
  </si>
  <si>
    <t>2023-04-05</t>
  </si>
  <si>
    <t>≤2</t>
  </si>
  <si>
    <t>一类工业</t>
  </si>
  <si>
    <t>北京航城兴康再生医学科技发展有限公司</t>
  </si>
  <si>
    <t>2023-04-17</t>
  </si>
  <si>
    <t>M1一类工业用地</t>
  </si>
  <si>
    <t>榆垡镇</t>
  </si>
  <si>
    <t>北京义翘神州科技股份有限公司</t>
  </si>
  <si>
    <t>2023-05-06</t>
  </si>
  <si>
    <t>≤2.5</t>
  </si>
  <si>
    <t>北京英创汇智科技有限公司</t>
  </si>
  <si>
    <t>2023-07-05</t>
  </si>
  <si>
    <t>河西区北部</t>
  </si>
  <si>
    <t>北京百普赛斯生物科技股份有限公司</t>
  </si>
  <si>
    <t>2023-08-02</t>
  </si>
  <si>
    <t>北京航城兴晖医疗器械科技有限公司</t>
  </si>
  <si>
    <t>2023-09-18</t>
  </si>
  <si>
    <t>1.48</t>
  </si>
  <si>
    <t>M1一类工业用地、S41公用停车场用地</t>
  </si>
  <si>
    <t>高频(北京)科技股份有限公司</t>
  </si>
  <si>
    <t>2023-09-26</t>
  </si>
  <si>
    <t>北京国科天迅科技股份有限公司</t>
  </si>
  <si>
    <t>2023-10-11</t>
  </si>
  <si>
    <t>M1/M4混合</t>
  </si>
  <si>
    <t>河西区南部</t>
  </si>
  <si>
    <t>艾美疫苗股份有限公司</t>
  </si>
  <si>
    <t>2023-12-19</t>
  </si>
  <si>
    <t>≤2.0</t>
  </si>
  <si>
    <t>一类工业用地 (M1)</t>
  </si>
  <si>
    <t>北京亦蓝运营管理有限公司</t>
  </si>
  <si>
    <t>2024-01-31</t>
  </si>
  <si>
    <t>北京时代动力电池有限公司</t>
  </si>
  <si>
    <t>2024-06-03</t>
  </si>
  <si>
    <t>小于等于1</t>
  </si>
  <si>
    <t>一类工业 用地 (M1)</t>
  </si>
  <si>
    <t>京开国土挂[2024]01号</t>
  </si>
  <si>
    <t>亦庄新城YZ00-0702街区N43M1-2地块 工业项目</t>
  </si>
  <si>
    <t>北京万宁兴科技有限公司</t>
  </si>
  <si>
    <t>2024-06-07</t>
  </si>
  <si>
    <t>京规自挂(兴)工业[2024]002号</t>
  </si>
  <si>
    <t>大兴生物医药产业基地DX00-0501-0060-4地块M1工业用地国有建设用地使用权出让公告</t>
  </si>
  <si>
    <t>北京曼迪卡尔科技发展有限公司</t>
  </si>
  <si>
    <t>2024-05-30</t>
  </si>
  <si>
    <t>1</t>
  </si>
  <si>
    <t>工业厂房</t>
  </si>
  <si>
    <t>京规自挂(兴)工业[2024]001号</t>
  </si>
  <si>
    <t>大兴生物医药产业基地DX00-0502-0054地块M1工业用地国有建设用地使用权出让公告</t>
  </si>
  <si>
    <t>北京电控集成电路制造有限责任公司</t>
  </si>
  <si>
    <t>京开国土挂[2024]02号</t>
  </si>
  <si>
    <t>亦庄新城YZ00-0606街区0549地块工业项目</t>
  </si>
  <si>
    <t>北京安德盛威科技发展有限公司</t>
  </si>
  <si>
    <t>2024-11-05</t>
  </si>
  <si>
    <t>招标</t>
  </si>
  <si>
    <t>京规自挂(兴)工业[2024]007号</t>
  </si>
  <si>
    <t>大兴生物医药产业基地DX00-0507-0030-2地块M1工业用地国有建设用地</t>
  </si>
  <si>
    <t>锦波医学生物材料(北京)有限公司</t>
  </si>
  <si>
    <t>2024-11-06</t>
  </si>
  <si>
    <t>京规自挂(兴)工业[2024]006号</t>
  </si>
  <si>
    <t>大兴生物医药产业基地DX00-0507-0024地块M1工业用地国有建设用地</t>
  </si>
  <si>
    <t>交易状态</t>
  </si>
  <si>
    <t>出让方式</t>
  </si>
  <si>
    <t>出让年限(年)</t>
  </si>
  <si>
    <t>用地性质</t>
  </si>
  <si>
    <t>板块</t>
  </si>
  <si>
    <t>工业-1、2厂房</t>
  </si>
  <si>
    <t>押一</t>
  </si>
  <si>
    <t>钢混</t>
  </si>
  <si>
    <t>生产用房</t>
  </si>
  <si>
    <t>否</t>
  </si>
  <si>
    <t>住宅-3、4宿舍</t>
  </si>
  <si>
    <t>办公-5-9实验楼</t>
  </si>
  <si>
    <t>办公-10、11办公楼</t>
  </si>
  <si>
    <t>地下车库</t>
  </si>
  <si>
    <t>自定义</t>
  </si>
  <si>
    <t>挂牌</t>
    <phoneticPr fontId="3" type="noConversion"/>
  </si>
  <si>
    <t>平层</t>
    <phoneticPr fontId="3" type="noConversion"/>
  </si>
  <si>
    <t>砖混</t>
    <phoneticPr fontId="3" type="noConversion"/>
  </si>
  <si>
    <t>中档</t>
    <phoneticPr fontId="3" type="noConversion"/>
  </si>
  <si>
    <t>普通装修</t>
    <phoneticPr fontId="3" type="noConversion"/>
  </si>
  <si>
    <t>专业</t>
    <phoneticPr fontId="3" type="noConversion"/>
  </si>
  <si>
    <t>项目模式</t>
  </si>
  <si>
    <t>租金</t>
  </si>
  <si>
    <t>合生世界村</t>
    <phoneticPr fontId="3" type="noConversion"/>
  </si>
  <si>
    <t>通州温馨家园(南区)</t>
    <phoneticPr fontId="3" type="noConversion"/>
  </si>
  <si>
    <t>悦上城</t>
    <phoneticPr fontId="3" type="noConversion"/>
  </si>
  <si>
    <r>
      <t>2024</t>
    </r>
    <r>
      <rPr>
        <sz val="11"/>
        <color indexed="8"/>
        <rFont val="宋体"/>
        <family val="3"/>
        <charset val="134"/>
      </rPr>
      <t>年</t>
    </r>
    <r>
      <rPr>
        <sz val="11"/>
        <color indexed="8"/>
        <rFont val="Arial"/>
        <family val="2"/>
      </rPr>
      <t>1</t>
    </r>
    <r>
      <rPr>
        <sz val="11"/>
        <color indexed="8"/>
        <rFont val="宋体"/>
        <family val="3"/>
        <charset val="134"/>
      </rPr>
      <t>月</t>
    </r>
    <phoneticPr fontId="24" type="noConversion"/>
  </si>
  <si>
    <t>住宅</t>
  </si>
  <si>
    <t>住宅</t>
    <phoneticPr fontId="24" type="noConversion"/>
  </si>
  <si>
    <t>平层</t>
  </si>
  <si>
    <t>砖混</t>
  </si>
  <si>
    <t>中档</t>
  </si>
  <si>
    <t>普通装修</t>
  </si>
  <si>
    <t>专业</t>
  </si>
  <si>
    <t>标准厂房</t>
    <phoneticPr fontId="3" type="noConversion"/>
  </si>
  <si>
    <t>钢</t>
    <phoneticPr fontId="3" type="noConversion"/>
  </si>
  <si>
    <t>普通物业</t>
    <phoneticPr fontId="3" type="noConversion"/>
  </si>
  <si>
    <t>联东U谷西区</t>
    <phoneticPr fontId="3" type="noConversion"/>
  </si>
  <si>
    <t>联东U谷北区</t>
    <phoneticPr fontId="3" type="noConversion"/>
  </si>
  <si>
    <t>中关村园区金桥科技产业基地</t>
    <phoneticPr fontId="3" type="noConversion"/>
  </si>
  <si>
    <r>
      <t>2024</t>
    </r>
    <r>
      <rPr>
        <sz val="11"/>
        <color indexed="8"/>
        <rFont val="宋体"/>
        <family val="3"/>
        <charset val="134"/>
      </rPr>
      <t>年</t>
    </r>
    <r>
      <rPr>
        <sz val="11"/>
        <color indexed="8"/>
        <rFont val="Arial"/>
        <family val="2"/>
      </rPr>
      <t>1</t>
    </r>
    <r>
      <rPr>
        <sz val="11"/>
        <color indexed="8"/>
        <rFont val="宋体"/>
        <family val="3"/>
        <charset val="134"/>
      </rPr>
      <t>月</t>
    </r>
    <phoneticPr fontId="31" type="noConversion"/>
  </si>
  <si>
    <t>工业</t>
    <phoneticPr fontId="31" type="noConversion"/>
  </si>
  <si>
    <t>标准厂房</t>
  </si>
  <si>
    <t>钢</t>
  </si>
  <si>
    <t>普通物业</t>
  </si>
  <si>
    <t>中科清创科学园</t>
    <phoneticPr fontId="3" type="noConversion"/>
  </si>
  <si>
    <t>联东U谷</t>
    <phoneticPr fontId="3" type="noConversion"/>
  </si>
  <si>
    <t>标准办公</t>
    <phoneticPr fontId="3" type="noConversion"/>
  </si>
  <si>
    <t>钢混</t>
    <phoneticPr fontId="3" type="noConversion"/>
  </si>
  <si>
    <t>精装修</t>
    <phoneticPr fontId="3" type="noConversion"/>
  </si>
  <si>
    <t>甲级</t>
    <phoneticPr fontId="3" type="noConversion"/>
  </si>
  <si>
    <t>乙级</t>
    <phoneticPr fontId="3" type="noConversion"/>
  </si>
  <si>
    <t>普通</t>
    <phoneticPr fontId="3" type="noConversion"/>
  </si>
  <si>
    <t>标准</t>
    <phoneticPr fontId="3" type="noConversion"/>
  </si>
  <si>
    <t>办公</t>
    <phoneticPr fontId="31" type="noConversion"/>
  </si>
  <si>
    <t>标准办公</t>
  </si>
  <si>
    <t>精装修</t>
  </si>
  <si>
    <t>乙级</t>
  </si>
  <si>
    <t>普通</t>
  </si>
  <si>
    <t>标准</t>
  </si>
  <si>
    <t>1、2厂房收益法</t>
  </si>
  <si>
    <t>1、2厂房收益法</t>
    <phoneticPr fontId="16" type="noConversion"/>
  </si>
  <si>
    <t>3、4宿舍收益法</t>
  </si>
  <si>
    <t>3、4宿舍收益法</t>
    <phoneticPr fontId="16" type="noConversion"/>
  </si>
  <si>
    <t>5-9实验楼收益法</t>
  </si>
  <si>
    <t>5-9实验楼收益法</t>
    <phoneticPr fontId="16" type="noConversion"/>
  </si>
  <si>
    <t>10、11办公收益法</t>
  </si>
  <si>
    <t>10、11办公收益法</t>
    <phoneticPr fontId="16" type="noConversion"/>
  </si>
  <si>
    <t>地下车库收益法</t>
  </si>
  <si>
    <t>地下车库收益法</t>
    <phoneticPr fontId="16" type="noConversion"/>
  </si>
  <si>
    <t>成本法</t>
  </si>
  <si>
    <t>收益法（汇总）</t>
  </si>
  <si>
    <t>现房</t>
  </si>
  <si>
    <t>项目全部</t>
  </si>
  <si>
    <t>楼号</t>
  </si>
  <si>
    <t>面积（㎡）</t>
  </si>
  <si>
    <t>楼层</t>
  </si>
  <si>
    <t>结构</t>
  </si>
  <si>
    <r>
      <t>建安单价（元</t>
    </r>
    <r>
      <rPr>
        <sz val="9"/>
        <color rgb="FF000000"/>
        <rFont val="Arial"/>
        <family val="2"/>
      </rPr>
      <t>/</t>
    </r>
    <r>
      <rPr>
        <sz val="9"/>
        <color rgb="FF000000"/>
        <rFont val="华文细黑"/>
        <family val="3"/>
        <charset val="134"/>
      </rPr>
      <t>㎡）</t>
    </r>
  </si>
  <si>
    <r>
      <t>1</t>
    </r>
    <r>
      <rPr>
        <sz val="9"/>
        <color theme="1"/>
        <rFont val="华文细黑"/>
        <family val="3"/>
        <charset val="134"/>
      </rPr>
      <t>号</t>
    </r>
  </si>
  <si>
    <r>
      <t>2</t>
    </r>
    <r>
      <rPr>
        <sz val="9"/>
        <color theme="1"/>
        <rFont val="华文细黑"/>
        <family val="3"/>
        <charset val="134"/>
      </rPr>
      <t>号</t>
    </r>
  </si>
  <si>
    <r>
      <t>3</t>
    </r>
    <r>
      <rPr>
        <sz val="9"/>
        <color theme="1"/>
        <rFont val="华文细黑"/>
        <family val="3"/>
        <charset val="134"/>
      </rPr>
      <t>号</t>
    </r>
  </si>
  <si>
    <t>混合</t>
  </si>
  <si>
    <r>
      <t>4</t>
    </r>
    <r>
      <rPr>
        <sz val="9"/>
        <color theme="1"/>
        <rFont val="华文细黑"/>
        <family val="3"/>
        <charset val="134"/>
      </rPr>
      <t>号</t>
    </r>
  </si>
  <si>
    <r>
      <t>5</t>
    </r>
    <r>
      <rPr>
        <sz val="9"/>
        <color theme="1"/>
        <rFont val="华文细黑"/>
        <family val="3"/>
        <charset val="134"/>
      </rPr>
      <t>号</t>
    </r>
  </si>
  <si>
    <t>独栋办公</t>
  </si>
  <si>
    <r>
      <t>6</t>
    </r>
    <r>
      <rPr>
        <sz val="9"/>
        <color theme="1"/>
        <rFont val="华文细黑"/>
        <family val="3"/>
        <charset val="134"/>
      </rPr>
      <t>号</t>
    </r>
  </si>
  <si>
    <t>幼儿园</t>
  </si>
  <si>
    <r>
      <t>2</t>
    </r>
    <r>
      <rPr>
        <sz val="9"/>
        <color theme="1"/>
        <rFont val="华文细黑"/>
        <family val="3"/>
        <charset val="134"/>
      </rPr>
      <t>（</t>
    </r>
    <r>
      <rPr>
        <sz val="9"/>
        <color theme="1"/>
        <rFont val="Arial"/>
        <family val="2"/>
      </rPr>
      <t>-1</t>
    </r>
    <r>
      <rPr>
        <sz val="9"/>
        <color theme="1"/>
        <rFont val="华文细黑"/>
        <family val="3"/>
        <charset val="134"/>
      </rPr>
      <t>）</t>
    </r>
  </si>
  <si>
    <r>
      <t>7</t>
    </r>
    <r>
      <rPr>
        <sz val="9"/>
        <color theme="1"/>
        <rFont val="华文细黑"/>
        <family val="3"/>
        <charset val="134"/>
      </rPr>
      <t>号</t>
    </r>
  </si>
  <si>
    <r>
      <t>8</t>
    </r>
    <r>
      <rPr>
        <sz val="9"/>
        <color theme="1"/>
        <rFont val="华文细黑"/>
        <family val="3"/>
        <charset val="134"/>
      </rPr>
      <t>号</t>
    </r>
  </si>
  <si>
    <r>
      <t>9</t>
    </r>
    <r>
      <rPr>
        <sz val="9"/>
        <color theme="1"/>
        <rFont val="华文细黑"/>
        <family val="3"/>
        <charset val="134"/>
      </rPr>
      <t>号</t>
    </r>
  </si>
  <si>
    <r>
      <t>10</t>
    </r>
    <r>
      <rPr>
        <sz val="9"/>
        <color theme="1"/>
        <rFont val="华文细黑"/>
        <family val="3"/>
        <charset val="134"/>
      </rPr>
      <t>号</t>
    </r>
  </si>
  <si>
    <t>酒店、公寓、办公</t>
  </si>
  <si>
    <r>
      <t>11</t>
    </r>
    <r>
      <rPr>
        <sz val="9"/>
        <color theme="1"/>
        <rFont val="华文细黑"/>
        <family val="3"/>
        <charset val="134"/>
      </rPr>
      <t>号</t>
    </r>
  </si>
  <si>
    <r>
      <t>12</t>
    </r>
    <r>
      <rPr>
        <sz val="9"/>
        <color theme="1"/>
        <rFont val="华文细黑"/>
        <family val="3"/>
        <charset val="134"/>
      </rPr>
      <t>（</t>
    </r>
    <r>
      <rPr>
        <sz val="9"/>
        <color theme="1"/>
        <rFont val="Arial"/>
        <family val="2"/>
      </rPr>
      <t>-2</t>
    </r>
    <r>
      <rPr>
        <sz val="9"/>
        <color theme="1"/>
        <rFont val="华文细黑"/>
        <family val="3"/>
        <charset val="134"/>
      </rPr>
      <t>）</t>
    </r>
  </si>
  <si>
    <t>工业-3、4宿舍</t>
  </si>
  <si>
    <t>工业-3、4宿舍</t>
    <phoneticPr fontId="3" type="noConversion"/>
  </si>
  <si>
    <t>地下2层</t>
    <phoneticPr fontId="134" type="noConversion"/>
  </si>
  <si>
    <t>地下1层</t>
    <phoneticPr fontId="134" type="noConversion"/>
  </si>
  <si>
    <t>1屋面附属</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</si>
</sst>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theme="1"/>
      <name val="宋体"/>
      <family val="2"/>
      <charset val="134"/>
    </font>
    <font>
      <sz val="11"/>
      <color rgb="FFFF0000"/>
      <name val="宋体"/>
      <family val="3"/>
      <charset val="134"/>
      <scheme val="minor"/>
    </font>
    <font>
      <sz val="11"/>
      <color rgb="FF00B0F0"/>
      <name val="宋体"/>
      <family val="3"/>
      <charset val="134"/>
      <scheme val="minor"/>
    </font>
    <font>
      <sz val="11"/>
      <color rgb="FF00B050"/>
      <name val="宋体"/>
      <family val="3"/>
      <charset val="134"/>
      <scheme val="minor"/>
    </font>
    <font>
      <b/>
      <sz val="11"/>
      <color rgb="FF00B050"/>
      <name val="宋体"/>
      <family val="3"/>
      <charset val="134"/>
      <scheme val="minor"/>
    </font>
    <font>
      <sz val="11"/>
      <color theme="5"/>
      <name val="宋体"/>
      <family val="3"/>
      <charset val="134"/>
      <scheme val="minor"/>
    </font>
    <font>
      <b/>
      <sz val="11"/>
      <color theme="5"/>
      <name val="宋体"/>
      <family val="3"/>
      <charset val="134"/>
      <scheme val="minor"/>
    </font>
    <font>
      <i/>
      <sz val="9"/>
      <color theme="1"/>
      <name val="Arial"/>
      <family val="2"/>
    </font>
    <font>
      <i/>
      <sz val="9"/>
      <color theme="1"/>
      <name val="宋体"/>
      <family val="3"/>
      <charset val="134"/>
    </font>
    <font>
      <sz val="12"/>
      <color theme="1"/>
      <name val="宋体"/>
      <family val="2"/>
      <scheme val="minor"/>
    </font>
    <font>
      <sz val="10"/>
      <color theme="1"/>
      <name val="宋体"/>
      <family val="2"/>
      <scheme val="minor"/>
    </font>
    <font>
      <sz val="10"/>
      <color rgb="FFFF0000"/>
      <name val="宋体"/>
      <family val="2"/>
      <scheme val="minor"/>
    </font>
    <font>
      <sz val="10"/>
      <color rgb="FFFF0000"/>
      <name val="宋体"/>
      <family val="3"/>
      <charset val="134"/>
      <scheme val="minor"/>
    </font>
    <font>
      <sz val="9"/>
      <color theme="1"/>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9" fillId="0" borderId="0"/>
  </cellStyleXfs>
  <cellXfs count="35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1" xfId="10" applyBorder="1" applyAlignment="1">
      <alignment horizontal="left" vertical="center"/>
    </xf>
    <xf numFmtId="0" fontId="95" fillId="0" borderId="1" xfId="10" applyBorder="1" applyAlignment="1">
      <alignment horizontal="left" vertical="center" wrapText="1"/>
    </xf>
    <xf numFmtId="10" fontId="95" fillId="0" borderId="1" xfId="10" applyNumberFormat="1" applyBorder="1" applyAlignment="1">
      <alignment horizontal="left" vertical="center"/>
    </xf>
    <xf numFmtId="0" fontId="95" fillId="0" borderId="0" xfId="10" applyAlignment="1">
      <alignment horizontal="left" vertical="center"/>
    </xf>
    <xf numFmtId="0" fontId="271" fillId="0" borderId="1" xfId="10" applyFont="1" applyBorder="1" applyAlignment="1">
      <alignment horizontal="left" vertical="center"/>
    </xf>
    <xf numFmtId="0" fontId="271" fillId="0" borderId="1" xfId="10" applyFont="1" applyBorder="1" applyAlignment="1">
      <alignment horizontal="left" vertical="center" wrapText="1"/>
    </xf>
    <xf numFmtId="9" fontId="271" fillId="0" borderId="1" xfId="10" applyNumberFormat="1" applyFont="1" applyBorder="1" applyAlignment="1">
      <alignment horizontal="left" vertical="center"/>
    </xf>
    <xf numFmtId="0" fontId="271" fillId="0" borderId="0" xfId="10" applyFont="1" applyAlignment="1">
      <alignment horizontal="left" vertical="center"/>
    </xf>
    <xf numFmtId="10" fontId="271" fillId="0" borderId="0" xfId="10" applyNumberFormat="1" applyFont="1" applyAlignment="1">
      <alignment horizontal="left" vertical="center"/>
    </xf>
    <xf numFmtId="0" fontId="272" fillId="0" borderId="1" xfId="10" applyFont="1" applyBorder="1" applyAlignment="1">
      <alignment horizontal="left" vertical="center"/>
    </xf>
    <xf numFmtId="0" fontId="272" fillId="0" borderId="1" xfId="10" applyFont="1" applyBorder="1" applyAlignment="1">
      <alignment horizontal="left" vertical="center" wrapText="1"/>
    </xf>
    <xf numFmtId="0" fontId="272" fillId="0" borderId="0" xfId="10" applyFont="1" applyAlignment="1">
      <alignment horizontal="left" vertical="center"/>
    </xf>
    <xf numFmtId="0" fontId="273" fillId="0" borderId="1" xfId="10" applyFont="1" applyBorder="1" applyAlignment="1">
      <alignment horizontal="left" vertical="center"/>
    </xf>
    <xf numFmtId="0" fontId="273" fillId="0" borderId="1" xfId="10" applyFont="1" applyBorder="1" applyAlignment="1">
      <alignment horizontal="left" vertical="center" wrapText="1"/>
    </xf>
    <xf numFmtId="9" fontId="273" fillId="0" borderId="1" xfId="10" applyNumberFormat="1" applyFont="1" applyBorder="1" applyAlignment="1">
      <alignment horizontal="left" vertical="center"/>
    </xf>
    <xf numFmtId="0" fontId="273" fillId="0" borderId="0" xfId="10" applyFont="1" applyAlignment="1">
      <alignment horizontal="left" vertical="center"/>
    </xf>
    <xf numFmtId="0" fontId="274" fillId="0" borderId="1" xfId="10" applyFont="1" applyBorder="1" applyAlignment="1">
      <alignment horizontal="left" vertical="center"/>
    </xf>
    <xf numFmtId="0" fontId="274" fillId="0" borderId="1" xfId="10" applyFont="1" applyBorder="1" applyAlignment="1">
      <alignment horizontal="left" vertical="center" wrapText="1"/>
    </xf>
    <xf numFmtId="0" fontId="274" fillId="0" borderId="1" xfId="10" quotePrefix="1" applyFont="1" applyBorder="1" applyAlignment="1">
      <alignment horizontal="left" vertical="center" wrapText="1"/>
    </xf>
    <xf numFmtId="0" fontId="275" fillId="0" borderId="1" xfId="10" applyFont="1" applyBorder="1" applyAlignment="1">
      <alignment horizontal="left" vertical="center"/>
    </xf>
    <xf numFmtId="0" fontId="275" fillId="0" borderId="1" xfId="10" applyFont="1" applyBorder="1" applyAlignment="1">
      <alignment horizontal="left" vertical="center" wrapText="1"/>
    </xf>
    <xf numFmtId="9" fontId="275" fillId="0" borderId="1" xfId="10" applyNumberFormat="1" applyFont="1" applyBorder="1" applyAlignment="1">
      <alignment horizontal="left" vertical="center"/>
    </xf>
    <xf numFmtId="0" fontId="275" fillId="0" borderId="0" xfId="10" applyFont="1" applyAlignment="1">
      <alignment horizontal="left" vertical="center"/>
    </xf>
    <xf numFmtId="0" fontId="276" fillId="0" borderId="1" xfId="10" applyFont="1" applyBorder="1" applyAlignment="1">
      <alignment horizontal="left" vertical="center"/>
    </xf>
    <xf numFmtId="0" fontId="276" fillId="0" borderId="1" xfId="10" applyFont="1" applyBorder="1" applyAlignment="1">
      <alignment horizontal="left" vertical="center" wrapText="1"/>
    </xf>
    <xf numFmtId="0" fontId="276" fillId="0" borderId="1" xfId="10" quotePrefix="1" applyFont="1" applyBorder="1" applyAlignment="1">
      <alignment horizontal="left" vertical="center" wrapText="1"/>
    </xf>
    <xf numFmtId="10" fontId="275" fillId="0" borderId="1" xfId="10" applyNumberFormat="1" applyFont="1" applyBorder="1" applyAlignment="1">
      <alignment horizontal="left" vertical="center"/>
    </xf>
    <xf numFmtId="0" fontId="95" fillId="5" borderId="1" xfId="10" applyFill="1" applyBorder="1" applyAlignment="1">
      <alignment horizontal="left" vertical="center"/>
    </xf>
    <xf numFmtId="0" fontId="95" fillId="5" borderId="1" xfId="10" applyFill="1" applyBorder="1" applyAlignment="1">
      <alignment horizontal="left" vertical="center" wrapText="1"/>
    </xf>
    <xf numFmtId="0" fontId="95" fillId="0" borderId="0" xfId="10" applyAlignment="1">
      <alignment horizontal="left" vertical="center" wrapText="1"/>
    </xf>
    <xf numFmtId="10" fontId="95" fillId="0" borderId="0" xfId="10" applyNumberFormat="1" applyAlignment="1">
      <alignment horizontal="left" vertical="center"/>
    </xf>
    <xf numFmtId="0" fontId="77" fillId="5" borderId="0" xfId="0" applyFont="1" applyFill="1" applyAlignment="1" applyProtection="1">
      <alignment horizontal="center" vertical="center"/>
      <protection locked="0"/>
    </xf>
    <xf numFmtId="0" fontId="77" fillId="5" borderId="0" xfId="0" applyFont="1" applyFill="1" applyProtection="1">
      <alignment vertical="center"/>
      <protection locked="0"/>
    </xf>
    <xf numFmtId="0" fontId="98" fillId="0" borderId="0" xfId="0" applyFont="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114" fillId="22" borderId="0" xfId="0" applyFont="1" applyFill="1" applyAlignment="1" applyProtection="1">
      <alignment horizontal="left" vertical="center" wrapText="1"/>
      <protection locked="0"/>
    </xf>
    <xf numFmtId="0" fontId="114" fillId="23" borderId="0" xfId="0" applyFont="1" applyFill="1" applyAlignment="1" applyProtection="1">
      <alignment horizontal="left" vertical="center" wrapText="1"/>
      <protection locked="0"/>
    </xf>
    <xf numFmtId="0" fontId="270" fillId="22" borderId="0" xfId="0" applyFont="1" applyFill="1" applyAlignment="1" applyProtection="1">
      <alignment horizontal="left" vertical="center" wrapText="1"/>
      <protection locked="0"/>
    </xf>
    <xf numFmtId="0" fontId="277" fillId="0" borderId="0" xfId="0" applyFont="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277" fillId="22" borderId="0" xfId="0" applyFont="1" applyFill="1" applyAlignment="1" applyProtection="1">
      <alignment horizontal="right" vertical="center" wrapText="1"/>
      <protection locked="0"/>
    </xf>
    <xf numFmtId="0" fontId="277" fillId="23" borderId="0" xfId="0" applyFont="1" applyFill="1" applyAlignment="1" applyProtection="1">
      <alignment horizontal="righ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114"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79" fontId="100" fillId="5" borderId="23" xfId="0" applyNumberFormat="1" applyFont="1" applyFill="1" applyBorder="1" applyAlignment="1" applyProtection="1">
      <alignment horizontal="center" vertical="center"/>
      <protection locked="0"/>
    </xf>
    <xf numFmtId="181" fontId="99" fillId="8" borderId="1" xfId="0" applyNumberFormat="1" applyFont="1" applyFill="1" applyBorder="1" applyAlignment="1" applyProtection="1">
      <alignment horizontal="center" vertical="center"/>
      <protection locked="0"/>
    </xf>
    <xf numFmtId="181" fontId="44" fillId="8" borderId="1"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0" fontId="280" fillId="0" borderId="0" xfId="19" applyFont="1" applyAlignment="1">
      <alignment horizontal="left" vertical="center"/>
    </xf>
    <xf numFmtId="0" fontId="107" fillId="0" borderId="0" xfId="19" applyFont="1" applyAlignment="1">
      <alignment horizontal="left" vertical="center"/>
    </xf>
    <xf numFmtId="14" fontId="107" fillId="0" borderId="0" xfId="19" applyNumberFormat="1" applyFont="1" applyAlignment="1">
      <alignment horizontal="left" vertical="center"/>
    </xf>
    <xf numFmtId="0" fontId="281" fillId="0" borderId="0" xfId="19" applyFont="1" applyAlignment="1">
      <alignment horizontal="left" vertical="center"/>
    </xf>
    <xf numFmtId="14" fontId="282" fillId="0" borderId="0" xfId="19" applyNumberFormat="1" applyFont="1" applyAlignment="1">
      <alignment horizontal="left" vertical="center"/>
    </xf>
    <xf numFmtId="0" fontId="282" fillId="0" borderId="0" xfId="19" applyFont="1" applyAlignment="1">
      <alignment horizontal="left" vertical="center"/>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51" fillId="8" borderId="0" xfId="0" applyFont="1" applyFill="1" applyAlignment="1" applyProtection="1">
      <alignment horizontal="center" vertical="center"/>
      <protection locked="0"/>
    </xf>
    <xf numFmtId="0" fontId="95" fillId="0" borderId="0" xfId="10">
      <alignment vertical="center"/>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49" fontId="44" fillId="0" borderId="70"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64" fillId="0" borderId="82" xfId="0" applyFont="1" applyBorder="1" applyAlignment="1" applyProtection="1">
      <alignment horizontal="justify" vertical="center"/>
      <protection locked="0"/>
    </xf>
    <xf numFmtId="0" fontId="264" fillId="0" borderId="65" xfId="0" applyFont="1" applyBorder="1" applyAlignment="1" applyProtection="1">
      <alignment horizontal="justify" vertical="center"/>
      <protection locked="0"/>
    </xf>
    <xf numFmtId="0" fontId="283" fillId="0" borderId="81" xfId="0" applyFont="1" applyBorder="1" applyAlignment="1" applyProtection="1">
      <alignment horizontal="justify" vertical="center"/>
      <protection locked="0"/>
    </xf>
    <xf numFmtId="0" fontId="265" fillId="0" borderId="43" xfId="0" applyFont="1" applyBorder="1" applyAlignment="1" applyProtection="1">
      <alignment horizontal="justify" vertical="center"/>
      <protection locked="0"/>
    </xf>
    <xf numFmtId="0" fontId="283" fillId="0" borderId="43" xfId="0" applyFont="1" applyBorder="1" applyAlignment="1" applyProtection="1">
      <alignment horizontal="justify" vertical="center"/>
      <protection locked="0"/>
    </xf>
    <xf numFmtId="0" fontId="266" fillId="0" borderId="43" xfId="0" applyFont="1" applyBorder="1" applyAlignment="1" applyProtection="1">
      <alignment horizontal="justify" vertical="center"/>
      <protection locked="0"/>
    </xf>
    <xf numFmtId="0" fontId="266" fillId="0" borderId="81" xfId="0" applyFont="1" applyBorder="1" applyAlignment="1" applyProtection="1">
      <alignment horizontal="justify"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246" fillId="6" borderId="60" xfId="0" applyFont="1" applyFill="1" applyBorder="1" applyAlignment="1">
      <alignment horizontal="left" vertical="center"/>
    </xf>
    <xf numFmtId="0" fontId="95" fillId="6" borderId="0" xfId="0" applyFont="1" applyFill="1" applyAlignment="1">
      <alignment horizontal="center" vertical="center" wrapText="1"/>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pplyProtection="1">
      <alignment horizontal="left" vertical="center" wrapText="1"/>
      <protection locked="0"/>
    </xf>
    <xf numFmtId="0" fontId="98" fillId="0" borderId="0" xfId="0" applyFont="1" applyAlignment="1" applyProtection="1">
      <alignment horizontal="center" vertical="center" wrapText="1"/>
      <protection locked="0"/>
    </xf>
    <xf numFmtId="0" fontId="114" fillId="24"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0" fillId="18" borderId="1"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80" fillId="0" borderId="0" xfId="19" applyFont="1" applyAlignment="1">
      <alignment horizontal="lef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B4040B71-67A9-4E5A-B724-60C8A81EEFBD}"/>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828675</xdr:colOff>
      <xdr:row>3</xdr:row>
      <xdr:rowOff>19050</xdr:rowOff>
    </xdr:from>
    <xdr:to>
      <xdr:col>19</xdr:col>
      <xdr:colOff>418067</xdr:colOff>
      <xdr:row>31</xdr:row>
      <xdr:rowOff>123040</xdr:rowOff>
    </xdr:to>
    <xdr:pic>
      <xdr:nvPicPr>
        <xdr:cNvPr id="2" name="图片 1">
          <a:extLst>
            <a:ext uri="{FF2B5EF4-FFF2-40B4-BE49-F238E27FC236}">
              <a16:creationId xmlns:a16="http://schemas.microsoft.com/office/drawing/2014/main" id="{7B9CE9B0-4C65-45CE-987E-A6CF1C4C20CC}"/>
            </a:ext>
          </a:extLst>
        </xdr:cNvPr>
        <xdr:cNvPicPr>
          <a:picLocks noChangeAspect="1"/>
        </xdr:cNvPicPr>
      </xdr:nvPicPr>
      <xdr:blipFill rotWithShape="1">
        <a:blip xmlns:r="http://schemas.openxmlformats.org/officeDocument/2006/relationships" r:embed="rId1"/>
        <a:srcRect l="3111"/>
        <a:stretch/>
      </xdr:blipFill>
      <xdr:spPr>
        <a:xfrm>
          <a:off x="4962525" y="533400"/>
          <a:ext cx="8009492" cy="5761840"/>
        </a:xfrm>
        <a:prstGeom prst="rect">
          <a:avLst/>
        </a:prstGeom>
      </xdr:spPr>
    </xdr:pic>
    <xdr:clientData/>
  </xdr:twoCellAnchor>
  <xdr:twoCellAnchor editAs="oneCell">
    <xdr:from>
      <xdr:col>7</xdr:col>
      <xdr:colOff>752475</xdr:colOff>
      <xdr:row>31</xdr:row>
      <xdr:rowOff>142875</xdr:rowOff>
    </xdr:from>
    <xdr:to>
      <xdr:col>12</xdr:col>
      <xdr:colOff>323451</xdr:colOff>
      <xdr:row>48</xdr:row>
      <xdr:rowOff>66320</xdr:rowOff>
    </xdr:to>
    <xdr:pic>
      <xdr:nvPicPr>
        <xdr:cNvPr id="3" name="图片 2">
          <a:extLst>
            <a:ext uri="{FF2B5EF4-FFF2-40B4-BE49-F238E27FC236}">
              <a16:creationId xmlns:a16="http://schemas.microsoft.com/office/drawing/2014/main" id="{F6771B1F-CA0B-4A07-BD91-471849F55CB4}"/>
            </a:ext>
          </a:extLst>
        </xdr:cNvPr>
        <xdr:cNvPicPr>
          <a:picLocks noChangeAspect="1"/>
        </xdr:cNvPicPr>
      </xdr:nvPicPr>
      <xdr:blipFill>
        <a:blip xmlns:r="http://schemas.openxmlformats.org/officeDocument/2006/relationships" r:embed="rId2"/>
        <a:stretch>
          <a:fillRect/>
        </a:stretch>
      </xdr:blipFill>
      <xdr:spPr>
        <a:xfrm>
          <a:off x="4886325" y="6315075"/>
          <a:ext cx="3190476" cy="2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10</xdr:col>
      <xdr:colOff>551096</xdr:colOff>
      <xdr:row>93</xdr:row>
      <xdr:rowOff>104076</xdr:rowOff>
    </xdr:to>
    <xdr:pic>
      <xdr:nvPicPr>
        <xdr:cNvPr id="2" name="图片 1">
          <a:extLst>
            <a:ext uri="{FF2B5EF4-FFF2-40B4-BE49-F238E27FC236}">
              <a16:creationId xmlns:a16="http://schemas.microsoft.com/office/drawing/2014/main" id="{2FA1B12E-53BC-489E-A85D-DB2EF72446C7}"/>
            </a:ext>
          </a:extLst>
        </xdr:cNvPr>
        <xdr:cNvPicPr>
          <a:picLocks noChangeAspect="1"/>
        </xdr:cNvPicPr>
      </xdr:nvPicPr>
      <xdr:blipFill>
        <a:blip xmlns:r="http://schemas.openxmlformats.org/officeDocument/2006/relationships" r:embed="rId1"/>
        <a:stretch>
          <a:fillRect/>
        </a:stretch>
      </xdr:blipFill>
      <xdr:spPr>
        <a:xfrm>
          <a:off x="0" y="7772400"/>
          <a:ext cx="10828571" cy="5590476"/>
        </a:xfrm>
        <a:prstGeom prst="rect">
          <a:avLst/>
        </a:prstGeom>
      </xdr:spPr>
    </xdr:pic>
    <xdr:clientData/>
  </xdr:twoCellAnchor>
  <xdr:twoCellAnchor editAs="oneCell">
    <xdr:from>
      <xdr:col>0</xdr:col>
      <xdr:colOff>0</xdr:colOff>
      <xdr:row>94</xdr:row>
      <xdr:rowOff>0</xdr:rowOff>
    </xdr:from>
    <xdr:to>
      <xdr:col>10</xdr:col>
      <xdr:colOff>455858</xdr:colOff>
      <xdr:row>129</xdr:row>
      <xdr:rowOff>75524</xdr:rowOff>
    </xdr:to>
    <xdr:pic>
      <xdr:nvPicPr>
        <xdr:cNvPr id="3" name="图片 2">
          <a:extLst>
            <a:ext uri="{FF2B5EF4-FFF2-40B4-BE49-F238E27FC236}">
              <a16:creationId xmlns:a16="http://schemas.microsoft.com/office/drawing/2014/main" id="{7C7DAB23-DF9B-4843-8C71-9D459B4DB697}"/>
            </a:ext>
          </a:extLst>
        </xdr:cNvPr>
        <xdr:cNvPicPr>
          <a:picLocks noChangeAspect="1"/>
        </xdr:cNvPicPr>
      </xdr:nvPicPr>
      <xdr:blipFill>
        <a:blip xmlns:r="http://schemas.openxmlformats.org/officeDocument/2006/relationships" r:embed="rId2"/>
        <a:stretch>
          <a:fillRect/>
        </a:stretch>
      </xdr:blipFill>
      <xdr:spPr>
        <a:xfrm>
          <a:off x="0" y="13411200"/>
          <a:ext cx="10733333" cy="5409524"/>
        </a:xfrm>
        <a:prstGeom prst="rect">
          <a:avLst/>
        </a:prstGeom>
      </xdr:spPr>
    </xdr:pic>
    <xdr:clientData/>
  </xdr:twoCellAnchor>
  <xdr:twoCellAnchor>
    <xdr:from>
      <xdr:col>3</xdr:col>
      <xdr:colOff>457200</xdr:colOff>
      <xdr:row>74</xdr:row>
      <xdr:rowOff>95250</xdr:rowOff>
    </xdr:from>
    <xdr:to>
      <xdr:col>5</xdr:col>
      <xdr:colOff>390525</xdr:colOff>
      <xdr:row>77</xdr:row>
      <xdr:rowOff>9525</xdr:rowOff>
    </xdr:to>
    <xdr:sp macro="" textlink="">
      <xdr:nvSpPr>
        <xdr:cNvPr id="4" name="矩形 3">
          <a:extLst>
            <a:ext uri="{FF2B5EF4-FFF2-40B4-BE49-F238E27FC236}">
              <a16:creationId xmlns:a16="http://schemas.microsoft.com/office/drawing/2014/main" id="{562332EA-A950-5820-E7AD-79FB0A8D208C}"/>
            </a:ext>
          </a:extLst>
        </xdr:cNvPr>
        <xdr:cNvSpPr/>
      </xdr:nvSpPr>
      <xdr:spPr>
        <a:xfrm>
          <a:off x="5619750" y="11372850"/>
          <a:ext cx="1285875" cy="371475"/>
        </a:xfrm>
        <a:prstGeom prst="rect">
          <a:avLst/>
        </a:prstGeom>
        <a:noFill/>
        <a:ln>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5</xdr:col>
      <xdr:colOff>523875</xdr:colOff>
      <xdr:row>69</xdr:row>
      <xdr:rowOff>0</xdr:rowOff>
    </xdr:from>
    <xdr:to>
      <xdr:col>7</xdr:col>
      <xdr:colOff>104775</xdr:colOff>
      <xdr:row>71</xdr:row>
      <xdr:rowOff>66675</xdr:rowOff>
    </xdr:to>
    <xdr:sp macro="" textlink="">
      <xdr:nvSpPr>
        <xdr:cNvPr id="5" name="矩形 4">
          <a:extLst>
            <a:ext uri="{FF2B5EF4-FFF2-40B4-BE49-F238E27FC236}">
              <a16:creationId xmlns:a16="http://schemas.microsoft.com/office/drawing/2014/main" id="{ABE19E87-61CF-499A-89D0-1DAB5901620A}"/>
            </a:ext>
          </a:extLst>
        </xdr:cNvPr>
        <xdr:cNvSpPr/>
      </xdr:nvSpPr>
      <xdr:spPr>
        <a:xfrm>
          <a:off x="7038975" y="10515600"/>
          <a:ext cx="1285875" cy="371475"/>
        </a:xfrm>
        <a:prstGeom prst="rect">
          <a:avLst/>
        </a:prstGeom>
        <a:noFill/>
        <a:ln>
          <a:solidFill>
            <a:schemeClr val="tx1">
              <a:lumMod val="85000"/>
              <a:lumOff val="1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kern="1200"/>
        </a:p>
      </xdr:txBody>
    </xdr:sp>
    <xdr:clientData/>
  </xdr:twoCellAnchor>
  <xdr:twoCellAnchor>
    <xdr:from>
      <xdr:col>3</xdr:col>
      <xdr:colOff>247650</xdr:colOff>
      <xdr:row>71</xdr:row>
      <xdr:rowOff>104775</xdr:rowOff>
    </xdr:from>
    <xdr:to>
      <xdr:col>3</xdr:col>
      <xdr:colOff>600075</xdr:colOff>
      <xdr:row>74</xdr:row>
      <xdr:rowOff>0</xdr:rowOff>
    </xdr:to>
    <xdr:sp macro="" textlink="">
      <xdr:nvSpPr>
        <xdr:cNvPr id="6" name="星形: 五角 5">
          <a:extLst>
            <a:ext uri="{FF2B5EF4-FFF2-40B4-BE49-F238E27FC236}">
              <a16:creationId xmlns:a16="http://schemas.microsoft.com/office/drawing/2014/main" id="{FF86189C-2C14-7F4E-4D82-4E786B0FEA93}"/>
            </a:ext>
          </a:extLst>
        </xdr:cNvPr>
        <xdr:cNvSpPr/>
      </xdr:nvSpPr>
      <xdr:spPr>
        <a:xfrm>
          <a:off x="5410200" y="10925175"/>
          <a:ext cx="352425" cy="352425"/>
        </a:xfrm>
        <a:prstGeom prst="star5">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zh-CN" altLang="en-US" sz="1100" kern="1200"/>
        </a:p>
      </xdr:txBody>
    </xdr:sp>
    <xdr:clientData/>
  </xdr:twoCellAnchor>
  <xdr:twoCellAnchor editAs="oneCell">
    <xdr:from>
      <xdr:col>2</xdr:col>
      <xdr:colOff>39857</xdr:colOff>
      <xdr:row>130</xdr:row>
      <xdr:rowOff>38100</xdr:rowOff>
    </xdr:from>
    <xdr:to>
      <xdr:col>6</xdr:col>
      <xdr:colOff>619125</xdr:colOff>
      <xdr:row>149</xdr:row>
      <xdr:rowOff>57150</xdr:rowOff>
    </xdr:to>
    <xdr:pic>
      <xdr:nvPicPr>
        <xdr:cNvPr id="8" name="图片 7">
          <a:extLst>
            <a:ext uri="{FF2B5EF4-FFF2-40B4-BE49-F238E27FC236}">
              <a16:creationId xmlns:a16="http://schemas.microsoft.com/office/drawing/2014/main" id="{6BE98466-D665-5C11-2FD3-BB5673EA333D}"/>
            </a:ext>
          </a:extLst>
        </xdr:cNvPr>
        <xdr:cNvPicPr>
          <a:picLocks noChangeAspect="1"/>
        </xdr:cNvPicPr>
      </xdr:nvPicPr>
      <xdr:blipFill>
        <a:blip xmlns:r="http://schemas.openxmlformats.org/officeDocument/2006/relationships" r:embed="rId3"/>
        <a:stretch>
          <a:fillRect/>
        </a:stretch>
      </xdr:blipFill>
      <xdr:spPr>
        <a:xfrm>
          <a:off x="4526132" y="19850100"/>
          <a:ext cx="3541543" cy="2914650"/>
        </a:xfrm>
        <a:prstGeom prst="rect">
          <a:avLst/>
        </a:prstGeom>
      </xdr:spPr>
    </xdr:pic>
    <xdr:clientData/>
  </xdr:twoCellAnchor>
  <xdr:twoCellAnchor editAs="oneCell">
    <xdr:from>
      <xdr:col>7</xdr:col>
      <xdr:colOff>161926</xdr:colOff>
      <xdr:row>130</xdr:row>
      <xdr:rowOff>42433</xdr:rowOff>
    </xdr:from>
    <xdr:to>
      <xdr:col>11</xdr:col>
      <xdr:colOff>1485268</xdr:colOff>
      <xdr:row>153</xdr:row>
      <xdr:rowOff>45772</xdr:rowOff>
    </xdr:to>
    <xdr:pic>
      <xdr:nvPicPr>
        <xdr:cNvPr id="10" name="图片 9">
          <a:extLst>
            <a:ext uri="{FF2B5EF4-FFF2-40B4-BE49-F238E27FC236}">
              <a16:creationId xmlns:a16="http://schemas.microsoft.com/office/drawing/2014/main" id="{02421201-6CF2-1F4F-3752-15CBEB8E00F2}"/>
            </a:ext>
          </a:extLst>
        </xdr:cNvPr>
        <xdr:cNvPicPr>
          <a:picLocks noChangeAspect="1"/>
        </xdr:cNvPicPr>
      </xdr:nvPicPr>
      <xdr:blipFill>
        <a:blip xmlns:r="http://schemas.openxmlformats.org/officeDocument/2006/relationships" r:embed="rId4"/>
        <a:stretch>
          <a:fillRect/>
        </a:stretch>
      </xdr:blipFill>
      <xdr:spPr>
        <a:xfrm>
          <a:off x="8382001" y="19854433"/>
          <a:ext cx="4066542" cy="3508539"/>
        </a:xfrm>
        <a:prstGeom prst="rect">
          <a:avLst/>
        </a:prstGeom>
      </xdr:spPr>
    </xdr:pic>
    <xdr:clientData/>
  </xdr:twoCellAnchor>
  <xdr:twoCellAnchor editAs="oneCell">
    <xdr:from>
      <xdr:col>0</xdr:col>
      <xdr:colOff>0</xdr:colOff>
      <xdr:row>129</xdr:row>
      <xdr:rowOff>133349</xdr:rowOff>
    </xdr:from>
    <xdr:to>
      <xdr:col>1</xdr:col>
      <xdr:colOff>1266861</xdr:colOff>
      <xdr:row>152</xdr:row>
      <xdr:rowOff>56588</xdr:rowOff>
    </xdr:to>
    <xdr:pic>
      <xdr:nvPicPr>
        <xdr:cNvPr id="11" name="图片 10">
          <a:extLst>
            <a:ext uri="{FF2B5EF4-FFF2-40B4-BE49-F238E27FC236}">
              <a16:creationId xmlns:a16="http://schemas.microsoft.com/office/drawing/2014/main" id="{C8056C7B-15E3-4776-B3B4-B8F6FD2A8D5E}"/>
            </a:ext>
          </a:extLst>
        </xdr:cNvPr>
        <xdr:cNvPicPr>
          <a:picLocks noChangeAspect="1"/>
        </xdr:cNvPicPr>
      </xdr:nvPicPr>
      <xdr:blipFill>
        <a:blip xmlns:r="http://schemas.openxmlformats.org/officeDocument/2006/relationships" r:embed="rId5"/>
        <a:stretch>
          <a:fillRect/>
        </a:stretch>
      </xdr:blipFill>
      <xdr:spPr>
        <a:xfrm>
          <a:off x="0" y="19792949"/>
          <a:ext cx="4229136" cy="34284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303276</xdr:colOff>
      <xdr:row>27</xdr:row>
      <xdr:rowOff>88219</xdr:rowOff>
    </xdr:to>
    <xdr:pic>
      <xdr:nvPicPr>
        <xdr:cNvPr id="2" name="图片 1">
          <a:extLst>
            <a:ext uri="{FF2B5EF4-FFF2-40B4-BE49-F238E27FC236}">
              <a16:creationId xmlns:a16="http://schemas.microsoft.com/office/drawing/2014/main" id="{961C3F13-4BDD-4C63-B30A-33F28BCEC3A6}"/>
            </a:ext>
          </a:extLst>
        </xdr:cNvPr>
        <xdr:cNvPicPr>
          <a:picLocks noChangeAspect="1"/>
        </xdr:cNvPicPr>
      </xdr:nvPicPr>
      <xdr:blipFill>
        <a:blip xmlns:r="http://schemas.openxmlformats.org/officeDocument/2006/relationships" r:embed="rId1"/>
        <a:stretch>
          <a:fillRect/>
        </a:stretch>
      </xdr:blipFill>
      <xdr:spPr>
        <a:xfrm>
          <a:off x="0" y="0"/>
          <a:ext cx="9218676" cy="4717369"/>
        </a:xfrm>
        <a:prstGeom prst="rect">
          <a:avLst/>
        </a:prstGeom>
      </xdr:spPr>
    </xdr:pic>
    <xdr:clientData/>
  </xdr:twoCellAnchor>
  <xdr:twoCellAnchor editAs="oneCell">
    <xdr:from>
      <xdr:col>0</xdr:col>
      <xdr:colOff>0</xdr:colOff>
      <xdr:row>27</xdr:row>
      <xdr:rowOff>79727</xdr:rowOff>
    </xdr:from>
    <xdr:to>
      <xdr:col>13</xdr:col>
      <xdr:colOff>333375</xdr:colOff>
      <xdr:row>52</xdr:row>
      <xdr:rowOff>85487</xdr:rowOff>
    </xdr:to>
    <xdr:pic>
      <xdr:nvPicPr>
        <xdr:cNvPr id="3" name="图片 2">
          <a:extLst>
            <a:ext uri="{FF2B5EF4-FFF2-40B4-BE49-F238E27FC236}">
              <a16:creationId xmlns:a16="http://schemas.microsoft.com/office/drawing/2014/main" id="{90888AB7-42E1-46F8-B19F-0DE92DD1C2AB}"/>
            </a:ext>
          </a:extLst>
        </xdr:cNvPr>
        <xdr:cNvPicPr>
          <a:picLocks noChangeAspect="1"/>
        </xdr:cNvPicPr>
      </xdr:nvPicPr>
      <xdr:blipFill>
        <a:blip xmlns:r="http://schemas.openxmlformats.org/officeDocument/2006/relationships" r:embed="rId2"/>
        <a:stretch>
          <a:fillRect/>
        </a:stretch>
      </xdr:blipFill>
      <xdr:spPr>
        <a:xfrm>
          <a:off x="0" y="4708877"/>
          <a:ext cx="9248775" cy="4292010"/>
        </a:xfrm>
        <a:prstGeom prst="rect">
          <a:avLst/>
        </a:prstGeom>
      </xdr:spPr>
    </xdr:pic>
    <xdr:clientData/>
  </xdr:twoCellAnchor>
  <xdr:twoCellAnchor editAs="oneCell">
    <xdr:from>
      <xdr:col>0</xdr:col>
      <xdr:colOff>0</xdr:colOff>
      <xdr:row>52</xdr:row>
      <xdr:rowOff>27874</xdr:rowOff>
    </xdr:from>
    <xdr:to>
      <xdr:col>13</xdr:col>
      <xdr:colOff>354219</xdr:colOff>
      <xdr:row>79</xdr:row>
      <xdr:rowOff>19050</xdr:rowOff>
    </xdr:to>
    <xdr:pic>
      <xdr:nvPicPr>
        <xdr:cNvPr id="4" name="图片 3">
          <a:extLst>
            <a:ext uri="{FF2B5EF4-FFF2-40B4-BE49-F238E27FC236}">
              <a16:creationId xmlns:a16="http://schemas.microsoft.com/office/drawing/2014/main" id="{D97A70D8-30D3-43E2-B4D1-72B79B3FF05D}"/>
            </a:ext>
          </a:extLst>
        </xdr:cNvPr>
        <xdr:cNvPicPr>
          <a:picLocks noChangeAspect="1"/>
        </xdr:cNvPicPr>
      </xdr:nvPicPr>
      <xdr:blipFill>
        <a:blip xmlns:r="http://schemas.openxmlformats.org/officeDocument/2006/relationships" r:embed="rId3"/>
        <a:stretch>
          <a:fillRect/>
        </a:stretch>
      </xdr:blipFill>
      <xdr:spPr>
        <a:xfrm>
          <a:off x="0" y="8943274"/>
          <a:ext cx="9269619" cy="46203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436955</xdr:colOff>
      <xdr:row>27</xdr:row>
      <xdr:rowOff>65778</xdr:rowOff>
    </xdr:to>
    <xdr:pic>
      <xdr:nvPicPr>
        <xdr:cNvPr id="2" name="图片 1">
          <a:extLst>
            <a:ext uri="{FF2B5EF4-FFF2-40B4-BE49-F238E27FC236}">
              <a16:creationId xmlns:a16="http://schemas.microsoft.com/office/drawing/2014/main" id="{5560F27C-218B-4C0F-8342-68E3039D9545}"/>
            </a:ext>
          </a:extLst>
        </xdr:cNvPr>
        <xdr:cNvPicPr>
          <a:picLocks noChangeAspect="1"/>
        </xdr:cNvPicPr>
      </xdr:nvPicPr>
      <xdr:blipFill>
        <a:blip xmlns:r="http://schemas.openxmlformats.org/officeDocument/2006/relationships" r:embed="rId1"/>
        <a:stretch>
          <a:fillRect/>
        </a:stretch>
      </xdr:blipFill>
      <xdr:spPr>
        <a:xfrm>
          <a:off x="0" y="0"/>
          <a:ext cx="7980755" cy="4694928"/>
        </a:xfrm>
        <a:prstGeom prst="rect">
          <a:avLst/>
        </a:prstGeom>
      </xdr:spPr>
    </xdr:pic>
    <xdr:clientData/>
  </xdr:twoCellAnchor>
  <xdr:twoCellAnchor editAs="oneCell">
    <xdr:from>
      <xdr:col>0</xdr:col>
      <xdr:colOff>0</xdr:colOff>
      <xdr:row>27</xdr:row>
      <xdr:rowOff>143046</xdr:rowOff>
    </xdr:from>
    <xdr:to>
      <xdr:col>11</xdr:col>
      <xdr:colOff>548837</xdr:colOff>
      <xdr:row>55</xdr:row>
      <xdr:rowOff>152400</xdr:rowOff>
    </xdr:to>
    <xdr:pic>
      <xdr:nvPicPr>
        <xdr:cNvPr id="3" name="图片 2">
          <a:extLst>
            <a:ext uri="{FF2B5EF4-FFF2-40B4-BE49-F238E27FC236}">
              <a16:creationId xmlns:a16="http://schemas.microsoft.com/office/drawing/2014/main" id="{1E219E45-3426-4919-8724-9F5449541F59}"/>
            </a:ext>
          </a:extLst>
        </xdr:cNvPr>
        <xdr:cNvPicPr>
          <a:picLocks noChangeAspect="1"/>
        </xdr:cNvPicPr>
      </xdr:nvPicPr>
      <xdr:blipFill>
        <a:blip xmlns:r="http://schemas.openxmlformats.org/officeDocument/2006/relationships" r:embed="rId2"/>
        <a:stretch>
          <a:fillRect/>
        </a:stretch>
      </xdr:blipFill>
      <xdr:spPr>
        <a:xfrm>
          <a:off x="0" y="4772196"/>
          <a:ext cx="8092637" cy="4809954"/>
        </a:xfrm>
        <a:prstGeom prst="rect">
          <a:avLst/>
        </a:prstGeom>
      </xdr:spPr>
    </xdr:pic>
    <xdr:clientData/>
  </xdr:twoCellAnchor>
  <xdr:twoCellAnchor editAs="oneCell">
    <xdr:from>
      <xdr:col>0</xdr:col>
      <xdr:colOff>0</xdr:colOff>
      <xdr:row>56</xdr:row>
      <xdr:rowOff>152400</xdr:rowOff>
    </xdr:from>
    <xdr:to>
      <xdr:col>11</xdr:col>
      <xdr:colOff>490681</xdr:colOff>
      <xdr:row>84</xdr:row>
      <xdr:rowOff>65781</xdr:rowOff>
    </xdr:to>
    <xdr:pic>
      <xdr:nvPicPr>
        <xdr:cNvPr id="4" name="图片 3">
          <a:extLst>
            <a:ext uri="{FF2B5EF4-FFF2-40B4-BE49-F238E27FC236}">
              <a16:creationId xmlns:a16="http://schemas.microsoft.com/office/drawing/2014/main" id="{D9A4062F-8197-4F9C-A0C8-82EA2028437D}"/>
            </a:ext>
          </a:extLst>
        </xdr:cNvPr>
        <xdr:cNvPicPr>
          <a:picLocks noChangeAspect="1"/>
        </xdr:cNvPicPr>
      </xdr:nvPicPr>
      <xdr:blipFill>
        <a:blip xmlns:r="http://schemas.openxmlformats.org/officeDocument/2006/relationships" r:embed="rId3"/>
        <a:stretch>
          <a:fillRect/>
        </a:stretch>
      </xdr:blipFill>
      <xdr:spPr>
        <a:xfrm>
          <a:off x="0" y="9753600"/>
          <a:ext cx="8034481" cy="47139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465202</xdr:colOff>
      <xdr:row>27</xdr:row>
      <xdr:rowOff>38072</xdr:rowOff>
    </xdr:to>
    <xdr:pic>
      <xdr:nvPicPr>
        <xdr:cNvPr id="2" name="图片 1">
          <a:extLst>
            <a:ext uri="{FF2B5EF4-FFF2-40B4-BE49-F238E27FC236}">
              <a16:creationId xmlns:a16="http://schemas.microsoft.com/office/drawing/2014/main" id="{661621E3-B4C3-4D89-B68D-D7AE8ED6303D}"/>
            </a:ext>
          </a:extLst>
        </xdr:cNvPr>
        <xdr:cNvPicPr>
          <a:picLocks noChangeAspect="1"/>
        </xdr:cNvPicPr>
      </xdr:nvPicPr>
      <xdr:blipFill>
        <a:blip xmlns:r="http://schemas.openxmlformats.org/officeDocument/2006/relationships" r:embed="rId1"/>
        <a:stretch>
          <a:fillRect/>
        </a:stretch>
      </xdr:blipFill>
      <xdr:spPr>
        <a:xfrm>
          <a:off x="0" y="0"/>
          <a:ext cx="10066402" cy="4667222"/>
        </a:xfrm>
        <a:prstGeom prst="rect">
          <a:avLst/>
        </a:prstGeom>
      </xdr:spPr>
    </xdr:pic>
    <xdr:clientData/>
  </xdr:twoCellAnchor>
  <xdr:twoCellAnchor editAs="oneCell">
    <xdr:from>
      <xdr:col>0</xdr:col>
      <xdr:colOff>0</xdr:colOff>
      <xdr:row>28</xdr:row>
      <xdr:rowOff>439</xdr:rowOff>
    </xdr:from>
    <xdr:to>
      <xdr:col>14</xdr:col>
      <xdr:colOff>418887</xdr:colOff>
      <xdr:row>54</xdr:row>
      <xdr:rowOff>66675</xdr:rowOff>
    </xdr:to>
    <xdr:pic>
      <xdr:nvPicPr>
        <xdr:cNvPr id="3" name="图片 2">
          <a:extLst>
            <a:ext uri="{FF2B5EF4-FFF2-40B4-BE49-F238E27FC236}">
              <a16:creationId xmlns:a16="http://schemas.microsoft.com/office/drawing/2014/main" id="{3292C119-EB8D-4AAA-848A-043DF6F1DF79}"/>
            </a:ext>
          </a:extLst>
        </xdr:cNvPr>
        <xdr:cNvPicPr>
          <a:picLocks noChangeAspect="1"/>
        </xdr:cNvPicPr>
      </xdr:nvPicPr>
      <xdr:blipFill>
        <a:blip xmlns:r="http://schemas.openxmlformats.org/officeDocument/2006/relationships" r:embed="rId2"/>
        <a:stretch>
          <a:fillRect/>
        </a:stretch>
      </xdr:blipFill>
      <xdr:spPr>
        <a:xfrm>
          <a:off x="0" y="4801039"/>
          <a:ext cx="10020087" cy="4523936"/>
        </a:xfrm>
        <a:prstGeom prst="rect">
          <a:avLst/>
        </a:prstGeom>
      </xdr:spPr>
    </xdr:pic>
    <xdr:clientData/>
  </xdr:twoCellAnchor>
  <xdr:twoCellAnchor editAs="oneCell">
    <xdr:from>
      <xdr:col>0</xdr:col>
      <xdr:colOff>0</xdr:colOff>
      <xdr:row>54</xdr:row>
      <xdr:rowOff>82719</xdr:rowOff>
    </xdr:from>
    <xdr:to>
      <xdr:col>14</xdr:col>
      <xdr:colOff>405716</xdr:colOff>
      <xdr:row>82</xdr:row>
      <xdr:rowOff>66675</xdr:rowOff>
    </xdr:to>
    <xdr:pic>
      <xdr:nvPicPr>
        <xdr:cNvPr id="4" name="图片 3">
          <a:extLst>
            <a:ext uri="{FF2B5EF4-FFF2-40B4-BE49-F238E27FC236}">
              <a16:creationId xmlns:a16="http://schemas.microsoft.com/office/drawing/2014/main" id="{54458694-B587-4D58-8FF7-B8BB4B02C2FF}"/>
            </a:ext>
          </a:extLst>
        </xdr:cNvPr>
        <xdr:cNvPicPr>
          <a:picLocks noChangeAspect="1"/>
        </xdr:cNvPicPr>
      </xdr:nvPicPr>
      <xdr:blipFill>
        <a:blip xmlns:r="http://schemas.openxmlformats.org/officeDocument/2006/relationships" r:embed="rId3"/>
        <a:stretch>
          <a:fillRect/>
        </a:stretch>
      </xdr:blipFill>
      <xdr:spPr>
        <a:xfrm>
          <a:off x="0" y="9341019"/>
          <a:ext cx="10006916" cy="47845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4\2024-1-0045&#21271;&#20140;&#24066;&#36890;&#24030;&#21306;&#26223;&#30427;&#21335;&#20108;&#34903;&#30002;%2012%20&#21495;%2010%20&#21495;&#31561;%2011%20&#24162;&#27004;&#21450;&#25151;&#23665;&#21306;&#22478;&#20851;&#34903;&#36947;&#29141;&#19996;&#36335;%2011%20&#21495;&#24037;&#19994;&#29992;&#25151;&#25151;&#22320;&#20135;&#25269;&#25276;&#20215;&#20540;&#35780;&#20272;\F01&#20449;&#36798;&#36890;&#24030;\&#32435;&#29305;-&#24352;&#27901;-es-&#23828;&#38196;20240306-152056.xlsx" TargetMode="External"/><Relationship Id="rId1" Type="http://schemas.openxmlformats.org/officeDocument/2006/relationships/externalLinkPath" Target="file:///D:\2024\2024-1-0045&#21271;&#20140;&#24066;&#36890;&#24030;&#21306;&#26223;&#30427;&#21335;&#20108;&#34903;&#30002;%2012%20&#21495;%2010%20&#21495;&#31561;%2011%20&#24162;&#27004;&#21450;&#25151;&#23665;&#21306;&#22478;&#20851;&#34903;&#36947;&#29141;&#19996;&#36335;%2011%20&#21495;&#24037;&#19994;&#29992;&#25151;&#25151;&#22320;&#20135;&#25269;&#25276;&#20215;&#20540;&#35780;&#20272;\F01&#20449;&#36798;&#36890;&#24030;\&#32435;&#29305;-&#24352;&#27901;-es-&#23828;&#38196;20240306-1520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1"/>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汇总）"/>
      <sheetName val="1、2厂房收益法"/>
      <sheetName val="收益法 (元)"/>
      <sheetName val="收益法-酒店模型"/>
      <sheetName val="比较法-商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3、4宿舍收益法"/>
      <sheetName val="5-9实验楼收益法"/>
      <sheetName val="10、11办公收益法"/>
      <sheetName val="地下车库收益法"/>
      <sheetName val="土地案例"/>
      <sheetName val="土地比较法-工业"/>
      <sheetName val="租金比较法-住宅"/>
      <sheetName val="租金比较法-工业"/>
      <sheetName val="租金比较法-办公"/>
      <sheetName val="工业出租案例"/>
      <sheetName val="住宅出租案例"/>
      <sheetName val="办公出租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1、2厂房收益法</v>
          </cell>
        </row>
        <row r="20">
          <cell r="A20" t="str">
            <v>食堂</v>
          </cell>
          <cell r="B20" t="str">
            <v>3、4宿舍收益法</v>
          </cell>
        </row>
        <row r="21">
          <cell r="A21" t="str">
            <v>车库</v>
          </cell>
          <cell r="B21" t="str">
            <v>5-9实验楼收益法</v>
          </cell>
        </row>
        <row r="22">
          <cell r="A22" t="str">
            <v>戊类库房</v>
          </cell>
          <cell r="B22" t="str">
            <v>10、11办公收益法</v>
          </cell>
        </row>
        <row r="23">
          <cell r="A23" t="str">
            <v>燃品库房</v>
          </cell>
          <cell r="B23" t="str">
            <v>地下车库收益法</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工业-1、2厂房</v>
          </cell>
        </row>
        <row r="20">
          <cell r="C20" t="str">
            <v>住宅-3、4宿舍</v>
          </cell>
        </row>
        <row r="21">
          <cell r="C21" t="str">
            <v>办公-5-9实验楼</v>
          </cell>
        </row>
        <row r="22">
          <cell r="C22" t="str">
            <v>办公-10、11办公楼</v>
          </cell>
        </row>
        <row r="23">
          <cell r="C23"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2"/>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70">
          <cell r="B70" t="str">
            <v>用途</v>
          </cell>
          <cell r="C70" t="str">
            <v>M4工业研发用地</v>
          </cell>
          <cell r="D70" t="str">
            <v>M1一类工业用地</v>
          </cell>
        </row>
        <row r="97">
          <cell r="B97" t="str">
            <v>毗邻道路的类型与等级</v>
          </cell>
        </row>
        <row r="99">
          <cell r="B99" t="str">
            <v>土地级别</v>
          </cell>
        </row>
        <row r="110">
          <cell r="B110" t="str">
            <v>宗地形状</v>
          </cell>
          <cell r="C110" t="str">
            <v>较规则</v>
          </cell>
        </row>
        <row r="112">
          <cell r="B112" t="str">
            <v>宗地开发程度</v>
          </cell>
          <cell r="C112" t="str">
            <v>七通</v>
          </cell>
          <cell r="D112" t="str">
            <v>六通</v>
          </cell>
          <cell r="E112" t="str">
            <v>五通</v>
          </cell>
        </row>
        <row r="114">
          <cell r="B114" t="str">
            <v>工程地质条件</v>
          </cell>
          <cell r="C114" t="str">
            <v>较好</v>
          </cell>
        </row>
      </sheetData>
      <sheetData sheetId="48">
        <row r="61">
          <cell r="A61" t="str">
            <v>交易情况</v>
          </cell>
          <cell r="C61" t="str">
            <v>正常</v>
          </cell>
          <cell r="D61" t="str">
            <v>挂牌</v>
          </cell>
        </row>
        <row r="63">
          <cell r="B63" t="str">
            <v>用途</v>
          </cell>
          <cell r="C63" t="str">
            <v>住宅</v>
          </cell>
        </row>
        <row r="86">
          <cell r="B86" t="str">
            <v>楼层-1</v>
          </cell>
        </row>
        <row r="88">
          <cell r="B88" t="str">
            <v>朝向</v>
          </cell>
        </row>
        <row r="100">
          <cell r="B100" t="str">
            <v>建筑类型</v>
          </cell>
          <cell r="C100" t="str">
            <v>平层</v>
          </cell>
        </row>
        <row r="105">
          <cell r="B105" t="str">
            <v>建筑结构</v>
          </cell>
          <cell r="C105" t="str">
            <v>砖混</v>
          </cell>
        </row>
        <row r="107">
          <cell r="B107" t="str">
            <v>建筑品质</v>
          </cell>
          <cell r="C107" t="str">
            <v>中档</v>
          </cell>
        </row>
        <row r="109">
          <cell r="B109" t="str">
            <v>公共部分装修</v>
          </cell>
          <cell r="C109" t="str">
            <v>普通装修</v>
          </cell>
        </row>
        <row r="114">
          <cell r="B114" t="str">
            <v>物业管理</v>
          </cell>
          <cell r="C114" t="str">
            <v>专业</v>
          </cell>
        </row>
        <row r="116">
          <cell r="B116" t="str">
            <v>市政基础设施</v>
          </cell>
          <cell r="C116" t="str">
            <v>七通</v>
          </cell>
          <cell r="D116" t="str">
            <v>六通</v>
          </cell>
          <cell r="E116" t="str">
            <v>五通</v>
          </cell>
        </row>
        <row r="118">
          <cell r="B118" t="str">
            <v>房型</v>
          </cell>
          <cell r="C118" t="str">
            <v>平层</v>
          </cell>
        </row>
        <row r="122">
          <cell r="B122" t="str">
            <v>内部装修</v>
          </cell>
          <cell r="C122" t="str">
            <v>普通装修</v>
          </cell>
        </row>
      </sheetData>
      <sheetData sheetId="49">
        <row r="55">
          <cell r="A55" t="str">
            <v>交易情况</v>
          </cell>
          <cell r="C55" t="str">
            <v>正常</v>
          </cell>
          <cell r="D55" t="str">
            <v>挂牌</v>
          </cell>
        </row>
        <row r="57">
          <cell r="B57" t="str">
            <v>用途</v>
          </cell>
          <cell r="C57" t="str">
            <v>工业</v>
          </cell>
        </row>
        <row r="88">
          <cell r="B88" t="str">
            <v>建筑类型</v>
          </cell>
          <cell r="C88" t="str">
            <v>标准厂房</v>
          </cell>
        </row>
        <row r="93">
          <cell r="B93" t="str">
            <v>建筑结构</v>
          </cell>
          <cell r="C93" t="str">
            <v>钢</v>
          </cell>
        </row>
        <row r="95">
          <cell r="B95" t="str">
            <v>公共部分装修</v>
          </cell>
          <cell r="C95" t="str">
            <v>普通装修</v>
          </cell>
        </row>
        <row r="100">
          <cell r="B100" t="str">
            <v>物业管理</v>
          </cell>
          <cell r="C100" t="str">
            <v>普通物业</v>
          </cell>
        </row>
        <row r="102">
          <cell r="B102" t="str">
            <v>市政基础设施</v>
          </cell>
          <cell r="C102" t="str">
            <v>五通</v>
          </cell>
        </row>
        <row r="104">
          <cell r="B104" t="str">
            <v>内部装修</v>
          </cell>
          <cell r="C104" t="str">
            <v>普通装修</v>
          </cell>
        </row>
      </sheetData>
      <sheetData sheetId="50">
        <row r="62">
          <cell r="A62" t="str">
            <v>交易情况</v>
          </cell>
          <cell r="C62" t="str">
            <v>正常</v>
          </cell>
          <cell r="D62" t="str">
            <v>挂牌</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标准办公</v>
          </cell>
        </row>
        <row r="106">
          <cell r="B106" t="str">
            <v>建筑结构</v>
          </cell>
          <cell r="C106" t="str">
            <v>钢混</v>
          </cell>
        </row>
        <row r="108">
          <cell r="B108" t="str">
            <v>公共部分装修</v>
          </cell>
          <cell r="C108" t="str">
            <v>精装修</v>
          </cell>
        </row>
        <row r="113">
          <cell r="B113" t="str">
            <v>写字楼等级</v>
          </cell>
          <cell r="C113" t="str">
            <v>甲级</v>
          </cell>
          <cell r="D113" t="str">
            <v>乙级</v>
          </cell>
        </row>
        <row r="115">
          <cell r="B115" t="str">
            <v>物业管理</v>
          </cell>
          <cell r="C115" t="str">
            <v>专业</v>
          </cell>
          <cell r="D115" t="str">
            <v>普通</v>
          </cell>
        </row>
        <row r="117">
          <cell r="B117" t="str">
            <v>市政基础设施</v>
          </cell>
          <cell r="C117" t="str">
            <v>五通</v>
          </cell>
        </row>
        <row r="119">
          <cell r="B119" t="str">
            <v>层高</v>
          </cell>
          <cell r="C119" t="str">
            <v>标准</v>
          </cell>
        </row>
        <row r="123">
          <cell r="B123" t="str">
            <v>内部装修</v>
          </cell>
          <cell r="C123" t="str">
            <v>精装修</v>
          </cell>
          <cell r="D123" t="str">
            <v>普通装修</v>
          </cell>
        </row>
      </sheetData>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受贵公司委托，我公司对北京市房地产抵押价值进行了预评估。</v>
      </c>
    </row>
    <row r="7" spans="1:2">
      <c r="A7" s="1117" t="s">
        <v>566</v>
      </c>
      <c r="B7" s="1118" t="str">
        <f>'预评函-1'!A7</f>
        <v>估价对象为北京市房地产，为所有。根据《国有土地使用证》[]，估价对象（分摊）出让国有建设用地使用权面积为55606.63平方米，建筑面积为83292.24平方米。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估价对象为北京市房地产,为开发建设的，该项目尚在开发建设中。根据《国有土地使用证》[]，估价对象（分摊）出让国有建设用地使用权面积为55606.63平方米，规划建筑面积为83292.24平方米。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2024年6月20日（评估专业人员实地查勘之日）</v>
      </c>
    </row>
    <row r="13" spans="1:2">
      <c r="A13" s="1117" t="s">
        <v>529</v>
      </c>
      <c r="B13" s="1118"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本次评估采用的主估价方法为成本法和收益法。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83292.240000000005</v>
      </c>
    </row>
    <row r="44" spans="1:2">
      <c r="A44" s="1117" t="s">
        <v>575</v>
      </c>
      <c r="B44" s="1118" t="str">
        <f>'预评函-3'!C2</f>
        <v>(分摊)土地面积</v>
      </c>
    </row>
    <row r="45" spans="1:2">
      <c r="A45" s="1117" t="s">
        <v>547</v>
      </c>
      <c r="B45" s="1118">
        <f>'预评函-3'!C4</f>
        <v>55606.63</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2492</v>
      </c>
      <c r="B1" s="2753"/>
      <c r="C1" s="2753"/>
      <c r="D1" s="2753"/>
      <c r="E1" s="2753"/>
      <c r="F1" s="2754"/>
      <c r="I1" s="3131" t="s">
        <v>2585</v>
      </c>
      <c r="J1" s="2779"/>
      <c r="K1" s="2779"/>
      <c r="L1" s="2779"/>
      <c r="M1" s="2779"/>
      <c r="N1" s="2964"/>
      <c r="O1" s="2964"/>
      <c r="P1" s="2964"/>
      <c r="Q1" s="2964"/>
      <c r="R1" s="2964"/>
    </row>
    <row r="2" spans="1:18">
      <c r="A2" s="2756"/>
      <c r="B2" s="2757"/>
      <c r="C2" s="2757"/>
      <c r="D2" s="2757"/>
      <c r="E2" s="2757"/>
      <c r="F2" s="2758"/>
      <c r="I2" s="3257" t="s">
        <v>2572</v>
      </c>
      <c r="J2" s="3257"/>
      <c r="K2" s="3257"/>
      <c r="L2" s="3257"/>
      <c r="M2" s="3257"/>
      <c r="N2" s="3257"/>
      <c r="O2" s="3257"/>
      <c r="P2" s="3257"/>
      <c r="Q2" s="3257"/>
      <c r="R2" s="3257"/>
    </row>
    <row r="3" spans="1:18">
      <c r="A3" s="2759" t="s">
        <v>2493</v>
      </c>
      <c r="B3" s="2760">
        <f>项目基本情况!D3</f>
        <v>45463</v>
      </c>
      <c r="C3" s="2762"/>
      <c r="D3" s="2762"/>
      <c r="E3" s="2762"/>
      <c r="F3" s="2758"/>
      <c r="I3" s="2774"/>
      <c r="J3" s="2774" t="s">
        <v>2576</v>
      </c>
      <c r="K3" s="2774" t="s">
        <v>2577</v>
      </c>
      <c r="L3" s="2774" t="s">
        <v>2578</v>
      </c>
      <c r="M3" s="2774" t="s">
        <v>2579</v>
      </c>
      <c r="N3" s="3132" t="s">
        <v>2580</v>
      </c>
      <c r="O3" s="3132" t="s">
        <v>2581</v>
      </c>
      <c r="P3" s="3132" t="s">
        <v>2582</v>
      </c>
      <c r="Q3" s="3132" t="s">
        <v>2583</v>
      </c>
      <c r="R3" s="3132" t="s">
        <v>2584</v>
      </c>
    </row>
    <row r="4" spans="1:18">
      <c r="A4" s="2759" t="s">
        <v>2494</v>
      </c>
      <c r="B4" s="2762" t="s">
        <v>2495</v>
      </c>
      <c r="C4" s="2762" t="s">
        <v>2496</v>
      </c>
      <c r="D4" s="2762" t="s">
        <v>2497</v>
      </c>
      <c r="E4" s="2762" t="s">
        <v>2498</v>
      </c>
      <c r="F4" s="2758"/>
      <c r="I4" s="2774" t="s">
        <v>2573</v>
      </c>
      <c r="J4" s="2774">
        <v>80</v>
      </c>
      <c r="K4" s="2774">
        <v>70</v>
      </c>
      <c r="L4" s="2774">
        <v>20</v>
      </c>
      <c r="M4" s="2774">
        <v>30</v>
      </c>
      <c r="N4" s="2762">
        <v>45</v>
      </c>
      <c r="O4" s="2762">
        <v>60</v>
      </c>
      <c r="P4" s="2762">
        <v>50</v>
      </c>
      <c r="Q4" s="2762">
        <v>20</v>
      </c>
      <c r="R4" s="2762">
        <v>375</v>
      </c>
    </row>
    <row r="5" spans="1:18">
      <c r="A5" s="2763">
        <v>40</v>
      </c>
      <c r="B5" s="2760">
        <v>46375</v>
      </c>
      <c r="C5" s="2762">
        <f>ROUNDDOWN(MIN((B5-B3)/365,A5),2)</f>
        <v>2.4900000000000002</v>
      </c>
      <c r="D5" s="2764">
        <f>IF(ISERROR(ROUND(POWER(1+E5,A5-C5)*(POWER(1+E5,C5)-1)/(POWER(1+E5,A5)-1),3)),0,ROUND(POWER(1+E5,A5-C5)*(POWER(1+E5,C5)-1)/(POWER(1+E5,A5)-1),4))</f>
        <v>0.11749999999999999</v>
      </c>
      <c r="E5" s="2765">
        <v>0.04</v>
      </c>
      <c r="F5" s="2758"/>
      <c r="I5" s="2774" t="s">
        <v>2574</v>
      </c>
      <c r="J5" s="2774">
        <v>70</v>
      </c>
      <c r="K5" s="2774">
        <v>60</v>
      </c>
      <c r="L5" s="2774">
        <v>15</v>
      </c>
      <c r="M5" s="2774">
        <v>25</v>
      </c>
      <c r="N5" s="2762">
        <v>40</v>
      </c>
      <c r="O5" s="2762">
        <v>50</v>
      </c>
      <c r="P5" s="2762">
        <v>40</v>
      </c>
      <c r="Q5" s="2762">
        <v>15</v>
      </c>
      <c r="R5" s="2762">
        <v>315</v>
      </c>
    </row>
    <row r="6" spans="1:18">
      <c r="A6" s="2763">
        <v>50</v>
      </c>
      <c r="B6" s="2760">
        <v>50028</v>
      </c>
      <c r="C6" s="2762">
        <f>ROUNDDOWN(MIN((B6-B3)/365,A6),2)</f>
        <v>12.5</v>
      </c>
      <c r="D6" s="2764">
        <f>IF(ISERROR(ROUND(POWER(1+E6,A6-C6)*(POWER(1+E6,C6)-1)/(POWER(1+E6,A6)-1),3)),0,ROUND(POWER(1+E6,A6-C6)*(POWER(1+E6,C6)-1)/(POWER(1+E6,A6)-1),4))</f>
        <v>0.45100000000000001</v>
      </c>
      <c r="E6" s="2765">
        <v>0.04</v>
      </c>
      <c r="F6" s="2758"/>
      <c r="I6" s="2774" t="s">
        <v>2575</v>
      </c>
      <c r="J6" s="2774">
        <v>60</v>
      </c>
      <c r="K6" s="2774">
        <v>50</v>
      </c>
      <c r="L6" s="2774">
        <v>10</v>
      </c>
      <c r="M6" s="2774">
        <v>20</v>
      </c>
      <c r="N6" s="2762">
        <v>35</v>
      </c>
      <c r="O6" s="2762">
        <v>40</v>
      </c>
      <c r="P6" s="2762">
        <v>30</v>
      </c>
      <c r="Q6" s="2762">
        <v>10</v>
      </c>
      <c r="R6" s="2762">
        <v>255</v>
      </c>
    </row>
    <row r="7" spans="1:18">
      <c r="A7" s="2763">
        <v>70</v>
      </c>
      <c r="B7" s="2760">
        <v>57333</v>
      </c>
      <c r="C7" s="2762">
        <f>ROUNDDOWN(MIN((B7-B3)/365,A7),2)</f>
        <v>32.520000000000003</v>
      </c>
      <c r="D7" s="2764">
        <f>IF(ISERROR(ROUND(POWER(1+E7,A7-C7)*(POWER(1+E7,C7)-1)/(POWER(1+E7,A7)-1),3)),0,ROUND(POWER(1+E7,A7-C7)*(POWER(1+E7,C7)-1)/(POWER(1+E7,A7)-1),4))</f>
        <v>0.7702</v>
      </c>
      <c r="E7" s="2765">
        <v>0.04</v>
      </c>
      <c r="F7" s="2758"/>
    </row>
    <row r="8" spans="1:18">
      <c r="A8" s="2756"/>
      <c r="B8" s="2757"/>
      <c r="C8" s="2757"/>
      <c r="D8" s="2757"/>
      <c r="E8" s="2757"/>
      <c r="F8" s="2758"/>
    </row>
    <row r="9" spans="1:18">
      <c r="A9" s="2759" t="s">
        <v>2499</v>
      </c>
      <c r="B9" s="2762"/>
      <c r="C9" s="2762"/>
      <c r="D9" s="2762"/>
      <c r="E9" s="2762"/>
      <c r="F9" s="2766"/>
    </row>
    <row r="10" spans="1:18">
      <c r="A10" s="2759" t="s">
        <v>2500</v>
      </c>
      <c r="B10" s="2762"/>
      <c r="C10" s="2762"/>
      <c r="D10" s="2762" t="s">
        <v>2498</v>
      </c>
      <c r="E10" s="2762"/>
      <c r="F10" s="2766" t="s">
        <v>2497</v>
      </c>
    </row>
    <row r="11" spans="1:18">
      <c r="A11" s="2759" t="s">
        <v>2501</v>
      </c>
      <c r="B11" s="2767">
        <v>70</v>
      </c>
      <c r="C11" s="2762" t="s">
        <v>2502</v>
      </c>
      <c r="D11" s="2767">
        <v>4.4999999999999998E-2</v>
      </c>
      <c r="E11" s="2762" t="s">
        <v>2503</v>
      </c>
      <c r="F11" s="2768">
        <f>ROUND(1-(1/(POWER(1+D11,B11))),4)</f>
        <v>0.95409999999999995</v>
      </c>
    </row>
    <row r="12" spans="1:18">
      <c r="A12" s="2759" t="s">
        <v>2504</v>
      </c>
      <c r="B12" s="2767">
        <v>40</v>
      </c>
      <c r="C12" s="2762" t="s">
        <v>2505</v>
      </c>
      <c r="D12" s="2767">
        <v>4.4999999999999998E-2</v>
      </c>
      <c r="E12" s="2762" t="s">
        <v>2506</v>
      </c>
      <c r="F12" s="2768">
        <f>ROUND(1-(1/(POWER(1+D12,B12))),4)</f>
        <v>0.82809999999999995</v>
      </c>
    </row>
    <row r="13" spans="1:18">
      <c r="A13" s="2759" t="s">
        <v>2507</v>
      </c>
      <c r="B13" s="2762"/>
      <c r="C13" s="2762"/>
      <c r="D13" s="2757"/>
      <c r="E13" s="2757"/>
      <c r="F13" s="2758"/>
    </row>
    <row r="14" spans="1:18">
      <c r="A14" s="2759" t="s">
        <v>2508</v>
      </c>
      <c r="B14" s="2767">
        <v>5000</v>
      </c>
      <c r="C14" s="2761"/>
      <c r="D14" s="2757"/>
      <c r="E14" s="2757"/>
      <c r="F14" s="2758"/>
    </row>
    <row r="15" spans="1:18">
      <c r="A15" s="2759" t="s">
        <v>2509</v>
      </c>
      <c r="B15" s="2762">
        <f>ROUND(B14*F12/F11,2)</f>
        <v>4339.6899999999996</v>
      </c>
      <c r="C15" s="2762">
        <f>ROUND(F12/F11,4)</f>
        <v>0.8679</v>
      </c>
      <c r="D15" s="2757"/>
      <c r="E15" s="2757"/>
      <c r="F15" s="2758"/>
    </row>
    <row r="16" spans="1:18">
      <c r="A16" s="2759" t="s">
        <v>2510</v>
      </c>
      <c r="B16" s="2762"/>
      <c r="C16" s="2762"/>
      <c r="D16" s="2757"/>
      <c r="E16" s="2757"/>
      <c r="F16" s="2758"/>
    </row>
    <row r="17" spans="1:13">
      <c r="A17" s="2759" t="s">
        <v>2509</v>
      </c>
      <c r="B17" s="2767">
        <v>4810</v>
      </c>
      <c r="C17" s="2761"/>
      <c r="D17" s="2757"/>
      <c r="E17" s="2757"/>
      <c r="F17" s="2758"/>
    </row>
    <row r="18" spans="1:13" ht="14.25" thickBot="1">
      <c r="A18" s="2769" t="s">
        <v>2508</v>
      </c>
      <c r="B18" s="2770">
        <f>ROUND(B17*F11/F12,2)</f>
        <v>5541.87</v>
      </c>
      <c r="C18" s="2770">
        <f>ROUND(F11/F12,4)</f>
        <v>1.1521999999999999</v>
      </c>
      <c r="D18" s="2771"/>
      <c r="E18" s="2771"/>
      <c r="F18" s="2772"/>
    </row>
    <row r="19" spans="1:13" ht="14.25" thickBot="1"/>
    <row r="20" spans="1:13" s="2805" customFormat="1" ht="14.25" thickTop="1">
      <c r="A20" s="2802" t="s">
        <v>2511</v>
      </c>
      <c r="B20" s="2803"/>
      <c r="C20" s="2803"/>
      <c r="D20" s="2803"/>
      <c r="E20" s="2803"/>
      <c r="F20" s="2803"/>
      <c r="G20" s="2804"/>
      <c r="I20" s="2806" t="s">
        <v>2556</v>
      </c>
      <c r="J20" s="2806" t="s">
        <v>2561</v>
      </c>
      <c r="K20" s="2806"/>
      <c r="L20" s="2806"/>
      <c r="M20" s="2806"/>
    </row>
    <row r="21" spans="1:13">
      <c r="A21" s="2773"/>
      <c r="B21" s="2774" t="s">
        <v>2512</v>
      </c>
      <c r="C21" s="2774" t="s">
        <v>2513</v>
      </c>
      <c r="D21" s="2774" t="s">
        <v>2514</v>
      </c>
      <c r="E21" s="2774" t="s">
        <v>2515</v>
      </c>
      <c r="F21" s="2774" t="s">
        <v>2516</v>
      </c>
      <c r="G21" s="2775" t="s">
        <v>2517</v>
      </c>
      <c r="I21" s="2796">
        <v>5</v>
      </c>
      <c r="J21" s="2796">
        <v>54.2</v>
      </c>
    </row>
    <row r="22" spans="1:13">
      <c r="A22" s="2773" t="s">
        <v>2518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2519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2559</v>
      </c>
      <c r="M23" s="2796" t="s">
        <v>2560</v>
      </c>
    </row>
    <row r="24" spans="1:13">
      <c r="A24" s="2773" t="s">
        <v>2520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2558</v>
      </c>
      <c r="M24" s="2796">
        <v>10</v>
      </c>
    </row>
    <row r="25" spans="1:13">
      <c r="A25" s="2773" t="s">
        <v>2521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2562</v>
      </c>
      <c r="M25" s="2796">
        <v>8</v>
      </c>
    </row>
    <row r="26" spans="1:13">
      <c r="A26" s="2778"/>
      <c r="B26" s="2779"/>
      <c r="C26" s="2779"/>
      <c r="D26" s="2779"/>
      <c r="E26" s="2779"/>
      <c r="F26" s="2779"/>
      <c r="G26" s="2780"/>
      <c r="I26" s="2796">
        <v>30</v>
      </c>
      <c r="J26" s="2796">
        <v>90.5</v>
      </c>
      <c r="K26" s="2796">
        <f t="shared" si="2"/>
        <v>4.2000000000000028</v>
      </c>
      <c r="L26" s="2796" t="s">
        <v>2563</v>
      </c>
      <c r="M26" s="2796">
        <v>5</v>
      </c>
    </row>
    <row r="27" spans="1:13">
      <c r="A27" s="2778" t="s">
        <v>2522</v>
      </c>
      <c r="B27" s="2779"/>
      <c r="C27" s="2779"/>
      <c r="D27" s="2779"/>
      <c r="E27" s="2779"/>
      <c r="F27" s="2779"/>
      <c r="G27" s="2780"/>
      <c r="I27" s="2796">
        <v>35</v>
      </c>
      <c r="J27" s="2796">
        <v>93.8</v>
      </c>
      <c r="K27" s="2796">
        <f t="shared" si="2"/>
        <v>3.2999999999999972</v>
      </c>
      <c r="L27" s="2796" t="s">
        <v>2564</v>
      </c>
      <c r="M27" s="2796">
        <v>3</v>
      </c>
    </row>
    <row r="28" spans="1:13">
      <c r="A28" s="2778" t="s">
        <v>2523</v>
      </c>
      <c r="B28" s="2779"/>
      <c r="C28" s="2779"/>
      <c r="D28" s="2779"/>
      <c r="E28" s="2779"/>
      <c r="F28" s="2779"/>
      <c r="G28" s="2780"/>
      <c r="I28" s="2796">
        <v>40</v>
      </c>
      <c r="J28" s="2796">
        <v>96.4</v>
      </c>
      <c r="K28" s="2796">
        <f t="shared" si="2"/>
        <v>2.6000000000000085</v>
      </c>
      <c r="L28" s="2796" t="s">
        <v>2565</v>
      </c>
      <c r="M28" s="2796">
        <v>2</v>
      </c>
    </row>
    <row r="29" spans="1:13">
      <c r="A29" s="2778" t="s">
        <v>2524</v>
      </c>
      <c r="B29" s="2779"/>
      <c r="C29" s="2779"/>
      <c r="D29" s="2779"/>
      <c r="E29" s="2779"/>
      <c r="F29" s="2779"/>
      <c r="G29" s="2780"/>
      <c r="I29" s="2796">
        <v>45</v>
      </c>
      <c r="J29" s="2796">
        <v>98.4</v>
      </c>
      <c r="K29" s="2796">
        <f t="shared" si="2"/>
        <v>2</v>
      </c>
    </row>
    <row r="30" spans="1:13">
      <c r="A30" s="2778" t="s">
        <v>2525</v>
      </c>
      <c r="B30" s="2779"/>
      <c r="C30" s="2779"/>
      <c r="D30" s="2779"/>
      <c r="E30" s="2779"/>
      <c r="F30" s="2779"/>
      <c r="G30" s="2780"/>
      <c r="I30" s="2796">
        <v>50</v>
      </c>
      <c r="J30" s="2796">
        <v>100</v>
      </c>
      <c r="K30" s="2796">
        <f t="shared" si="2"/>
        <v>1.5999999999999943</v>
      </c>
    </row>
    <row r="31" spans="1:13">
      <c r="A31" s="2778" t="s">
        <v>2526</v>
      </c>
      <c r="B31" s="2779"/>
      <c r="C31" s="2779"/>
      <c r="D31" s="2779"/>
      <c r="E31" s="2779"/>
      <c r="F31" s="2779"/>
      <c r="G31" s="2780"/>
      <c r="I31" s="2796" t="s">
        <v>2557</v>
      </c>
    </row>
    <row r="32" spans="1:13">
      <c r="A32" s="2778" t="s">
        <v>2527</v>
      </c>
      <c r="B32" s="2779"/>
      <c r="C32" s="2779"/>
      <c r="D32" s="2779"/>
      <c r="E32" s="2779"/>
      <c r="F32" s="2779"/>
      <c r="G32" s="2780"/>
    </row>
    <row r="33" spans="1:13">
      <c r="A33" s="2778" t="s">
        <v>2528</v>
      </c>
      <c r="B33" s="2779"/>
      <c r="C33" s="2779"/>
      <c r="D33" s="2779"/>
      <c r="E33" s="2779"/>
      <c r="F33" s="2779"/>
      <c r="G33" s="2780"/>
      <c r="I33" s="2796" t="s">
        <v>2556</v>
      </c>
      <c r="J33" s="2796" t="s">
        <v>2566</v>
      </c>
    </row>
    <row r="34" spans="1:13">
      <c r="A34" s="2778" t="s">
        <v>2529</v>
      </c>
      <c r="B34" s="2779"/>
      <c r="C34" s="2779"/>
      <c r="D34" s="2779"/>
      <c r="E34" s="2779"/>
      <c r="F34" s="2779"/>
      <c r="G34" s="2780"/>
      <c r="I34" s="2796">
        <v>5</v>
      </c>
      <c r="J34" s="2796">
        <v>55.1</v>
      </c>
    </row>
    <row r="35" spans="1:13">
      <c r="A35" s="2778" t="s">
        <v>2530</v>
      </c>
      <c r="B35" s="2779"/>
      <c r="C35" s="2779"/>
      <c r="D35" s="2779"/>
      <c r="E35" s="2779"/>
      <c r="F35" s="2779"/>
      <c r="G35" s="2780"/>
      <c r="I35" s="2796">
        <v>10</v>
      </c>
      <c r="J35" s="2796">
        <v>67</v>
      </c>
      <c r="K35" s="2796">
        <f>J35-J34</f>
        <v>11.899999999999999</v>
      </c>
    </row>
    <row r="36" spans="1:13">
      <c r="A36" s="2778" t="s">
        <v>2531</v>
      </c>
      <c r="B36" s="2779"/>
      <c r="C36" s="2779"/>
      <c r="D36" s="2779"/>
      <c r="E36" s="2779"/>
      <c r="F36" s="2779"/>
      <c r="G36" s="2780"/>
      <c r="I36" s="2796">
        <v>15</v>
      </c>
      <c r="J36" s="2796">
        <v>76.3</v>
      </c>
      <c r="K36" s="2796">
        <f t="shared" ref="K36:K41" si="3">J36-J35</f>
        <v>9.2999999999999972</v>
      </c>
      <c r="L36" s="2796" t="s">
        <v>2559</v>
      </c>
      <c r="M36" s="2796" t="s">
        <v>2560</v>
      </c>
    </row>
    <row r="37" spans="1:13">
      <c r="A37" s="2778" t="s">
        <v>2532</v>
      </c>
      <c r="B37" s="2779"/>
      <c r="C37" s="2779"/>
      <c r="D37" s="2779"/>
      <c r="E37" s="2779"/>
      <c r="F37" s="2779"/>
      <c r="G37" s="2780"/>
      <c r="I37" s="2796">
        <v>20</v>
      </c>
      <c r="J37" s="2796">
        <v>83.6</v>
      </c>
      <c r="K37" s="2796">
        <f t="shared" si="3"/>
        <v>7.2999999999999972</v>
      </c>
      <c r="L37" s="2796" t="s">
        <v>2558</v>
      </c>
      <c r="M37" s="2796">
        <v>10</v>
      </c>
    </row>
    <row r="38" spans="1:13">
      <c r="A38" s="2778" t="s">
        <v>2533</v>
      </c>
      <c r="B38" s="2779"/>
      <c r="C38" s="2779"/>
      <c r="D38" s="2779"/>
      <c r="E38" s="2779"/>
      <c r="F38" s="2779"/>
      <c r="G38" s="2780"/>
      <c r="I38" s="2796">
        <v>25</v>
      </c>
      <c r="J38" s="2796">
        <v>89.3</v>
      </c>
      <c r="K38" s="2796">
        <f t="shared" si="3"/>
        <v>5.7000000000000028</v>
      </c>
      <c r="L38" s="2796" t="s">
        <v>2562</v>
      </c>
      <c r="M38" s="2796">
        <v>8</v>
      </c>
    </row>
    <row r="39" spans="1:13">
      <c r="A39" s="2778"/>
      <c r="B39" s="2779"/>
      <c r="C39" s="2779"/>
      <c r="D39" s="2779"/>
      <c r="E39" s="2779"/>
      <c r="F39" s="2779"/>
      <c r="G39" s="2780"/>
      <c r="I39" s="2796">
        <v>30</v>
      </c>
      <c r="J39" s="2796">
        <v>93.8</v>
      </c>
      <c r="K39" s="2796">
        <f t="shared" si="3"/>
        <v>4.5</v>
      </c>
      <c r="L39" s="2796" t="s">
        <v>2563</v>
      </c>
      <c r="M39" s="2796">
        <v>6</v>
      </c>
    </row>
    <row r="40" spans="1:13">
      <c r="A40" s="2781" t="s">
        <v>2534</v>
      </c>
      <c r="B40" s="2782"/>
      <c r="C40" s="2782"/>
      <c r="D40" s="2782"/>
      <c r="E40" s="2782"/>
      <c r="F40" s="2782"/>
      <c r="G40" s="2783"/>
      <c r="I40" s="2796">
        <v>35</v>
      </c>
      <c r="J40" s="2796">
        <v>97.2</v>
      </c>
      <c r="K40" s="2796">
        <f t="shared" si="3"/>
        <v>3.4000000000000057</v>
      </c>
      <c r="L40" s="2796" t="s">
        <v>2564</v>
      </c>
      <c r="M40" s="2796">
        <v>3</v>
      </c>
    </row>
    <row r="41" spans="1:13">
      <c r="A41" s="2784" t="s">
        <v>2535</v>
      </c>
      <c r="B41" s="2785" t="s">
        <v>2536</v>
      </c>
      <c r="C41" s="2786" t="s">
        <v>2537</v>
      </c>
      <c r="D41" s="2786" t="s">
        <v>2538</v>
      </c>
      <c r="E41" s="2787"/>
      <c r="F41" s="2788"/>
      <c r="G41" s="2789"/>
      <c r="I41" s="2796">
        <v>40</v>
      </c>
      <c r="J41" s="2796">
        <v>100</v>
      </c>
      <c r="K41" s="2796">
        <f t="shared" si="3"/>
        <v>2.7999999999999972</v>
      </c>
    </row>
    <row r="42" spans="1:13">
      <c r="A42" s="2784" t="s">
        <v>2539</v>
      </c>
      <c r="B42" s="2785" t="s">
        <v>2540</v>
      </c>
      <c r="C42" s="2786" t="s">
        <v>2541</v>
      </c>
      <c r="D42" s="2790" t="s">
        <v>2542</v>
      </c>
      <c r="E42" s="2782" t="s">
        <v>2543</v>
      </c>
      <c r="F42" s="2782"/>
      <c r="G42" s="2783"/>
    </row>
    <row r="43" spans="1:13">
      <c r="A43" s="2784" t="s">
        <v>2544</v>
      </c>
      <c r="B43" s="2785" t="s">
        <v>2545</v>
      </c>
      <c r="C43" s="2786" t="s">
        <v>2546</v>
      </c>
      <c r="D43" s="2786" t="s">
        <v>2547</v>
      </c>
      <c r="E43" s="2787" t="s">
        <v>2548</v>
      </c>
      <c r="F43" s="2788"/>
      <c r="G43" s="2789"/>
      <c r="I43" s="2796" t="s">
        <v>2556</v>
      </c>
      <c r="J43" s="2796" t="s">
        <v>2567</v>
      </c>
    </row>
    <row r="44" spans="1:13">
      <c r="A44" s="2784" t="s">
        <v>2549</v>
      </c>
      <c r="B44" s="2785" t="s">
        <v>2550</v>
      </c>
      <c r="C44" s="2786" t="s">
        <v>2551</v>
      </c>
      <c r="D44" s="2790">
        <v>0.5</v>
      </c>
      <c r="E44" s="2787" t="s">
        <v>2552</v>
      </c>
      <c r="F44" s="2788"/>
      <c r="G44" s="2789"/>
      <c r="I44" s="2796">
        <v>30</v>
      </c>
      <c r="J44" s="2796">
        <v>81.7</v>
      </c>
    </row>
    <row r="45" spans="1:13" ht="14.25" thickBot="1">
      <c r="A45" s="2791" t="s">
        <v>2553</v>
      </c>
      <c r="B45" s="2792" t="s">
        <v>2540</v>
      </c>
      <c r="C45" s="2793" t="s">
        <v>2540</v>
      </c>
      <c r="D45" s="2793" t="s">
        <v>2554</v>
      </c>
      <c r="E45" s="2794" t="s">
        <v>2555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92C55-54F1-4EA2-8753-8563BE65FBFE}">
  <dimension ref="A1:N46"/>
  <sheetViews>
    <sheetView workbookViewId="0">
      <selection activeCell="C2" sqref="C2"/>
    </sheetView>
  </sheetViews>
  <sheetFormatPr defaultRowHeight="13.5"/>
  <cols>
    <col min="1" max="1" width="7.75" style="3144" customWidth="1"/>
    <col min="2" max="2" width="8.125" style="3170" customWidth="1"/>
    <col min="3" max="3" width="9" style="3144"/>
    <col min="4" max="4" width="8.375" style="3170" customWidth="1"/>
    <col min="5" max="5" width="9" style="3170"/>
    <col min="6" max="6" width="5.5" style="3170" customWidth="1"/>
    <col min="7" max="7" width="6.5" style="3171" customWidth="1"/>
    <col min="8" max="8" width="11" style="3144" bestFit="1" customWidth="1"/>
    <col min="9" max="9" width="9" style="3144"/>
    <col min="10" max="10" width="9.5" style="3144" bestFit="1" customWidth="1"/>
    <col min="11" max="16384" width="9" style="3144"/>
  </cols>
  <sheetData>
    <row r="1" spans="1:10">
      <c r="A1" s="3141" t="s">
        <v>3384</v>
      </c>
      <c r="B1" s="3142"/>
      <c r="C1" s="3141" t="s">
        <v>3385</v>
      </c>
      <c r="D1" s="3142" t="s">
        <v>3386</v>
      </c>
      <c r="E1" s="3142" t="s">
        <v>2535</v>
      </c>
      <c r="F1" s="3142" t="s">
        <v>3387</v>
      </c>
      <c r="G1" s="3143" t="s">
        <v>3388</v>
      </c>
      <c r="H1" s="3141"/>
    </row>
    <row r="2" spans="1:10" s="3148" customFormat="1">
      <c r="A2" s="3145" t="s">
        <v>3389</v>
      </c>
      <c r="B2" s="3146"/>
      <c r="C2" s="3145">
        <v>15846.16</v>
      </c>
      <c r="D2" s="3146">
        <v>4</v>
      </c>
      <c r="E2" s="3146" t="s">
        <v>3390</v>
      </c>
      <c r="F2" s="3146" t="s">
        <v>3391</v>
      </c>
      <c r="G2" s="3147">
        <f>ROUND(1-(2024-2007)/60,2)</f>
        <v>0.72</v>
      </c>
      <c r="H2" s="3145" t="s">
        <v>3392</v>
      </c>
      <c r="I2" s="3148">
        <f>C2*G2</f>
        <v>11409.235199999999</v>
      </c>
    </row>
    <row r="3" spans="1:10" s="3148" customFormat="1">
      <c r="A3" s="3145" t="s">
        <v>3393</v>
      </c>
      <c r="B3" s="3146"/>
      <c r="C3" s="3145">
        <v>8217.0499999999993</v>
      </c>
      <c r="D3" s="3146">
        <v>3</v>
      </c>
      <c r="E3" s="3146" t="s">
        <v>3394</v>
      </c>
      <c r="F3" s="3146" t="s">
        <v>3395</v>
      </c>
      <c r="G3" s="3147">
        <f>ROUND(1-(2024-2007)/70,2)</f>
        <v>0.76</v>
      </c>
      <c r="H3" s="3145" t="s">
        <v>3392</v>
      </c>
      <c r="I3" s="3148">
        <f>C3*G3</f>
        <v>6244.9579999999996</v>
      </c>
      <c r="J3" s="3149">
        <f>ROUND((I2+I3)/(C2+C3),2)</f>
        <v>0.73</v>
      </c>
    </row>
    <row r="4" spans="1:10" s="3152" customFormat="1" ht="27">
      <c r="A4" s="3150" t="s">
        <v>3396</v>
      </c>
      <c r="B4" s="3151"/>
      <c r="C4" s="3150">
        <v>4016.71</v>
      </c>
      <c r="D4" s="3151">
        <v>6</v>
      </c>
      <c r="E4" s="3151" t="s">
        <v>3397</v>
      </c>
      <c r="F4" s="3151" t="s">
        <v>3398</v>
      </c>
      <c r="G4" s="3147">
        <f>ROUND(1-(2024-2007)/50,2)</f>
        <v>0.66</v>
      </c>
      <c r="H4" s="3150" t="s">
        <v>3399</v>
      </c>
    </row>
    <row r="5" spans="1:10" s="3152" customFormat="1" ht="27">
      <c r="A5" s="3150" t="s">
        <v>3400</v>
      </c>
      <c r="B5" s="3151"/>
      <c r="C5" s="3150">
        <v>4390.97</v>
      </c>
      <c r="D5" s="3151">
        <v>6</v>
      </c>
      <c r="E5" s="3151" t="s">
        <v>3401</v>
      </c>
      <c r="F5" s="3151" t="s">
        <v>3398</v>
      </c>
      <c r="G5" s="3147">
        <f>ROUND(1-(2024-2007)/50,2)</f>
        <v>0.66</v>
      </c>
      <c r="H5" s="3150" t="s">
        <v>3402</v>
      </c>
    </row>
    <row r="6" spans="1:10" s="3156" customFormat="1">
      <c r="A6" s="3153" t="s">
        <v>3403</v>
      </c>
      <c r="B6" s="3154"/>
      <c r="C6" s="3153">
        <v>580.76</v>
      </c>
      <c r="D6" s="3154">
        <v>2</v>
      </c>
      <c r="E6" s="3154" t="s">
        <v>3404</v>
      </c>
      <c r="F6" s="3154" t="s">
        <v>3391</v>
      </c>
      <c r="G6" s="3155">
        <f>ROUND(1-(2024-2007)/60,2)</f>
        <v>0.72</v>
      </c>
      <c r="H6" s="3153" t="s">
        <v>3402</v>
      </c>
    </row>
    <row r="7" spans="1:10" s="3156" customFormat="1">
      <c r="A7" s="3157" t="s">
        <v>3405</v>
      </c>
      <c r="B7" s="3158"/>
      <c r="C7" s="3153">
        <f>C8+C9+C10</f>
        <v>2168.29</v>
      </c>
      <c r="D7" s="3154" t="s">
        <v>3406</v>
      </c>
      <c r="E7" s="3154" t="s">
        <v>3407</v>
      </c>
      <c r="F7" s="3154" t="s">
        <v>3391</v>
      </c>
      <c r="G7" s="3155">
        <f>ROUND(1-(2024-2007)/60,2)</f>
        <v>0.72</v>
      </c>
      <c r="H7" s="3153" t="s">
        <v>3402</v>
      </c>
    </row>
    <row r="8" spans="1:10" s="3156" customFormat="1">
      <c r="A8" s="3157"/>
      <c r="B8" s="3159" t="s">
        <v>3408</v>
      </c>
      <c r="C8" s="3153">
        <v>924.8</v>
      </c>
      <c r="D8" s="3154"/>
      <c r="E8" s="3154"/>
      <c r="F8" s="3154"/>
      <c r="G8" s="3155"/>
      <c r="H8" s="3153"/>
    </row>
    <row r="9" spans="1:10" s="3156" customFormat="1">
      <c r="A9" s="3157"/>
      <c r="B9" s="3158" t="s">
        <v>3409</v>
      </c>
      <c r="C9" s="3153">
        <v>762.85</v>
      </c>
      <c r="D9" s="3154"/>
      <c r="E9" s="3154"/>
      <c r="F9" s="3154"/>
      <c r="G9" s="3155"/>
      <c r="H9" s="3153"/>
    </row>
    <row r="10" spans="1:10" s="3156" customFormat="1">
      <c r="A10" s="3157"/>
      <c r="B10" s="3158" t="s">
        <v>3410</v>
      </c>
      <c r="C10" s="3153">
        <v>480.64</v>
      </c>
      <c r="D10" s="3154"/>
      <c r="E10" s="3154"/>
      <c r="F10" s="3154"/>
      <c r="G10" s="3155"/>
      <c r="H10" s="3153"/>
    </row>
    <row r="11" spans="1:10" s="3156" customFormat="1">
      <c r="A11" s="3153" t="s">
        <v>3411</v>
      </c>
      <c r="B11" s="3154"/>
      <c r="C11" s="3153">
        <v>580.76</v>
      </c>
      <c r="D11" s="3154">
        <v>2</v>
      </c>
      <c r="E11" s="3154" t="s">
        <v>3412</v>
      </c>
      <c r="F11" s="3154" t="s">
        <v>3391</v>
      </c>
      <c r="G11" s="3155">
        <f>ROUND(1-(2024-2007)/60,2)</f>
        <v>0.72</v>
      </c>
      <c r="H11" s="3153" t="s">
        <v>3402</v>
      </c>
    </row>
    <row r="12" spans="1:10" s="3156" customFormat="1">
      <c r="A12" s="3153" t="s">
        <v>3413</v>
      </c>
      <c r="B12" s="3154"/>
      <c r="C12" s="3153">
        <v>580.76</v>
      </c>
      <c r="D12" s="3154">
        <v>2</v>
      </c>
      <c r="E12" s="3154" t="s">
        <v>3414</v>
      </c>
      <c r="F12" s="3154" t="s">
        <v>3391</v>
      </c>
      <c r="G12" s="3155">
        <f>ROUND(1-(2024-2007)/60,2)</f>
        <v>0.72</v>
      </c>
      <c r="H12" s="3153" t="s">
        <v>3402</v>
      </c>
    </row>
    <row r="13" spans="1:10" s="3156" customFormat="1">
      <c r="A13" s="3153" t="s">
        <v>3415</v>
      </c>
      <c r="B13" s="3154"/>
      <c r="C13" s="3153">
        <v>580.76</v>
      </c>
      <c r="D13" s="3154">
        <v>2</v>
      </c>
      <c r="E13" s="3154" t="s">
        <v>3416</v>
      </c>
      <c r="F13" s="3154" t="s">
        <v>3391</v>
      </c>
      <c r="G13" s="3155">
        <f>ROUND(1-(2024-2007)/60,2)</f>
        <v>0.72</v>
      </c>
      <c r="H13" s="3153" t="s">
        <v>3402</v>
      </c>
    </row>
    <row r="14" spans="1:10" s="3163" customFormat="1" ht="40.5">
      <c r="A14" s="3160" t="s">
        <v>3417</v>
      </c>
      <c r="B14" s="3161"/>
      <c r="C14" s="3160">
        <v>15878.13</v>
      </c>
      <c r="D14" s="3161">
        <v>6</v>
      </c>
      <c r="E14" s="3161" t="s">
        <v>3418</v>
      </c>
      <c r="F14" s="3161" t="s">
        <v>3391</v>
      </c>
      <c r="G14" s="3162">
        <f>ROUND(1-(2024-2007)/60,2)</f>
        <v>0.72</v>
      </c>
      <c r="H14" s="3160" t="s">
        <v>3402</v>
      </c>
    </row>
    <row r="15" spans="1:10" s="3163" customFormat="1">
      <c r="A15" s="3164" t="s">
        <v>3419</v>
      </c>
      <c r="B15" s="3165"/>
      <c r="C15" s="3160">
        <f>SUM(C16:C30)</f>
        <v>30451.889999999996</v>
      </c>
      <c r="D15" s="3161" t="s">
        <v>3420</v>
      </c>
      <c r="E15" s="3161" t="s">
        <v>3421</v>
      </c>
      <c r="F15" s="3161" t="s">
        <v>3391</v>
      </c>
      <c r="G15" s="3162">
        <f>ROUND(1-(2024-2007)/60,2)</f>
        <v>0.72</v>
      </c>
      <c r="H15" s="3160" t="s">
        <v>3402</v>
      </c>
    </row>
    <row r="16" spans="1:10" s="3163" customFormat="1">
      <c r="A16" s="3164"/>
      <c r="B16" s="3166" t="s">
        <v>3422</v>
      </c>
      <c r="C16" s="3160">
        <f>3158.77-1897.59</f>
        <v>1261.18</v>
      </c>
      <c r="D16" s="3161"/>
      <c r="E16" s="3161"/>
      <c r="F16" s="3161"/>
      <c r="G16" s="3167"/>
      <c r="H16" s="3160"/>
    </row>
    <row r="17" spans="1:8" s="3163" customFormat="1">
      <c r="A17" s="3164"/>
      <c r="B17" s="3166" t="s">
        <v>3408</v>
      </c>
      <c r="C17" s="3160">
        <v>3146.1</v>
      </c>
      <c r="D17" s="3161"/>
      <c r="E17" s="3161"/>
      <c r="F17" s="3161"/>
      <c r="G17" s="3167"/>
      <c r="H17" s="3160"/>
    </row>
    <row r="18" spans="1:8" s="3163" customFormat="1">
      <c r="A18" s="3164"/>
      <c r="B18" s="3165" t="s">
        <v>3409</v>
      </c>
      <c r="C18" s="3160">
        <v>2358.61</v>
      </c>
      <c r="D18" s="3161"/>
      <c r="E18" s="3161"/>
      <c r="F18" s="3161"/>
      <c r="G18" s="3167"/>
      <c r="H18" s="3160"/>
    </row>
    <row r="19" spans="1:8" s="3163" customFormat="1">
      <c r="A19" s="3164"/>
      <c r="B19" s="3165" t="s">
        <v>3410</v>
      </c>
      <c r="C19" s="3160">
        <v>1862.42</v>
      </c>
      <c r="D19" s="3161"/>
      <c r="E19" s="3161"/>
      <c r="F19" s="3161"/>
      <c r="G19" s="3167"/>
      <c r="H19" s="3160"/>
    </row>
    <row r="20" spans="1:8" s="3163" customFormat="1">
      <c r="A20" s="3164"/>
      <c r="B20" s="3165" t="s">
        <v>3423</v>
      </c>
      <c r="C20" s="3160">
        <v>1998.98</v>
      </c>
      <c r="D20" s="3161"/>
      <c r="E20" s="3161"/>
      <c r="F20" s="3161"/>
      <c r="G20" s="3167"/>
      <c r="H20" s="3160"/>
    </row>
    <row r="21" spans="1:8" s="3163" customFormat="1">
      <c r="A21" s="3164"/>
      <c r="B21" s="3165" t="s">
        <v>3424</v>
      </c>
      <c r="C21" s="3160">
        <v>2226.8000000000002</v>
      </c>
      <c r="D21" s="3161"/>
      <c r="E21" s="3161"/>
      <c r="F21" s="3161"/>
      <c r="G21" s="3167"/>
      <c r="H21" s="3160"/>
    </row>
    <row r="22" spans="1:8" s="3163" customFormat="1">
      <c r="A22" s="3164"/>
      <c r="B22" s="3165" t="s">
        <v>3425</v>
      </c>
      <c r="C22" s="3160">
        <v>2218.0700000000002</v>
      </c>
      <c r="D22" s="3161"/>
      <c r="E22" s="3161"/>
      <c r="F22" s="3161"/>
      <c r="G22" s="3167"/>
      <c r="H22" s="3160"/>
    </row>
    <row r="23" spans="1:8" s="3163" customFormat="1">
      <c r="A23" s="3164"/>
      <c r="B23" s="3165" t="s">
        <v>3426</v>
      </c>
      <c r="C23" s="3160">
        <v>2218.0700000000002</v>
      </c>
      <c r="D23" s="3161"/>
      <c r="E23" s="3161"/>
      <c r="F23" s="3161"/>
      <c r="G23" s="3167"/>
      <c r="H23" s="3160"/>
    </row>
    <row r="24" spans="1:8" s="3163" customFormat="1">
      <c r="A24" s="3164"/>
      <c r="B24" s="3165" t="s">
        <v>3427</v>
      </c>
      <c r="C24" s="3160">
        <v>2201.35</v>
      </c>
      <c r="D24" s="3161"/>
      <c r="E24" s="3161"/>
      <c r="F24" s="3161"/>
      <c r="G24" s="3167"/>
      <c r="H24" s="3160"/>
    </row>
    <row r="25" spans="1:8" s="3163" customFormat="1">
      <c r="A25" s="3164"/>
      <c r="B25" s="3165" t="s">
        <v>3428</v>
      </c>
      <c r="C25" s="3160">
        <v>2201.35</v>
      </c>
      <c r="D25" s="3161"/>
      <c r="E25" s="3161"/>
      <c r="F25" s="3161"/>
      <c r="G25" s="3167"/>
      <c r="H25" s="3160"/>
    </row>
    <row r="26" spans="1:8" s="3163" customFormat="1">
      <c r="A26" s="3164"/>
      <c r="B26" s="3165" t="s">
        <v>3429</v>
      </c>
      <c r="C26" s="3160">
        <v>2201.35</v>
      </c>
      <c r="D26" s="3161"/>
      <c r="E26" s="3161"/>
      <c r="F26" s="3161"/>
      <c r="G26" s="3167"/>
      <c r="H26" s="3160"/>
    </row>
    <row r="27" spans="1:8" s="3163" customFormat="1">
      <c r="A27" s="3164"/>
      <c r="B27" s="3165" t="s">
        <v>3430</v>
      </c>
      <c r="C27" s="3160">
        <v>2184.56</v>
      </c>
      <c r="D27" s="3161"/>
      <c r="E27" s="3161"/>
      <c r="F27" s="3161"/>
      <c r="G27" s="3167"/>
      <c r="H27" s="3160"/>
    </row>
    <row r="28" spans="1:8" s="3163" customFormat="1">
      <c r="A28" s="3164"/>
      <c r="B28" s="3165" t="s">
        <v>3431</v>
      </c>
      <c r="C28" s="3160">
        <v>2012.41</v>
      </c>
      <c r="D28" s="3161"/>
      <c r="E28" s="3161"/>
      <c r="F28" s="3161"/>
      <c r="G28" s="3167"/>
      <c r="H28" s="3160"/>
    </row>
    <row r="29" spans="1:8" s="3163" customFormat="1">
      <c r="A29" s="3164"/>
      <c r="B29" s="3165" t="s">
        <v>3432</v>
      </c>
      <c r="C29" s="3160">
        <v>2029.2</v>
      </c>
      <c r="D29" s="3161"/>
      <c r="E29" s="3161"/>
      <c r="F29" s="3161"/>
      <c r="G29" s="3167"/>
      <c r="H29" s="3160"/>
    </row>
    <row r="30" spans="1:8" s="3163" customFormat="1" ht="27">
      <c r="A30" s="3164"/>
      <c r="B30" s="3165" t="s">
        <v>3433</v>
      </c>
      <c r="C30" s="3160">
        <v>331.44</v>
      </c>
      <c r="D30" s="3161"/>
      <c r="E30" s="3161"/>
      <c r="F30" s="3161"/>
      <c r="G30" s="3167"/>
      <c r="H30" s="3160"/>
    </row>
    <row r="31" spans="1:8">
      <c r="A31" s="3168" t="s">
        <v>3434</v>
      </c>
      <c r="B31" s="3169"/>
      <c r="C31" s="3168">
        <f>C2+C3+C4+C5+C6+C7+C11+C12+C13+C14+C15</f>
        <v>83292.240000000005</v>
      </c>
      <c r="D31" s="3142"/>
      <c r="E31" s="3142"/>
      <c r="F31" s="3142"/>
      <c r="G31" s="3143"/>
      <c r="H31" s="3141"/>
    </row>
    <row r="35" spans="14:14">
      <c r="N35" s="3144" t="s">
        <v>3435</v>
      </c>
    </row>
    <row r="36" spans="14:14">
      <c r="N36" s="3144">
        <v>1.5</v>
      </c>
    </row>
    <row r="41" spans="14:14">
      <c r="N41" s="3144" t="s">
        <v>3436</v>
      </c>
    </row>
    <row r="42" spans="14:14">
      <c r="N42" s="3144">
        <f>4500/30/120</f>
        <v>1.25</v>
      </c>
    </row>
    <row r="45" spans="14:14">
      <c r="N45" s="3144" t="s">
        <v>3437</v>
      </c>
    </row>
    <row r="46" spans="14:14">
      <c r="N46" s="3144">
        <f>3000/30/60</f>
        <v>1.6666666666666667</v>
      </c>
    </row>
  </sheetData>
  <phoneticPr fontId="134" type="noConversion"/>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7AF18-329A-4907-91CA-1FF9539576CC}">
  <dimension ref="B3:E58"/>
  <sheetViews>
    <sheetView workbookViewId="0">
      <selection activeCell="K13" sqref="K13"/>
    </sheetView>
  </sheetViews>
  <sheetFormatPr defaultRowHeight="13.5"/>
  <sheetData>
    <row r="3" spans="2:5">
      <c r="B3">
        <v>1</v>
      </c>
      <c r="C3">
        <v>11</v>
      </c>
      <c r="D3" s="1403" t="s">
        <v>3937</v>
      </c>
      <c r="E3">
        <v>1261.18</v>
      </c>
    </row>
    <row r="4" spans="2:5">
      <c r="B4">
        <v>2</v>
      </c>
      <c r="C4">
        <v>11</v>
      </c>
      <c r="D4">
        <v>7</v>
      </c>
      <c r="E4">
        <v>2201.35</v>
      </c>
    </row>
    <row r="5" spans="2:5">
      <c r="B5">
        <v>3</v>
      </c>
      <c r="C5">
        <v>1</v>
      </c>
      <c r="D5">
        <v>1</v>
      </c>
      <c r="E5">
        <v>463.02</v>
      </c>
    </row>
    <row r="6" spans="2:5">
      <c r="B6">
        <v>4</v>
      </c>
      <c r="C6">
        <v>2</v>
      </c>
      <c r="D6">
        <v>1</v>
      </c>
      <c r="E6">
        <v>6880.37</v>
      </c>
    </row>
    <row r="7" spans="2:5">
      <c r="B7">
        <v>5</v>
      </c>
      <c r="C7">
        <v>11</v>
      </c>
      <c r="D7" s="1403" t="s">
        <v>3938</v>
      </c>
      <c r="E7">
        <v>3146.1</v>
      </c>
    </row>
    <row r="8" spans="2:5">
      <c r="B8">
        <v>6</v>
      </c>
      <c r="C8">
        <v>6</v>
      </c>
      <c r="D8" s="1403">
        <v>2</v>
      </c>
      <c r="E8" s="1403">
        <v>480.64</v>
      </c>
    </row>
    <row r="9" spans="2:5">
      <c r="B9">
        <v>7</v>
      </c>
      <c r="C9">
        <v>11</v>
      </c>
      <c r="D9" s="1403">
        <v>10</v>
      </c>
      <c r="E9" s="1403">
        <v>2184.56</v>
      </c>
    </row>
    <row r="10" spans="2:5">
      <c r="B10">
        <v>8</v>
      </c>
      <c r="C10">
        <v>9</v>
      </c>
      <c r="D10" s="1403">
        <v>2</v>
      </c>
      <c r="E10" s="1403">
        <v>238.96</v>
      </c>
    </row>
    <row r="11" spans="2:5">
      <c r="B11">
        <v>9</v>
      </c>
      <c r="C11">
        <v>11</v>
      </c>
      <c r="D11" s="1403">
        <v>12</v>
      </c>
      <c r="E11" s="1403">
        <v>2029.2</v>
      </c>
    </row>
    <row r="12" spans="2:5">
      <c r="B12">
        <v>10</v>
      </c>
      <c r="C12">
        <v>9</v>
      </c>
      <c r="D12" s="1403">
        <v>1</v>
      </c>
      <c r="E12" s="1403">
        <v>341.8</v>
      </c>
    </row>
    <row r="13" spans="2:5">
      <c r="B13">
        <v>11</v>
      </c>
      <c r="C13">
        <v>2</v>
      </c>
      <c r="D13" s="1403">
        <v>3</v>
      </c>
      <c r="E13" s="1403">
        <v>445.56</v>
      </c>
    </row>
    <row r="14" spans="2:5">
      <c r="B14">
        <v>12</v>
      </c>
      <c r="C14">
        <v>11</v>
      </c>
      <c r="D14" s="1403">
        <v>8</v>
      </c>
      <c r="E14" s="1403">
        <v>2201.35</v>
      </c>
    </row>
    <row r="15" spans="2:5">
      <c r="B15">
        <v>13</v>
      </c>
      <c r="C15">
        <v>11</v>
      </c>
      <c r="D15" s="1403">
        <v>9</v>
      </c>
      <c r="E15" s="1403">
        <v>2201.35</v>
      </c>
    </row>
    <row r="16" spans="2:5">
      <c r="B16">
        <v>14</v>
      </c>
      <c r="C16">
        <v>11</v>
      </c>
      <c r="D16" s="1403">
        <v>2</v>
      </c>
      <c r="E16" s="1403">
        <v>1862.42</v>
      </c>
    </row>
    <row r="17" spans="2:5">
      <c r="B17">
        <v>15</v>
      </c>
      <c r="C17">
        <v>6</v>
      </c>
      <c r="D17" s="1403" t="s">
        <v>3938</v>
      </c>
      <c r="E17" s="1403">
        <v>924.8</v>
      </c>
    </row>
    <row r="18" spans="2:5">
      <c r="B18">
        <v>16</v>
      </c>
      <c r="C18">
        <v>1</v>
      </c>
      <c r="D18" s="1403">
        <v>1</v>
      </c>
      <c r="E18" s="1403">
        <v>6997.04</v>
      </c>
    </row>
    <row r="19" spans="2:5">
      <c r="B19">
        <v>17</v>
      </c>
      <c r="C19">
        <v>1</v>
      </c>
      <c r="D19" s="1403">
        <v>3</v>
      </c>
      <c r="E19" s="1403">
        <v>463.02</v>
      </c>
    </row>
    <row r="20" spans="2:5">
      <c r="B20">
        <v>18</v>
      </c>
      <c r="C20">
        <v>6</v>
      </c>
      <c r="D20" s="1403">
        <v>1</v>
      </c>
      <c r="E20" s="1403">
        <v>762.85</v>
      </c>
    </row>
    <row r="21" spans="2:5">
      <c r="B21">
        <v>19</v>
      </c>
      <c r="C21">
        <v>5</v>
      </c>
      <c r="D21" s="1403">
        <v>1</v>
      </c>
      <c r="E21" s="1403">
        <v>341.8</v>
      </c>
    </row>
    <row r="22" spans="2:5">
      <c r="B22">
        <v>20</v>
      </c>
      <c r="C22">
        <v>7</v>
      </c>
      <c r="D22" s="1403">
        <v>2</v>
      </c>
      <c r="E22" s="1403">
        <v>238.96</v>
      </c>
    </row>
    <row r="23" spans="2:5">
      <c r="B23">
        <v>21</v>
      </c>
      <c r="C23">
        <v>8</v>
      </c>
      <c r="D23" s="1403">
        <v>1</v>
      </c>
      <c r="E23" s="1403">
        <v>341.8</v>
      </c>
    </row>
    <row r="24" spans="2:5">
      <c r="B24">
        <v>22</v>
      </c>
      <c r="C24">
        <v>11</v>
      </c>
      <c r="D24" s="1403">
        <v>1</v>
      </c>
      <c r="E24" s="1403">
        <v>2358.61</v>
      </c>
    </row>
    <row r="25" spans="2:5">
      <c r="B25">
        <v>23</v>
      </c>
      <c r="C25">
        <v>11</v>
      </c>
      <c r="D25" s="1403">
        <v>4</v>
      </c>
      <c r="E25" s="1403">
        <v>2226.8000000000002</v>
      </c>
    </row>
    <row r="26" spans="2:5">
      <c r="B26">
        <v>24</v>
      </c>
      <c r="C26">
        <v>11</v>
      </c>
      <c r="D26" s="1403" t="s">
        <v>3939</v>
      </c>
      <c r="E26" s="1403">
        <v>331.44</v>
      </c>
    </row>
    <row r="27" spans="2:5">
      <c r="B27">
        <v>25</v>
      </c>
      <c r="C27">
        <v>11</v>
      </c>
      <c r="D27" s="1403">
        <v>3</v>
      </c>
      <c r="E27" s="1403">
        <v>1998.98</v>
      </c>
    </row>
    <row r="28" spans="2:5">
      <c r="B28">
        <v>26</v>
      </c>
      <c r="C28">
        <v>11</v>
      </c>
      <c r="D28" s="1403">
        <v>11</v>
      </c>
      <c r="E28" s="1403">
        <v>2012.41</v>
      </c>
    </row>
    <row r="29" spans="2:5">
      <c r="B29">
        <v>27</v>
      </c>
      <c r="C29">
        <v>1</v>
      </c>
      <c r="D29" s="1403">
        <v>2</v>
      </c>
      <c r="E29" s="1403">
        <v>463.02</v>
      </c>
    </row>
    <row r="30" spans="2:5">
      <c r="B30">
        <v>28</v>
      </c>
      <c r="C30">
        <v>8</v>
      </c>
      <c r="D30" s="1403">
        <v>2</v>
      </c>
      <c r="E30" s="1403">
        <v>238.96</v>
      </c>
    </row>
    <row r="31" spans="2:5">
      <c r="B31">
        <v>29</v>
      </c>
      <c r="C31">
        <v>7</v>
      </c>
      <c r="D31" s="1403">
        <v>1</v>
      </c>
      <c r="E31" s="1403">
        <v>341.8</v>
      </c>
    </row>
    <row r="32" spans="2:5">
      <c r="B32">
        <v>30</v>
      </c>
      <c r="C32">
        <v>5</v>
      </c>
      <c r="D32" s="1403">
        <v>2</v>
      </c>
      <c r="E32" s="1403">
        <v>238.96</v>
      </c>
    </row>
    <row r="33" spans="2:5">
      <c r="B33">
        <v>31</v>
      </c>
      <c r="C33">
        <v>2</v>
      </c>
      <c r="D33" s="1403">
        <v>2</v>
      </c>
      <c r="E33" s="1403">
        <v>445.56</v>
      </c>
    </row>
    <row r="34" spans="2:5">
      <c r="B34">
        <v>32</v>
      </c>
      <c r="C34">
        <v>1</v>
      </c>
      <c r="D34" s="1403">
        <v>4</v>
      </c>
      <c r="E34" s="1403">
        <v>463.02</v>
      </c>
    </row>
    <row r="35" spans="2:5">
      <c r="B35">
        <v>33</v>
      </c>
      <c r="C35">
        <v>2</v>
      </c>
      <c r="D35" s="1403">
        <v>1</v>
      </c>
      <c r="E35" s="1403">
        <v>445.56</v>
      </c>
    </row>
    <row r="36" spans="2:5">
      <c r="B36">
        <v>34</v>
      </c>
      <c r="C36">
        <v>1</v>
      </c>
      <c r="D36" s="1403">
        <v>2</v>
      </c>
      <c r="E36" s="1403">
        <v>6997.04</v>
      </c>
    </row>
    <row r="37" spans="2:5">
      <c r="B37">
        <v>35</v>
      </c>
      <c r="C37">
        <v>11</v>
      </c>
      <c r="D37" s="1403">
        <v>6</v>
      </c>
      <c r="E37" s="1403">
        <v>2218.0700000000002</v>
      </c>
    </row>
    <row r="38" spans="2:5">
      <c r="B38">
        <v>36</v>
      </c>
      <c r="C38">
        <v>11</v>
      </c>
      <c r="D38" s="1403">
        <v>5</v>
      </c>
      <c r="E38" s="1403">
        <v>2218.0700000000002</v>
      </c>
    </row>
    <row r="39" spans="2:5">
      <c r="B39">
        <v>37</v>
      </c>
      <c r="C39">
        <v>4</v>
      </c>
      <c r="D39" s="1403">
        <v>6</v>
      </c>
      <c r="E39" s="1403">
        <v>712.07</v>
      </c>
    </row>
    <row r="40" spans="2:5">
      <c r="B40">
        <v>38</v>
      </c>
      <c r="C40">
        <v>10</v>
      </c>
      <c r="D40" s="1403">
        <v>1</v>
      </c>
      <c r="E40" s="1403">
        <v>3934.37</v>
      </c>
    </row>
    <row r="41" spans="2:5">
      <c r="B41">
        <v>39</v>
      </c>
      <c r="C41">
        <v>3</v>
      </c>
      <c r="D41" s="1403">
        <v>1</v>
      </c>
      <c r="E41" s="1403">
        <v>673.41</v>
      </c>
    </row>
    <row r="42" spans="2:5">
      <c r="B42">
        <v>40</v>
      </c>
      <c r="C42">
        <v>10</v>
      </c>
      <c r="D42" s="1403">
        <v>3</v>
      </c>
      <c r="E42" s="1403">
        <v>3281.85</v>
      </c>
    </row>
    <row r="43" spans="2:5">
      <c r="B43">
        <v>41</v>
      </c>
      <c r="C43">
        <v>3</v>
      </c>
      <c r="D43" s="1403">
        <v>2</v>
      </c>
      <c r="E43" s="1403">
        <v>673.41</v>
      </c>
    </row>
    <row r="44" spans="2:5">
      <c r="B44">
        <v>42</v>
      </c>
      <c r="C44">
        <v>4</v>
      </c>
      <c r="D44" s="1403">
        <v>1</v>
      </c>
      <c r="E44" s="1403">
        <v>735.78</v>
      </c>
    </row>
    <row r="45" spans="2:5">
      <c r="B45">
        <v>43</v>
      </c>
      <c r="C45">
        <v>10</v>
      </c>
      <c r="D45" s="1403">
        <v>5</v>
      </c>
      <c r="E45" s="1403">
        <v>1622.31</v>
      </c>
    </row>
    <row r="46" spans="2:5">
      <c r="B46">
        <v>44</v>
      </c>
      <c r="C46">
        <v>4</v>
      </c>
      <c r="D46" s="1403">
        <v>5</v>
      </c>
      <c r="E46" s="1403">
        <v>735.78</v>
      </c>
    </row>
    <row r="47" spans="2:5">
      <c r="B47">
        <v>45</v>
      </c>
      <c r="C47">
        <v>3</v>
      </c>
      <c r="D47" s="1403">
        <v>6</v>
      </c>
      <c r="E47" s="1403">
        <v>649.66</v>
      </c>
    </row>
    <row r="48" spans="2:5">
      <c r="B48">
        <v>46</v>
      </c>
      <c r="C48">
        <v>3</v>
      </c>
      <c r="D48" s="1403">
        <v>4</v>
      </c>
      <c r="E48" s="1403">
        <v>673.41</v>
      </c>
    </row>
    <row r="49" spans="2:5">
      <c r="B49">
        <v>47</v>
      </c>
      <c r="C49">
        <v>10</v>
      </c>
      <c r="D49" s="1403">
        <v>6</v>
      </c>
      <c r="E49" s="1403">
        <v>1622.31</v>
      </c>
    </row>
    <row r="50" spans="2:5">
      <c r="B50">
        <v>48</v>
      </c>
      <c r="C50">
        <v>4</v>
      </c>
      <c r="D50" s="1403">
        <v>2</v>
      </c>
      <c r="E50" s="1403">
        <v>735.78</v>
      </c>
    </row>
    <row r="51" spans="2:5">
      <c r="B51">
        <v>49</v>
      </c>
      <c r="C51">
        <v>4</v>
      </c>
      <c r="D51" s="1403">
        <v>4</v>
      </c>
      <c r="E51" s="1403">
        <v>735.78</v>
      </c>
    </row>
    <row r="52" spans="2:5">
      <c r="B52">
        <v>50</v>
      </c>
      <c r="C52">
        <v>10</v>
      </c>
      <c r="D52" s="1403">
        <v>1</v>
      </c>
      <c r="E52" s="1403">
        <v>127.81</v>
      </c>
    </row>
    <row r="53" spans="2:5">
      <c r="B53">
        <v>51</v>
      </c>
      <c r="C53">
        <v>3</v>
      </c>
      <c r="D53" s="1403">
        <v>3</v>
      </c>
      <c r="E53" s="1403">
        <v>673.41</v>
      </c>
    </row>
    <row r="54" spans="2:5">
      <c r="B54">
        <v>52</v>
      </c>
      <c r="C54">
        <v>3</v>
      </c>
      <c r="D54" s="1403">
        <v>5</v>
      </c>
      <c r="E54" s="1403">
        <v>673.41</v>
      </c>
    </row>
    <row r="55" spans="2:5">
      <c r="B55">
        <v>53</v>
      </c>
      <c r="C55">
        <v>10</v>
      </c>
      <c r="D55" s="1403">
        <v>2</v>
      </c>
      <c r="E55" s="1403">
        <v>3667.17</v>
      </c>
    </row>
    <row r="56" spans="2:5">
      <c r="B56">
        <v>54</v>
      </c>
      <c r="C56">
        <v>10</v>
      </c>
      <c r="D56" s="1403">
        <v>4</v>
      </c>
      <c r="E56" s="1403">
        <v>1622.31</v>
      </c>
    </row>
    <row r="57" spans="2:5">
      <c r="B57">
        <v>55</v>
      </c>
      <c r="C57">
        <v>4</v>
      </c>
      <c r="D57" s="1403">
        <v>3</v>
      </c>
      <c r="E57" s="1403">
        <v>735.78</v>
      </c>
    </row>
    <row r="58" spans="2:5">
      <c r="E58">
        <f>SUM(E3:E57)</f>
        <v>83292.240000000005</v>
      </c>
    </row>
  </sheetData>
  <phoneticPr fontId="13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8" sqref="F18"/>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3343</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3329</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3330</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3331</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3332</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3333</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3334</v>
      </c>
    </row>
    <row r="8" spans="1:23">
      <c r="A8" s="1439" t="s">
        <v>1026</v>
      </c>
      <c r="B8" s="1439" t="s">
        <v>1027</v>
      </c>
      <c r="C8" s="1440" t="s">
        <v>319</v>
      </c>
      <c r="F8" s="1441" t="s">
        <v>1028</v>
      </c>
      <c r="H8" s="1441" t="s">
        <v>2569</v>
      </c>
      <c r="I8" s="1441" t="s">
        <v>3335</v>
      </c>
    </row>
    <row r="9" spans="1:23">
      <c r="A9" s="1439" t="s">
        <v>1029</v>
      </c>
      <c r="B9" s="1439" t="s">
        <v>1030</v>
      </c>
      <c r="C9" s="1440" t="s">
        <v>320</v>
      </c>
      <c r="F9" s="1441" t="s">
        <v>1031</v>
      </c>
      <c r="H9" s="1441"/>
      <c r="I9" s="1443" t="s">
        <v>3336</v>
      </c>
    </row>
    <row r="10" spans="1:23">
      <c r="A10" s="1439" t="s">
        <v>1032</v>
      </c>
      <c r="B10" s="1439" t="s">
        <v>1033</v>
      </c>
      <c r="C10" s="1440" t="s">
        <v>321</v>
      </c>
      <c r="F10" s="1441" t="s">
        <v>2570</v>
      </c>
      <c r="I10" s="1443" t="s">
        <v>3337</v>
      </c>
    </row>
    <row r="11" spans="1:23">
      <c r="A11" s="1439" t="s">
        <v>1034</v>
      </c>
      <c r="B11" s="1439" t="s">
        <v>1035</v>
      </c>
      <c r="C11" s="1440" t="s">
        <v>322</v>
      </c>
      <c r="F11" s="1441" t="s">
        <v>13</v>
      </c>
      <c r="I11" s="1443" t="s">
        <v>3338</v>
      </c>
    </row>
    <row r="12" spans="1:23">
      <c r="A12" s="1439" t="s">
        <v>1036</v>
      </c>
      <c r="B12" s="1439" t="s">
        <v>1037</v>
      </c>
      <c r="C12" s="1440" t="s">
        <v>323</v>
      </c>
      <c r="I12" s="1443" t="s">
        <v>3339</v>
      </c>
    </row>
    <row r="13" spans="1:23">
      <c r="A13" s="1439" t="s">
        <v>1038</v>
      </c>
      <c r="B13" s="1439" t="s">
        <v>1039</v>
      </c>
      <c r="C13" s="1440" t="s">
        <v>324</v>
      </c>
      <c r="I13" s="1443" t="s">
        <v>3340</v>
      </c>
    </row>
    <row r="14" spans="1:23">
      <c r="A14" s="1439" t="s">
        <v>1040</v>
      </c>
      <c r="B14" s="1439" t="s">
        <v>1041</v>
      </c>
      <c r="C14" s="1441" t="s">
        <v>13</v>
      </c>
      <c r="I14" s="1443" t="s">
        <v>3341</v>
      </c>
    </row>
    <row r="15" spans="1:23">
      <c r="A15" s="1439" t="s">
        <v>1042</v>
      </c>
      <c r="B15" s="1439" t="s">
        <v>1043</v>
      </c>
      <c r="C15" s="1440"/>
      <c r="I15" s="1443" t="s">
        <v>3342</v>
      </c>
    </row>
    <row r="16" spans="1:23">
      <c r="A16" s="1439" t="s">
        <v>1044</v>
      </c>
      <c r="B16" s="1439" t="s">
        <v>312</v>
      </c>
      <c r="C16" s="1440"/>
    </row>
    <row r="17" spans="1:3">
      <c r="A17" s="1439" t="s">
        <v>1045</v>
      </c>
      <c r="B17" s="1439" t="s">
        <v>2283</v>
      </c>
      <c r="C17" s="1440"/>
    </row>
    <row r="18" spans="1:3">
      <c r="A18" s="1439" t="s">
        <v>1046</v>
      </c>
      <c r="B18" s="1439" t="s">
        <v>2425</v>
      </c>
      <c r="C18" s="1440"/>
    </row>
    <row r="19" spans="1:3">
      <c r="A19" s="1439" t="s">
        <v>1047</v>
      </c>
      <c r="B19" s="1439" t="s">
        <v>3900</v>
      </c>
      <c r="C19" s="1440"/>
    </row>
    <row r="20" spans="1:3">
      <c r="A20" s="1439" t="s">
        <v>1048</v>
      </c>
      <c r="B20" s="1439" t="s">
        <v>3902</v>
      </c>
      <c r="C20" s="1440"/>
    </row>
    <row r="21" spans="1:3">
      <c r="A21" s="1439" t="s">
        <v>1049</v>
      </c>
      <c r="B21" s="1439" t="s">
        <v>3904</v>
      </c>
      <c r="C21" s="1440"/>
    </row>
    <row r="22" spans="1:3">
      <c r="A22" s="1439" t="s">
        <v>1050</v>
      </c>
      <c r="B22" s="1439" t="s">
        <v>3906</v>
      </c>
      <c r="C22" s="1440"/>
    </row>
    <row r="23" spans="1:3">
      <c r="A23" s="1439" t="s">
        <v>1051</v>
      </c>
      <c r="B23" s="1439" t="s">
        <v>3908</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58"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8"/>
      <c r="B54" s="1445" t="s">
        <v>385</v>
      </c>
      <c r="C54" s="1443" t="s">
        <v>583</v>
      </c>
    </row>
    <row r="55" spans="1:4">
      <c r="A55" s="3258"/>
      <c r="B55" s="1445" t="s">
        <v>386</v>
      </c>
      <c r="C55" s="1443" t="s">
        <v>584</v>
      </c>
    </row>
    <row r="56" spans="1:4">
      <c r="A56" s="3258"/>
      <c r="B56" s="1445" t="s">
        <v>387</v>
      </c>
      <c r="C56" s="1443" t="s">
        <v>588</v>
      </c>
    </row>
    <row r="57" spans="1:4">
      <c r="A57" s="3258"/>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7" t="s">
        <v>2167</v>
      </c>
      <c r="B1" s="3259" t="str">
        <f>IF(B10="北京市","北京市",C10)&amp;F10&amp;IF(结果表!G1="在建","出让国有建设用地使用权及在建建筑物",IF(结果表!G1="土地","出让国有建设用地使用权",))&amp;B9&amp;"预评估"</f>
        <v>北京市房地产抵押价值预评估</v>
      </c>
      <c r="C1" s="3260"/>
      <c r="D1" s="3260"/>
      <c r="E1" s="3260"/>
      <c r="F1" s="3260"/>
      <c r="G1" s="3260"/>
      <c r="H1" s="3260"/>
      <c r="I1" s="3261"/>
      <c r="J1" s="2241"/>
      <c r="K1" s="2179"/>
      <c r="L1" s="2180"/>
      <c r="M1" s="2180"/>
      <c r="N1" s="2178"/>
      <c r="O1" s="1464"/>
      <c r="P1" s="2178"/>
      <c r="Q1" s="2178"/>
      <c r="R1" s="2178"/>
      <c r="S1" s="1559" t="str">
        <f>IF(B10="北京市","北京市",C10)&amp;F10&amp;IF(结果表!G1="在建","出让国有建设用地使用权及在建建筑物房地产抵押价值",IF(结果表!G1="土地","出让国有建设用地使用权抵押价值",B9))</f>
        <v>北京市房地产抵押价值</v>
      </c>
      <c r="T1" s="1616"/>
      <c r="U1" s="1616"/>
      <c r="V1" s="1616"/>
      <c r="W1" s="1616"/>
      <c r="X1" s="1616"/>
      <c r="Y1" s="1616"/>
      <c r="Z1" s="1616"/>
      <c r="AA1" s="1616"/>
      <c r="AB1" s="1616"/>
    </row>
    <row r="2" spans="1:30">
      <c r="A2" s="2178" t="s">
        <v>2168</v>
      </c>
      <c r="B2" s="122"/>
      <c r="D2" s="2444"/>
      <c r="E2" s="2437"/>
      <c r="F2" s="2437"/>
      <c r="G2" s="2438"/>
      <c r="H2" s="2438"/>
      <c r="I2" s="2438"/>
      <c r="J2" s="2241"/>
      <c r="K2" s="2179"/>
      <c r="L2" s="2180"/>
      <c r="M2" s="2180"/>
      <c r="N2" s="2178"/>
      <c r="O2" s="1464"/>
      <c r="P2" s="2178"/>
      <c r="Q2" s="2178"/>
      <c r="R2" s="2178"/>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2169</v>
      </c>
      <c r="B3" s="2181">
        <v>45463</v>
      </c>
      <c r="C3" s="2182" t="s">
        <v>2170</v>
      </c>
      <c r="D3" s="2181">
        <f>B3</f>
        <v>45463</v>
      </c>
      <c r="E3" s="2438"/>
      <c r="F3" s="2438"/>
      <c r="G3" s="2438"/>
      <c r="H3" s="2438"/>
      <c r="I3" s="2438"/>
      <c r="J3" s="2241"/>
      <c r="K3" s="2179"/>
      <c r="L3" s="2180"/>
      <c r="M3" s="2180"/>
      <c r="N3" s="2178"/>
      <c r="O3" s="1464"/>
      <c r="P3" s="2178"/>
      <c r="Q3" s="2178"/>
      <c r="R3" s="2178"/>
      <c r="S3" s="1559"/>
      <c r="T3" s="1616"/>
      <c r="U3" s="1616"/>
      <c r="V3" s="1616"/>
      <c r="W3" s="1616"/>
      <c r="X3" s="1616"/>
      <c r="Y3" s="1616"/>
      <c r="Z3" s="1616"/>
      <c r="AA3" s="1616"/>
      <c r="AB3" s="1616"/>
    </row>
    <row r="4" spans="1:30" ht="13.5" thickBot="1">
      <c r="A4" s="1025" t="s">
        <v>2171</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4"/>
      <c r="P4" s="2178"/>
      <c r="Q4" s="2178"/>
      <c r="R4" s="2178"/>
      <c r="S4" s="1559"/>
      <c r="T4" s="1616"/>
      <c r="U4" s="1616"/>
      <c r="V4" s="1616"/>
      <c r="W4" s="1616"/>
      <c r="X4" s="1616"/>
      <c r="Y4" s="1616"/>
      <c r="Z4" s="1616"/>
      <c r="AA4" s="1616"/>
      <c r="AB4" s="1616"/>
    </row>
    <row r="5" spans="1:30" ht="13.5" thickTop="1">
      <c r="A5" s="2186" t="s">
        <v>2172</v>
      </c>
      <c r="B5" s="2187"/>
      <c r="C5" s="2188"/>
      <c r="D5" s="2189"/>
      <c r="E5" s="2438"/>
      <c r="F5" s="2438"/>
      <c r="G5" s="2438"/>
      <c r="H5" s="2438"/>
      <c r="I5" s="2438"/>
      <c r="J5" s="2241"/>
      <c r="K5" s="2185" t="str">
        <f>IF(F4="——","",IF(H4="——",F4&amp;"（注册号："&amp;G4&amp;")",CONCATENATE(F4,"（注册号：",G4,")、",H4,"（注册号：",I4,")")))</f>
        <v>（注册号：0)、（注册号：0)</v>
      </c>
      <c r="L5" s="2180"/>
      <c r="M5" s="2180"/>
      <c r="N5" s="2178"/>
      <c r="O5" s="1464"/>
      <c r="P5" s="2178"/>
      <c r="Q5" s="2178"/>
      <c r="R5" s="2178"/>
      <c r="S5" s="1616"/>
      <c r="T5" s="1616"/>
      <c r="U5" s="1616"/>
      <c r="V5" s="1616"/>
      <c r="W5" s="1616"/>
      <c r="X5" s="1616"/>
      <c r="Y5" s="1616"/>
      <c r="Z5" s="1616"/>
      <c r="AA5" s="1616"/>
      <c r="AB5" s="1616"/>
    </row>
    <row r="6" spans="1:30">
      <c r="A6" s="2190" t="s">
        <v>2173</v>
      </c>
      <c r="B6" s="2191"/>
      <c r="C6" s="2192"/>
      <c r="D6" s="2193"/>
      <c r="E6" s="2437"/>
      <c r="F6" s="2438"/>
      <c r="G6" s="2438"/>
      <c r="H6" s="2438"/>
      <c r="I6" s="2438"/>
      <c r="J6" s="2241"/>
      <c r="K6" s="2397" t="str">
        <f>IF(COUNTIF(B6,"*上海银行*"),"上海银行","")</f>
        <v/>
      </c>
      <c r="L6" s="2395"/>
      <c r="M6" s="2395"/>
      <c r="N6" s="2241"/>
      <c r="O6" s="1668"/>
      <c r="P6" s="2241"/>
      <c r="Q6" s="2241"/>
      <c r="R6" s="2241"/>
    </row>
    <row r="7" spans="1:30">
      <c r="A7" s="2190" t="s">
        <v>2174</v>
      </c>
      <c r="B7" s="2194"/>
      <c r="C7" s="2192"/>
      <c r="D7" s="2193"/>
      <c r="E7" s="2437"/>
      <c r="F7" s="2438"/>
      <c r="G7" s="2438"/>
      <c r="H7" s="2438"/>
      <c r="I7" s="2438"/>
      <c r="J7" s="2241"/>
      <c r="K7" s="2398"/>
      <c r="L7" s="2395"/>
      <c r="M7" s="2395"/>
      <c r="N7" s="2241"/>
      <c r="O7" s="1668"/>
      <c r="P7" s="2241"/>
      <c r="Q7" s="2241"/>
      <c r="R7" s="2241"/>
    </row>
    <row r="8" spans="1:30">
      <c r="A8" s="2195" t="s">
        <v>2175</v>
      </c>
      <c r="B8" s="2196" t="s">
        <v>3380</v>
      </c>
      <c r="C8" s="2197"/>
      <c r="D8" s="3262" t="s">
        <v>2176</v>
      </c>
      <c r="E8" s="2198" t="s">
        <v>3381</v>
      </c>
      <c r="F8" s="2199"/>
      <c r="G8" s="2438"/>
      <c r="H8" s="2438"/>
      <c r="I8" s="2438"/>
      <c r="J8" s="2241"/>
      <c r="K8" s="2396"/>
      <c r="L8" s="2395"/>
      <c r="M8" s="2395"/>
      <c r="N8" s="2241"/>
      <c r="O8" s="1668"/>
      <c r="P8" s="2241"/>
      <c r="Q8" s="2241"/>
      <c r="R8" s="2241"/>
    </row>
    <row r="9" spans="1:30" ht="13.5" thickBot="1">
      <c r="A9" s="2200" t="s">
        <v>2177</v>
      </c>
      <c r="B9" s="2201" t="s">
        <v>3381</v>
      </c>
      <c r="C9" s="2202"/>
      <c r="D9" s="3263"/>
      <c r="E9" s="2201" t="s">
        <v>43</v>
      </c>
      <c r="F9" s="2203"/>
      <c r="G9" s="2439"/>
      <c r="H9" s="2439"/>
      <c r="I9" s="2439"/>
      <c r="J9" s="2241"/>
      <c r="K9" s="2398"/>
      <c r="L9" s="2395"/>
      <c r="M9" s="2395"/>
      <c r="N9" s="2241"/>
      <c r="O9" s="1668"/>
      <c r="P9" s="2241"/>
      <c r="Q9" s="2241"/>
      <c r="R9" s="2241"/>
    </row>
    <row r="10" spans="1:30" ht="13.5" thickTop="1">
      <c r="A10" s="2204" t="s">
        <v>2178</v>
      </c>
      <c r="B10" s="2205" t="s">
        <v>3382</v>
      </c>
      <c r="C10" s="2206"/>
      <c r="D10" s="2189"/>
      <c r="E10" s="2207" t="s">
        <v>2179</v>
      </c>
      <c r="F10" s="2440"/>
      <c r="G10" s="2441"/>
      <c r="H10" s="2442"/>
      <c r="I10" s="2443"/>
      <c r="J10" s="2241"/>
      <c r="K10" s="2398"/>
      <c r="L10" s="2395"/>
      <c r="M10" s="2395"/>
      <c r="N10" s="2241"/>
      <c r="O10" s="1668"/>
      <c r="P10" s="2241"/>
      <c r="Q10" s="2241"/>
      <c r="R10" s="2241"/>
    </row>
    <row r="11" spans="1:30">
      <c r="A11" s="2208" t="s">
        <v>2180</v>
      </c>
      <c r="B11" s="2209" t="s">
        <v>3383</v>
      </c>
      <c r="C11" s="2210"/>
      <c r="D11" s="2211"/>
      <c r="E11" s="2178"/>
      <c r="F11" s="2178"/>
      <c r="G11" s="2178"/>
      <c r="H11" s="2178"/>
      <c r="I11" s="2178"/>
      <c r="J11" s="2798"/>
      <c r="K11" s="2395"/>
      <c r="L11" s="2395"/>
      <c r="M11" s="2395"/>
      <c r="N11" s="2241"/>
      <c r="O11" s="1668"/>
      <c r="P11" s="2241"/>
      <c r="Q11" s="2241"/>
      <c r="R11" s="2241"/>
    </row>
    <row r="12" spans="1:30">
      <c r="A12" s="2212" t="s">
        <v>2181</v>
      </c>
      <c r="B12" s="315" t="s">
        <v>2182</v>
      </c>
      <c r="C12" s="2213" t="s">
        <v>2183</v>
      </c>
      <c r="D12" s="2213" t="s">
        <v>2184</v>
      </c>
      <c r="E12" s="2213" t="s">
        <v>2185</v>
      </c>
      <c r="F12" s="2213" t="s">
        <v>2186</v>
      </c>
      <c r="G12" s="2213" t="s">
        <v>2187</v>
      </c>
      <c r="H12" s="2213" t="s">
        <v>2188</v>
      </c>
      <c r="I12" s="2797" t="s">
        <v>2568</v>
      </c>
      <c r="J12" s="2799"/>
      <c r="K12" s="2395"/>
      <c r="L12" s="2395"/>
      <c r="M12" s="2241"/>
      <c r="N12" s="1668"/>
      <c r="O12" s="2241"/>
      <c r="P12" s="2241"/>
      <c r="Q12" s="2241"/>
      <c r="AD12" s="1616"/>
    </row>
    <row r="13" spans="1:30">
      <c r="A13" s="3118" t="s">
        <v>3324</v>
      </c>
      <c r="B13" s="2214" t="s">
        <v>2189</v>
      </c>
      <c r="C13" s="801"/>
      <c r="D13" s="801"/>
      <c r="E13" s="801"/>
      <c r="F13" s="801">
        <v>57019</v>
      </c>
      <c r="G13" s="801"/>
      <c r="H13" s="801">
        <v>57019</v>
      </c>
      <c r="I13" s="801"/>
      <c r="J13" s="2799"/>
      <c r="K13" s="2395"/>
      <c r="L13" s="2395"/>
      <c r="M13" s="2241"/>
      <c r="N13" s="1668"/>
      <c r="O13" s="2241"/>
      <c r="P13" s="2241"/>
      <c r="Q13" s="2241"/>
      <c r="AD13" s="1616"/>
    </row>
    <row r="14" spans="1:30">
      <c r="A14" s="1016"/>
      <c r="B14" s="2214" t="s">
        <v>2190</v>
      </c>
      <c r="C14" s="2215"/>
      <c r="D14" s="2215"/>
      <c r="E14" s="2215"/>
      <c r="F14" s="2215">
        <v>50</v>
      </c>
      <c r="G14" s="2215"/>
      <c r="H14" s="2215">
        <v>50</v>
      </c>
      <c r="I14" s="2215"/>
      <c r="J14" s="2800"/>
      <c r="K14" s="2395"/>
      <c r="L14" s="2395"/>
      <c r="M14" s="2241"/>
      <c r="N14" s="1668"/>
      <c r="O14" s="2241"/>
      <c r="P14" s="2241"/>
      <c r="Q14" s="2241"/>
      <c r="AD14" s="1616"/>
    </row>
    <row r="15" spans="1:30">
      <c r="A15" s="312"/>
      <c r="B15" s="2216" t="s">
        <v>2191</v>
      </c>
      <c r="C15" s="2217" t="str">
        <f>IF(A13="出让",IF(C13="","",ROUNDDOWN(MIN((C13-$D$3)/365,C14),2)),C14)</f>
        <v/>
      </c>
      <c r="D15" s="2217" t="str">
        <f>IF(A13="出让",IF(D13="","",ROUNDDOWN(MIN((D13-$D$3)/365,D14),2)),D14)</f>
        <v/>
      </c>
      <c r="E15" s="2217" t="str">
        <f>IF(A13="出让",IF(E13="","",ROUNDDOWN(MIN((E13-$D$3)/365,E14),2)),E14)</f>
        <v/>
      </c>
      <c r="F15" s="2217">
        <f>IF(A13="出让",IF(F13="","",ROUNDDOWN(MIN((F13-$D$3)/365,F14),2)),F14)</f>
        <v>31.66</v>
      </c>
      <c r="G15" s="2217" t="str">
        <f>IF(A13="出让",IF(G13="","",ROUNDDOWN(MIN((G13-$D$3)/365,G14),2)),G14)</f>
        <v/>
      </c>
      <c r="H15" s="2217">
        <f>IF(A13="出让",IF(H13="","",ROUNDDOWN(MIN((H13-$D$3)/365,H14),2)),H14)</f>
        <v>31.66</v>
      </c>
      <c r="I15" s="2217" t="str">
        <f>IF(A13="出让",IF(I13="","",ROUNDDOWN(MIN((I13-$D$3)/365,I14),2)),I14)</f>
        <v/>
      </c>
      <c r="J15" s="2801"/>
      <c r="K15" s="1668"/>
      <c r="L15" s="1668"/>
      <c r="M15" s="2241"/>
      <c r="N15" s="1668"/>
      <c r="O15" s="2241"/>
      <c r="P15" s="2241"/>
      <c r="Q15" s="2241"/>
      <c r="AD15" s="1616"/>
    </row>
    <row r="16" spans="1:30">
      <c r="A16" s="2207" t="s">
        <v>2192</v>
      </c>
      <c r="B16" s="3269"/>
      <c r="C16" s="3270"/>
      <c r="D16" s="3271"/>
      <c r="E16" s="2218" t="s">
        <v>2193</v>
      </c>
      <c r="F16" s="3272"/>
      <c r="G16" s="3273"/>
      <c r="H16" s="3273"/>
      <c r="I16" s="3274"/>
      <c r="J16" s="2241"/>
      <c r="K16" s="2399"/>
      <c r="L16" s="1668"/>
      <c r="M16" s="1668"/>
      <c r="N16" s="2241"/>
      <c r="O16" s="1668"/>
      <c r="P16" s="2241"/>
      <c r="Q16" s="2241"/>
      <c r="R16" s="2241"/>
    </row>
    <row r="17" spans="1:28">
      <c r="A17" s="305" t="s">
        <v>2194</v>
      </c>
      <c r="B17" s="294" t="s">
        <v>2195</v>
      </c>
      <c r="C17" s="8">
        <f>'数据-汇总表'!E3</f>
        <v>83292.240000000005</v>
      </c>
      <c r="D17" s="1254" t="s">
        <v>2196</v>
      </c>
      <c r="E17" s="3275" t="s">
        <v>2197</v>
      </c>
      <c r="F17" s="3276"/>
      <c r="G17" s="3276"/>
      <c r="H17" s="3276"/>
      <c r="I17" s="3277"/>
      <c r="J17" s="2241"/>
      <c r="K17" s="2400"/>
      <c r="L17" s="1668"/>
      <c r="M17" s="1668"/>
      <c r="N17" s="2241"/>
      <c r="O17" s="1668"/>
      <c r="P17" s="2241"/>
      <c r="Q17" s="2241"/>
      <c r="R17" s="2241"/>
      <c r="S17" s="2241"/>
      <c r="T17" s="2241"/>
      <c r="U17" s="2241"/>
      <c r="V17" s="2241"/>
    </row>
    <row r="18" spans="1:28" ht="24.75" thickBot="1">
      <c r="A18" s="2219" t="s">
        <v>2198</v>
      </c>
      <c r="B18" s="1025" t="s">
        <v>2199</v>
      </c>
      <c r="C18" s="2220">
        <f>'数据-汇总表'!D3</f>
        <v>55606.63</v>
      </c>
      <c r="D18" s="1027" t="s">
        <v>2200</v>
      </c>
      <c r="E18" s="3278" t="s">
        <v>2201</v>
      </c>
      <c r="F18" s="3279"/>
      <c r="G18" s="3279"/>
      <c r="H18" s="3279"/>
      <c r="I18" s="3280"/>
      <c r="J18" s="2241"/>
      <c r="K18" s="2400"/>
      <c r="L18" s="1668"/>
      <c r="M18" s="1668"/>
      <c r="N18" s="2241"/>
      <c r="O18" s="1668"/>
      <c r="P18" s="2241"/>
      <c r="Q18" s="2241"/>
      <c r="R18" s="2241"/>
      <c r="S18" s="2241"/>
      <c r="T18" s="2241"/>
      <c r="U18" s="2241"/>
      <c r="V18" s="2241"/>
    </row>
    <row r="19" spans="1:28" ht="37.5" thickTop="1" thickBot="1">
      <c r="A19" s="319" t="s">
        <v>1055</v>
      </c>
      <c r="B19" s="299" t="s">
        <v>2202</v>
      </c>
      <c r="C19" s="1453"/>
      <c r="D19" s="1454" t="s">
        <v>2203</v>
      </c>
      <c r="E19" s="1455"/>
      <c r="F19" s="1456" t="str">
        <f>IF(AND(C19="是",E19="否"),"是否提供他项权证或相关说明","")</f>
        <v/>
      </c>
      <c r="G19" s="1457"/>
      <c r="H19" s="2438"/>
      <c r="I19" s="2438"/>
      <c r="J19" s="2241"/>
      <c r="K19" s="2398"/>
      <c r="L19" s="2395"/>
      <c r="M19" s="2395"/>
      <c r="N19" s="2241"/>
      <c r="O19" s="1668"/>
      <c r="P19" s="2241"/>
      <c r="Q19" s="2241"/>
      <c r="R19" s="2241"/>
      <c r="S19" s="2241"/>
      <c r="T19" s="2241"/>
      <c r="U19" s="2241"/>
      <c r="V19" s="2241"/>
    </row>
    <row r="20" spans="1:28">
      <c r="A20" s="2413" t="s">
        <v>2204</v>
      </c>
      <c r="B20" s="3265" t="s">
        <v>2205</v>
      </c>
      <c r="C20" s="3266"/>
      <c r="D20" s="3267" t="s">
        <v>2206</v>
      </c>
      <c r="E20" s="3268"/>
      <c r="F20" s="2426" t="s">
        <v>1056</v>
      </c>
      <c r="G20" s="2438"/>
      <c r="H20" s="2438"/>
      <c r="I20" s="2438"/>
      <c r="J20" s="2241"/>
      <c r="K20" s="3264"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4"/>
      <c r="P20" s="2178"/>
      <c r="Q20" s="2178"/>
      <c r="R20" s="2178"/>
      <c r="S20" s="2178"/>
      <c r="T20" s="2178"/>
      <c r="U20" s="2178"/>
      <c r="V20" s="2178"/>
      <c r="W20" s="1616"/>
      <c r="X20" s="1616"/>
      <c r="Y20" s="1616"/>
      <c r="Z20" s="1616"/>
      <c r="AA20" s="1616"/>
      <c r="AB20" s="1616"/>
    </row>
    <row r="21" spans="1:28" ht="24.75" thickBot="1">
      <c r="A21" s="2413"/>
      <c r="B21" s="2414" t="s">
        <v>2208</v>
      </c>
      <c r="C21" s="2292" t="s">
        <v>1057</v>
      </c>
      <c r="D21" s="1458" t="s">
        <v>2209</v>
      </c>
      <c r="E21" s="2415" t="s">
        <v>1057</v>
      </c>
      <c r="F21" s="2427"/>
      <c r="G21" s="2438"/>
      <c r="H21" s="2438"/>
      <c r="I21" s="2438"/>
      <c r="J21" s="2241"/>
      <c r="K21" s="326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4"/>
      <c r="P21" s="2178"/>
      <c r="Q21" s="2178"/>
      <c r="R21" s="2178"/>
      <c r="S21" s="2178"/>
      <c r="T21" s="2178"/>
      <c r="U21" s="2178"/>
      <c r="V21" s="2178"/>
      <c r="W21" s="1616"/>
      <c r="X21" s="1616"/>
      <c r="Y21" s="1616"/>
      <c r="Z21" s="1616"/>
      <c r="AA21" s="1616"/>
      <c r="AB21" s="1616"/>
    </row>
    <row r="22" spans="1:28" ht="24.75" thickBot="1">
      <c r="A22" s="2413"/>
      <c r="B22" s="2416" t="s">
        <v>2210</v>
      </c>
      <c r="C22" s="2292" t="s">
        <v>1058</v>
      </c>
      <c r="D22" s="2438"/>
      <c r="E22" s="2438"/>
      <c r="F22" s="2438"/>
      <c r="G22" s="2438"/>
      <c r="H22" s="2438"/>
      <c r="I22" s="2438"/>
      <c r="J22" s="2241"/>
      <c r="K22" s="326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4"/>
      <c r="P22" s="2178"/>
      <c r="Q22" s="2178"/>
      <c r="R22" s="2178"/>
      <c r="S22" s="2178"/>
      <c r="T22" s="2178"/>
      <c r="U22" s="2178"/>
      <c r="V22" s="2178"/>
      <c r="W22" s="1616"/>
      <c r="X22" s="1616"/>
      <c r="Y22" s="1616"/>
      <c r="Z22" s="1616"/>
      <c r="AA22" s="1616"/>
      <c r="AB22" s="1616"/>
    </row>
    <row r="23" spans="1:28">
      <c r="A23" s="2417" t="s">
        <v>2211</v>
      </c>
      <c r="B23" s="2289" t="s">
        <v>2212</v>
      </c>
      <c r="C23" s="2418"/>
      <c r="D23" s="2419" t="s">
        <v>2212</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5" thickTop="1">
      <c r="A27" s="3282" t="s">
        <v>2213</v>
      </c>
      <c r="B27" s="312" t="s">
        <v>2214</v>
      </c>
      <c r="C27" s="2221"/>
      <c r="D27" s="2222"/>
      <c r="E27" s="2438"/>
      <c r="F27" s="2438"/>
      <c r="G27" s="2438"/>
      <c r="H27" s="2438"/>
      <c r="I27" s="2438"/>
      <c r="J27" s="2241"/>
      <c r="K27" s="2399"/>
      <c r="L27" s="1668"/>
      <c r="M27" s="1668"/>
      <c r="N27" s="2241"/>
      <c r="O27" s="1668"/>
      <c r="P27" s="2241"/>
      <c r="Q27" s="2241"/>
      <c r="R27" s="2241"/>
      <c r="S27" s="2241"/>
      <c r="T27" s="2241"/>
      <c r="U27" s="2241"/>
      <c r="V27" s="2241"/>
    </row>
    <row r="28" spans="1:28">
      <c r="A28" s="3282"/>
      <c r="B28" s="294" t="s">
        <v>2215</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82"/>
      <c r="B29" s="294" t="s">
        <v>2216</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83"/>
      <c r="B30" s="294" t="s">
        <v>2217</v>
      </c>
      <c r="C30" s="3284"/>
      <c r="D30" s="3285"/>
      <c r="E30" s="2438"/>
      <c r="F30" s="2438"/>
      <c r="G30" s="2438"/>
      <c r="H30" s="2438"/>
      <c r="I30" s="2438"/>
      <c r="J30" s="2241"/>
      <c r="K30" s="2398"/>
      <c r="L30" s="2395"/>
      <c r="M30" s="2395"/>
      <c r="N30" s="2241"/>
      <c r="O30" s="1668"/>
      <c r="P30" s="2241"/>
      <c r="Q30" s="2241"/>
      <c r="R30" s="2241"/>
      <c r="S30" s="2241"/>
      <c r="T30" s="2241"/>
      <c r="U30" s="2241"/>
      <c r="V30" s="2241"/>
    </row>
    <row r="31" spans="1:28">
      <c r="A31" s="3286" t="s">
        <v>2218</v>
      </c>
      <c r="B31" s="2227"/>
      <c r="C31" s="12" t="str">
        <f>IF(B31="现房","成新及维护状况正常否",IF(B31="在建","工程状态是否正常",IF(B31="土地","是否闲置","-")))</f>
        <v>-</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87"/>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87"/>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2219</v>
      </c>
      <c r="B34" s="1866"/>
      <c r="C34" s="1866"/>
      <c r="D34" s="1866"/>
      <c r="E34" s="1866"/>
      <c r="F34" s="1866"/>
      <c r="G34" s="1866"/>
      <c r="H34" s="1866"/>
      <c r="I34" s="2438"/>
      <c r="J34" s="2241"/>
      <c r="K34" s="8">
        <f>COUNTIF(B34:H34,"——")</f>
        <v>0</v>
      </c>
      <c r="L34" s="315" t="s">
        <v>2220</v>
      </c>
      <c r="M34" s="315" t="s">
        <v>2221</v>
      </c>
      <c r="N34" s="315" t="s">
        <v>2222</v>
      </c>
      <c r="O34" s="315" t="s">
        <v>2223</v>
      </c>
      <c r="P34" s="315" t="s">
        <v>2224</v>
      </c>
      <c r="Q34" s="315" t="s">
        <v>2225</v>
      </c>
      <c r="R34" s="315" t="s">
        <v>2226</v>
      </c>
      <c r="S34" s="3281" t="s">
        <v>2227</v>
      </c>
      <c r="T34" s="315" t="str">
        <f>NUMBERSTRING(7-K34,1)&amp;"通"</f>
        <v>七通</v>
      </c>
      <c r="U34" s="2241"/>
      <c r="V34" s="2241"/>
    </row>
    <row r="35" spans="1:30">
      <c r="A35" s="2232"/>
      <c r="B35" s="3281" t="s">
        <v>2228</v>
      </c>
      <c r="C35" s="3281"/>
      <c r="D35" s="3281"/>
      <c r="E35" s="3281"/>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1"/>
      <c r="T35" s="138" t="str">
        <f>IF(T34="一通",L35,IF(T34="二通",M35,IF(T34="三通",N35,IF(T34="四通",O35,IF(T34="五通",P35,IF(T34="六通",Q35,R35))))))</f>
        <v>、、、、、、</v>
      </c>
      <c r="U35" s="2241"/>
      <c r="V35" s="2241"/>
    </row>
    <row r="36" spans="1:30">
      <c r="A36" s="2179"/>
      <c r="B36" s="8" t="s">
        <v>2184</v>
      </c>
      <c r="C36" s="8" t="s">
        <v>2185</v>
      </c>
      <c r="D36" s="8" t="s">
        <v>2183</v>
      </c>
      <c r="E36" s="8" t="s">
        <v>2188</v>
      </c>
      <c r="F36" s="2797" t="s">
        <v>2571</v>
      </c>
      <c r="G36" s="2438"/>
      <c r="H36" s="2438"/>
      <c r="I36" s="2438"/>
      <c r="J36" s="2241"/>
      <c r="K36" s="2398"/>
      <c r="L36" s="2395"/>
      <c r="M36" s="2395"/>
      <c r="N36" s="2241"/>
      <c r="O36" s="1668"/>
      <c r="P36" s="2241"/>
      <c r="Q36" s="2241"/>
      <c r="R36" s="2241"/>
      <c r="S36" s="2241"/>
      <c r="T36" s="2241"/>
      <c r="U36" s="2241"/>
      <c r="V36" s="2241"/>
    </row>
    <row r="37" spans="1:30">
      <c r="A37" s="2411" t="s">
        <v>2229</v>
      </c>
      <c r="B37" s="2233"/>
      <c r="C37" s="2233"/>
      <c r="D37" s="2233"/>
      <c r="E37" s="2233"/>
      <c r="F37" s="2233"/>
      <c r="G37" s="2438"/>
      <c r="H37" s="2438"/>
      <c r="I37" s="2438"/>
      <c r="J37" s="2241"/>
      <c r="K37" s="2398"/>
      <c r="L37" s="2395"/>
      <c r="M37" s="2395"/>
      <c r="N37" s="2241"/>
      <c r="O37" s="1668"/>
      <c r="P37" s="2241"/>
      <c r="Q37" s="2241"/>
      <c r="R37" s="2241"/>
      <c r="S37" s="2241"/>
      <c r="T37" s="2241"/>
      <c r="U37" s="2241"/>
      <c r="V37" s="2241"/>
    </row>
    <row r="38" spans="1:30" ht="13.5" thickBot="1">
      <c r="A38" s="2412" t="s">
        <v>2230</v>
      </c>
      <c r="B38" s="2234"/>
      <c r="C38" s="2234"/>
      <c r="D38" s="2234"/>
      <c r="E38" s="2234"/>
      <c r="F38" s="2234"/>
      <c r="G38" s="2439"/>
      <c r="H38" s="2439"/>
      <c r="I38" s="2439"/>
      <c r="J38" s="2241"/>
      <c r="K38" s="2398"/>
      <c r="L38" s="2395"/>
      <c r="M38" s="2395"/>
      <c r="N38" s="2241"/>
      <c r="O38" s="1668"/>
      <c r="P38" s="2241"/>
      <c r="Q38" s="2241"/>
      <c r="R38" s="2241"/>
      <c r="S38" s="2241"/>
      <c r="T38" s="2241"/>
      <c r="U38" s="2241"/>
      <c r="V38" s="2241"/>
    </row>
    <row r="39" spans="1:30" s="2237" customFormat="1" ht="14.25" thickTop="1" thickBot="1">
      <c r="A39" s="2235" t="s">
        <v>2231</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4"/>
      <c r="J40" s="2241"/>
      <c r="K40" s="2397"/>
      <c r="L40" s="1668"/>
      <c r="M40" s="1668"/>
      <c r="N40" s="2241"/>
      <c r="O40" s="1668"/>
      <c r="P40" s="2241"/>
      <c r="Q40" s="2241"/>
      <c r="R40" s="2241"/>
      <c r="S40" s="2241"/>
      <c r="T40" s="2241"/>
      <c r="U40" s="2241"/>
      <c r="V40" s="2241"/>
    </row>
    <row r="41" spans="1:30">
      <c r="A41" s="2238" t="s">
        <v>2232</v>
      </c>
      <c r="B41" s="1625"/>
      <c r="C41" s="1279"/>
      <c r="D41" s="2178"/>
      <c r="E41" s="2178"/>
      <c r="F41" s="2178"/>
      <c r="G41" s="2178"/>
      <c r="H41" s="2178"/>
      <c r="I41" s="1464"/>
      <c r="J41" s="2241"/>
      <c r="K41" s="2398"/>
      <c r="L41" s="2395"/>
      <c r="M41" s="2395"/>
      <c r="N41" s="2241"/>
      <c r="O41" s="1668"/>
      <c r="P41" s="2241"/>
      <c r="Q41" s="2241"/>
      <c r="R41" s="2241"/>
      <c r="S41" s="2241"/>
      <c r="T41" s="2241"/>
      <c r="U41" s="2241"/>
      <c r="V41" s="2241"/>
    </row>
    <row r="42" spans="1:30" ht="25.5">
      <c r="A42" s="315"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1"/>
      <c r="T42" s="2241"/>
      <c r="U42" s="2241"/>
      <c r="V42" s="2241"/>
    </row>
    <row r="43" spans="1:30" s="1614"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4"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4"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4"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4"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4"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4"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4"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4" customFormat="1">
      <c r="A51" s="1460"/>
      <c r="B51" s="1460"/>
      <c r="C51" s="628"/>
      <c r="D51" s="628"/>
      <c r="E51" s="628"/>
      <c r="F51" s="628"/>
      <c r="G51" s="628"/>
      <c r="H51" s="628"/>
      <c r="I51" s="628"/>
      <c r="J51" s="2239"/>
      <c r="K51" s="2240"/>
      <c r="L51" s="2240"/>
      <c r="M51" s="628"/>
      <c r="N51" s="628"/>
      <c r="O51" s="628"/>
      <c r="P51" s="628"/>
      <c r="Q51" s="628"/>
      <c r="R51" s="628"/>
    </row>
    <row r="52" spans="1:22" s="1614" customFormat="1">
      <c r="A52" s="1460"/>
      <c r="B52" s="1460"/>
      <c r="C52" s="1460"/>
      <c r="D52" s="1460"/>
      <c r="E52" s="1460"/>
      <c r="F52" s="628"/>
      <c r="G52" s="1460"/>
      <c r="H52" s="1460"/>
      <c r="I52" s="1460"/>
      <c r="J52" s="2242"/>
      <c r="K52" s="2240"/>
      <c r="L52" s="2240"/>
      <c r="M52" s="2240"/>
      <c r="N52" s="1460"/>
      <c r="O52" s="1460"/>
      <c r="P52" s="1460"/>
      <c r="Q52" s="1460"/>
      <c r="R52" s="1460"/>
    </row>
    <row r="53" spans="1:22" s="1614" customFormat="1">
      <c r="A53" s="1460"/>
      <c r="B53" s="1460"/>
      <c r="C53" s="1460"/>
      <c r="D53" s="1460"/>
      <c r="E53" s="1460"/>
      <c r="F53" s="628"/>
      <c r="G53" s="1460"/>
      <c r="H53" s="1460"/>
      <c r="I53" s="1460"/>
      <c r="J53" s="2242"/>
      <c r="K53" s="2240"/>
      <c r="L53" s="2240"/>
      <c r="M53" s="2240"/>
      <c r="N53" s="1460"/>
      <c r="O53" s="1460"/>
      <c r="P53" s="1460"/>
      <c r="Q53" s="1460"/>
      <c r="R53" s="1460"/>
    </row>
    <row r="54" spans="1:22" s="1614" customFormat="1">
      <c r="A54" s="1460"/>
      <c r="B54" s="1460"/>
      <c r="C54" s="1460"/>
      <c r="D54" s="1460"/>
      <c r="E54" s="1460"/>
      <c r="F54" s="628"/>
      <c r="G54" s="1460"/>
      <c r="H54" s="1460"/>
      <c r="I54" s="1460"/>
      <c r="J54" s="2242"/>
      <c r="K54" s="2240"/>
      <c r="L54" s="2240"/>
      <c r="M54" s="2240"/>
      <c r="N54" s="1460"/>
      <c r="O54" s="1460"/>
      <c r="P54" s="1460"/>
      <c r="Q54" s="1460"/>
      <c r="R54" s="1460"/>
    </row>
    <row r="55" spans="1:22" s="1614" customFormat="1">
      <c r="A55" s="1460"/>
      <c r="B55" s="1460"/>
      <c r="C55" s="1460"/>
      <c r="D55" s="1460"/>
      <c r="E55" s="1460"/>
      <c r="F55" s="628"/>
      <c r="G55" s="1460"/>
      <c r="H55" s="1460"/>
      <c r="I55" s="1460"/>
      <c r="J55" s="2242"/>
      <c r="K55" s="2240"/>
      <c r="L55" s="2240"/>
      <c r="M55" s="2240"/>
      <c r="N55" s="1460"/>
      <c r="O55" s="1460"/>
      <c r="P55" s="1460"/>
      <c r="Q55" s="1460"/>
      <c r="R55" s="1460"/>
    </row>
    <row r="56" spans="1:22" s="1614"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55606.63</v>
      </c>
      <c r="B3" s="11">
        <f>IF(C3="否",G5-AT5,G5)</f>
        <v>83292.240000000005</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85189.83</v>
      </c>
      <c r="H5" s="13">
        <f t="shared" ref="H5:AT5" si="0">SUM(H13:H656)</f>
        <v>83292.240000000005</v>
      </c>
      <c r="I5" s="13">
        <f t="shared" si="0"/>
        <v>77960.160000000003</v>
      </c>
      <c r="J5" s="13">
        <f t="shared" si="0"/>
        <v>0</v>
      </c>
      <c r="K5" s="13">
        <f t="shared" si="0"/>
        <v>924.8</v>
      </c>
      <c r="L5" s="13">
        <f t="shared" si="0"/>
        <v>0</v>
      </c>
      <c r="M5" s="13">
        <f t="shared" si="0"/>
        <v>4407.28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1897.59</v>
      </c>
      <c r="AU5" s="1256"/>
      <c r="AV5" s="12" t="s">
        <v>1071</v>
      </c>
      <c r="AW5" s="1257"/>
      <c r="AX5" s="1257"/>
      <c r="AY5" s="14" t="s">
        <v>2</v>
      </c>
      <c r="AZ5" s="15">
        <f t="shared" ref="AZ5:BT5" si="1">SUM(AZ13:AZ656)</f>
        <v>83292.240000000005</v>
      </c>
      <c r="BA5" s="15">
        <f t="shared" si="1"/>
        <v>83292.240000000005</v>
      </c>
      <c r="BB5" s="15">
        <f t="shared" si="1"/>
        <v>77960.160000000003</v>
      </c>
      <c r="BC5" s="15">
        <f t="shared" si="1"/>
        <v>924.8</v>
      </c>
      <c r="BD5" s="15">
        <f t="shared" si="1"/>
        <v>4407.28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55606.630000000005</v>
      </c>
      <c r="F6" s="13" t="s">
        <v>0</v>
      </c>
      <c r="G6" s="13" t="s">
        <v>1</v>
      </c>
      <c r="H6" s="17">
        <f>SUMIF(I$12:AB$12,"总值",I6:AB6)</f>
        <v>55606.630000000005</v>
      </c>
      <c r="I6" s="13">
        <f t="shared" ref="I6:AB6" si="2">ROUND($A$3*I5/$B$3,2)</f>
        <v>52046.89</v>
      </c>
      <c r="J6" s="13">
        <f t="shared" si="2"/>
        <v>0</v>
      </c>
      <c r="K6" s="13">
        <f t="shared" si="2"/>
        <v>617.4</v>
      </c>
      <c r="L6" s="13">
        <f t="shared" si="2"/>
        <v>0</v>
      </c>
      <c r="M6" s="13">
        <f t="shared" si="2"/>
        <v>2942.34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55606.63</v>
      </c>
      <c r="AZ6" s="13" t="s">
        <v>2</v>
      </c>
      <c r="BA6" s="13">
        <f>ROUND($AY$6*BA5/$AZ$5,2)</f>
        <v>55606.63</v>
      </c>
      <c r="BB6" s="13">
        <f>ROUND($AY$6*BB5/$AZ$5,2)</f>
        <v>52046.89</v>
      </c>
      <c r="BC6" s="13">
        <f t="shared" ref="BC6:BH6" si="4">ROUND($AY$6*BC5/$AZ$5,2)</f>
        <v>617.4</v>
      </c>
      <c r="BD6" s="13">
        <f t="shared" si="4"/>
        <v>2942.34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3438</v>
      </c>
      <c r="J9" s="759"/>
      <c r="K9" s="1489" t="s">
        <v>3439</v>
      </c>
      <c r="L9" s="759"/>
      <c r="M9" s="1489" t="s">
        <v>3439</v>
      </c>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3</v>
      </c>
      <c r="J10" s="759"/>
      <c r="K10" s="1495" t="s">
        <v>3</v>
      </c>
      <c r="L10" s="759"/>
      <c r="M10" s="1495" t="s">
        <v>3325</v>
      </c>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工业</v>
      </c>
      <c r="BC11" s="1485" t="str">
        <f>K10</f>
        <v>工业</v>
      </c>
      <c r="BD11" s="1485" t="str">
        <f>M10</f>
        <v>车库</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8"/>
      <c r="B13" s="628"/>
      <c r="C13" s="628" t="str">
        <f>Sheet1!A2</f>
        <v>1号楼</v>
      </c>
      <c r="D13" s="1511" t="s">
        <v>3444</v>
      </c>
      <c r="E13" s="13">
        <f>IF($C$3="是",ROUND($A$3*G13/$B$3,2),ROUND($A$3*(G13-AT13)/$B$3,2))</f>
        <v>10579.04</v>
      </c>
      <c r="F13" s="29"/>
      <c r="G13" s="30">
        <f>H13+AC13+AT13</f>
        <v>15846.16</v>
      </c>
      <c r="H13" s="17">
        <f>SUMIF(I$12:AB$12,"总值",I13:AB13)</f>
        <v>15846.16</v>
      </c>
      <c r="I13" s="1512">
        <f>Sheet1!C2</f>
        <v>15846.16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1号楼</v>
      </c>
      <c r="AY13" s="1258">
        <f>ROUND($AY$6*AZ13/$AZ$5,2)</f>
        <v>10579.04</v>
      </c>
      <c r="AZ13" s="13">
        <f>BA13+BL13</f>
        <v>15846.16</v>
      </c>
      <c r="BA13" s="13">
        <f>SUM(BB13:BK13)</f>
        <v>15846.16</v>
      </c>
      <c r="BB13" s="13">
        <f>IF($D13="是",I13-J13,0)</f>
        <v>15846.16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8"/>
      <c r="B14" s="628"/>
      <c r="C14" s="628" t="str">
        <f>Sheet1!A3</f>
        <v>2号楼</v>
      </c>
      <c r="D14" s="1511" t="s">
        <v>3444</v>
      </c>
      <c r="E14" s="13">
        <f>IF($C$3="是",ROUND($A$3*G14/$B$3,2),ROUND($A$3*(G14-AT14)/$B$3,2))</f>
        <v>5485.77</v>
      </c>
      <c r="F14" s="29"/>
      <c r="G14" s="30">
        <f>H14+AC14+AT14</f>
        <v>8217.0499999999993</v>
      </c>
      <c r="H14" s="17">
        <f>SUMIF(I$12:AB$12,"总值",I14:AB14)</f>
        <v>8217.0499999999993</v>
      </c>
      <c r="I14" s="1512">
        <f>Sheet1!C3</f>
        <v>8217.0499999999993</v>
      </c>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t="str">
        <f t="shared" si="6"/>
        <v>2号楼</v>
      </c>
      <c r="AY14" s="1258">
        <f>ROUND($AY$6*AZ14/$AZ$5,2)</f>
        <v>5485.77</v>
      </c>
      <c r="AZ14" s="13">
        <f>BA14+BL14</f>
        <v>8217.0499999999993</v>
      </c>
      <c r="BA14" s="13">
        <f>SUM(BB14:BK14)</f>
        <v>8217.0499999999993</v>
      </c>
      <c r="BB14" s="13">
        <f>IF($D14="是",I14-J14,0)</f>
        <v>8217.0499999999993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8"/>
      <c r="B15" s="628"/>
      <c r="C15" s="628" t="str">
        <f>Sheet1!A4</f>
        <v>3号楼</v>
      </c>
      <c r="D15" s="1511" t="s">
        <v>3444</v>
      </c>
      <c r="E15" s="13">
        <f>IF($C$3="是",ROUND($A$3*G15/$B$3,2),ROUND($A$3*(G15-AT15)/$B$3,2))</f>
        <v>2681.59</v>
      </c>
      <c r="F15" s="29"/>
      <c r="G15" s="30">
        <f>H15+AC15+AT15</f>
        <v>4016.71</v>
      </c>
      <c r="H15" s="17">
        <f>SUMIF(I$12:AB$12,"总值",I15:AB15)</f>
        <v>4016.71</v>
      </c>
      <c r="I15" s="1512">
        <f>Sheet1!C4</f>
        <v>4016.71</v>
      </c>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t="str">
        <f t="shared" si="6"/>
        <v>3号楼</v>
      </c>
      <c r="AY15" s="1258">
        <f>ROUND($AY$6*AZ15/$AZ$5,2)</f>
        <v>2681.59</v>
      </c>
      <c r="AZ15" s="13">
        <f>BA15+BL15</f>
        <v>4016.71</v>
      </c>
      <c r="BA15" s="13">
        <f>SUM(BB15:BK15)</f>
        <v>4016.71</v>
      </c>
      <c r="BB15" s="13">
        <f>IF($D15="是",I15-J15,0)</f>
        <v>4016.71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8"/>
      <c r="B16" s="628"/>
      <c r="C16" s="628" t="str">
        <f>Sheet1!A5</f>
        <v>4号楼</v>
      </c>
      <c r="D16" s="1511" t="s">
        <v>3444</v>
      </c>
      <c r="E16" s="13">
        <f>IF($C$3="是",ROUND($A$3*G16/$B$3,2),ROUND($A$3*(G16-AT16)/$B$3,2))</f>
        <v>2931.45</v>
      </c>
      <c r="F16" s="29"/>
      <c r="G16" s="30">
        <f>H16+AC16+AT16</f>
        <v>4390.97</v>
      </c>
      <c r="H16" s="17">
        <f>SUMIF(I$12:AB$12,"总值",I16:AB16)</f>
        <v>4390.97</v>
      </c>
      <c r="I16" s="1512">
        <f>Sheet1!C5</f>
        <v>4390.97</v>
      </c>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t="str">
        <f t="shared" si="6"/>
        <v>4号楼</v>
      </c>
      <c r="AY16" s="1258">
        <f>ROUND($AY$6*AZ16/$AZ$5,2)</f>
        <v>2931.45</v>
      </c>
      <c r="AZ16" s="13">
        <f>BA16+BL16</f>
        <v>4390.97</v>
      </c>
      <c r="BA16" s="13">
        <f>SUM(BB16:BK16)</f>
        <v>4390.97</v>
      </c>
      <c r="BB16" s="13">
        <f>IF($D16="是",I16-J16,0)</f>
        <v>4390.97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8"/>
      <c r="B17" s="628"/>
      <c r="C17" s="628" t="str">
        <f>Sheet1!A6</f>
        <v>5号楼</v>
      </c>
      <c r="D17" s="1511" t="s">
        <v>3444</v>
      </c>
      <c r="E17" s="13">
        <f>IF($C$3="是",ROUND($A$3*G17/$B$3,2),ROUND($A$3*(G17-AT17)/$B$3,2))</f>
        <v>387.72</v>
      </c>
      <c r="F17" s="29"/>
      <c r="G17" s="30">
        <f>H17+AC17+AT17</f>
        <v>580.76</v>
      </c>
      <c r="H17" s="17">
        <f>SUMIF(I$12:AB$12,"总值",I17:AB17)</f>
        <v>580.76</v>
      </c>
      <c r="I17" s="1512">
        <f>Sheet1!C6</f>
        <v>580.76</v>
      </c>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t="str">
        <f t="shared" si="6"/>
        <v>5号楼</v>
      </c>
      <c r="AY17" s="1258">
        <f>ROUND($AY$6*AZ17/$AZ$5,2)</f>
        <v>387.72</v>
      </c>
      <c r="AZ17" s="13">
        <f>BA17+BL17</f>
        <v>580.76</v>
      </c>
      <c r="BA17" s="13">
        <f>SUM(BB17:BK17)</f>
        <v>580.76</v>
      </c>
      <c r="BB17" s="13">
        <f>IF($D17="是",I17-J17,0)</f>
        <v>580.76</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Sheet1!A7</f>
        <v>6号楼</v>
      </c>
      <c r="D18" s="1511" t="s">
        <v>3444</v>
      </c>
      <c r="E18" s="32">
        <f t="shared" ref="E18:E112" si="7">IF($C$3="是",ROUND($A$3*G18/$B$3,2),ROUND($A$3*(G18-AT18)/$B$3,2))</f>
        <v>1447.57</v>
      </c>
      <c r="F18" s="33"/>
      <c r="G18" s="34">
        <f t="shared" ref="G18:G109" si="8">H18+AC18+AT18</f>
        <v>2168.29</v>
      </c>
      <c r="H18" s="35">
        <f t="shared" ref="H18:H109" si="9">SUMIF(I$12:AB$12,"总值",I18:AB18)</f>
        <v>2168.29</v>
      </c>
      <c r="I18" s="1512">
        <f>Sheet1!C9+Sheet1!C10</f>
        <v>1243.49</v>
      </c>
      <c r="J18" s="36"/>
      <c r="K18" s="36">
        <f>Sheet1!C8</f>
        <v>924.8</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t="str">
        <f t="shared" ref="AX18:AX112" si="13">C18</f>
        <v>6号楼</v>
      </c>
      <c r="AY18" s="38">
        <f t="shared" ref="AY18:AY109" si="14">ROUND($AY$6*AZ18/$AZ$5,2)</f>
        <v>1447.57</v>
      </c>
      <c r="AZ18" s="32">
        <f t="shared" ref="AZ18:AZ109" si="15">BA18+BL18</f>
        <v>2168.29</v>
      </c>
      <c r="BA18" s="32">
        <f t="shared" ref="BA18:BA109" si="16">SUM(BB18:BK18)</f>
        <v>2168.29</v>
      </c>
      <c r="BB18" s="32">
        <f t="shared" ref="BB18:BB109" si="17">IF($D18="是",I18-J18,0)</f>
        <v>1243.49</v>
      </c>
      <c r="BC18" s="32">
        <f t="shared" ref="BC18:BC109" si="18">IF($D18="是",K18-L18,0)</f>
        <v>924.8</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Sheet1!A11</f>
        <v>7号楼</v>
      </c>
      <c r="D19" s="1511" t="s">
        <v>3444</v>
      </c>
      <c r="E19" s="32">
        <f t="shared" si="7"/>
        <v>387.72</v>
      </c>
      <c r="F19" s="33"/>
      <c r="G19" s="34">
        <f t="shared" si="8"/>
        <v>580.76</v>
      </c>
      <c r="H19" s="35">
        <f t="shared" si="9"/>
        <v>580.76</v>
      </c>
      <c r="I19" s="1512">
        <f>Sheet1!C11</f>
        <v>580.76</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t="str">
        <f t="shared" si="13"/>
        <v>7号楼</v>
      </c>
      <c r="AY19" s="38">
        <f t="shared" si="14"/>
        <v>387.72</v>
      </c>
      <c r="AZ19" s="32">
        <f t="shared" si="15"/>
        <v>580.76</v>
      </c>
      <c r="BA19" s="32">
        <f t="shared" si="16"/>
        <v>580.76</v>
      </c>
      <c r="BB19" s="32">
        <f t="shared" si="17"/>
        <v>580.76</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Sheet1!A12</f>
        <v>8号楼</v>
      </c>
      <c r="D20" s="1511" t="s">
        <v>3444</v>
      </c>
      <c r="E20" s="32">
        <f t="shared" si="7"/>
        <v>387.72</v>
      </c>
      <c r="F20" s="33"/>
      <c r="G20" s="34">
        <f t="shared" si="8"/>
        <v>580.76</v>
      </c>
      <c r="H20" s="35">
        <f t="shared" si="9"/>
        <v>580.76</v>
      </c>
      <c r="I20" s="1512">
        <f>Sheet1!C12</f>
        <v>580.76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t="str">
        <f t="shared" si="13"/>
        <v>8号楼</v>
      </c>
      <c r="AY20" s="38">
        <f t="shared" si="14"/>
        <v>387.72</v>
      </c>
      <c r="AZ20" s="32">
        <f t="shared" si="15"/>
        <v>580.76</v>
      </c>
      <c r="BA20" s="32">
        <f t="shared" si="16"/>
        <v>580.76</v>
      </c>
      <c r="BB20" s="32">
        <f t="shared" si="17"/>
        <v>580.76</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Sheet1!A13</f>
        <v>9号楼</v>
      </c>
      <c r="D21" s="1511" t="s">
        <v>3444</v>
      </c>
      <c r="E21" s="32">
        <f t="shared" si="7"/>
        <v>387.72</v>
      </c>
      <c r="F21" s="33"/>
      <c r="G21" s="34">
        <f t="shared" si="8"/>
        <v>580.76</v>
      </c>
      <c r="H21" s="35">
        <f t="shared" si="9"/>
        <v>580.76</v>
      </c>
      <c r="I21" s="1512">
        <f>Sheet1!C13</f>
        <v>580.76</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t="str">
        <f t="shared" si="13"/>
        <v>9号楼</v>
      </c>
      <c r="AY21" s="38">
        <f t="shared" si="14"/>
        <v>387.72</v>
      </c>
      <c r="AZ21" s="32">
        <f t="shared" si="15"/>
        <v>580.76</v>
      </c>
      <c r="BA21" s="32">
        <f t="shared" si="16"/>
        <v>580.76</v>
      </c>
      <c r="BB21" s="32">
        <f t="shared" si="17"/>
        <v>580.76</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Sheet1!A14</f>
        <v>10号楼</v>
      </c>
      <c r="D22" s="1511" t="s">
        <v>3444</v>
      </c>
      <c r="E22" s="32">
        <f t="shared" si="7"/>
        <v>10600.38</v>
      </c>
      <c r="F22" s="33"/>
      <c r="G22" s="34">
        <f t="shared" si="8"/>
        <v>15878.13</v>
      </c>
      <c r="H22" s="35">
        <f t="shared" si="9"/>
        <v>15878.13</v>
      </c>
      <c r="I22" s="1512">
        <f>Sheet1!C14</f>
        <v>15878.13</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t="str">
        <f t="shared" si="13"/>
        <v>10号楼</v>
      </c>
      <c r="AY22" s="38">
        <f t="shared" si="14"/>
        <v>10600.38</v>
      </c>
      <c r="AZ22" s="32">
        <f t="shared" si="15"/>
        <v>15878.13</v>
      </c>
      <c r="BA22" s="32">
        <f t="shared" si="16"/>
        <v>15878.13</v>
      </c>
      <c r="BB22" s="32">
        <f t="shared" si="17"/>
        <v>15878.13</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Sheet1!A15</f>
        <v>11号楼</v>
      </c>
      <c r="D23" s="1511" t="s">
        <v>3444</v>
      </c>
      <c r="E23" s="32">
        <f t="shared" si="7"/>
        <v>20329.95</v>
      </c>
      <c r="F23" s="33"/>
      <c r="G23" s="34">
        <f t="shared" si="8"/>
        <v>32349.48</v>
      </c>
      <c r="H23" s="35">
        <f t="shared" si="9"/>
        <v>30451.89</v>
      </c>
      <c r="I23" s="1512">
        <f>SUM(Sheet1!C18:C30)</f>
        <v>26044.61</v>
      </c>
      <c r="J23" s="36"/>
      <c r="K23" s="36"/>
      <c r="L23" s="36"/>
      <c r="M23" s="36">
        <f>Sheet1!C16+Sheet1!C17</f>
        <v>4407.28</v>
      </c>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v>1897.59</v>
      </c>
      <c r="AU23" s="1515"/>
      <c r="AV23" s="530">
        <f t="shared" si="11"/>
        <v>0</v>
      </c>
      <c r="AW23" s="530">
        <f t="shared" si="12"/>
        <v>0</v>
      </c>
      <c r="AX23" s="530" t="str">
        <f t="shared" si="13"/>
        <v>11号楼</v>
      </c>
      <c r="AY23" s="38">
        <f t="shared" si="14"/>
        <v>20329.95</v>
      </c>
      <c r="AZ23" s="32">
        <f t="shared" si="15"/>
        <v>30451.89</v>
      </c>
      <c r="BA23" s="32">
        <f t="shared" si="16"/>
        <v>30451.89</v>
      </c>
      <c r="BB23" s="32">
        <f t="shared" si="17"/>
        <v>26044.61</v>
      </c>
      <c r="BC23" s="32">
        <f t="shared" si="18"/>
        <v>0</v>
      </c>
      <c r="BD23" s="32">
        <f t="shared" si="19"/>
        <v>4407.28</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U14" sqref="U14"/>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97" t="s">
        <v>1131</v>
      </c>
      <c r="B2" s="3297"/>
      <c r="C2" s="3297"/>
      <c r="D2" s="746" t="s">
        <v>1107</v>
      </c>
      <c r="E2" s="1521" t="s">
        <v>1108</v>
      </c>
      <c r="F2" s="2435"/>
      <c r="G2" s="2428"/>
      <c r="H2" s="2429"/>
      <c r="I2" s="2142" t="s">
        <v>1132</v>
      </c>
      <c r="J2" s="2435"/>
      <c r="K2" s="2435"/>
      <c r="L2" s="2435"/>
      <c r="M2" s="2435"/>
      <c r="N2" s="2436"/>
      <c r="O2" s="2435"/>
      <c r="P2" s="2435"/>
    </row>
    <row r="3" spans="1:16" ht="15.75" thickBot="1">
      <c r="A3" s="3298" t="s">
        <v>1105</v>
      </c>
      <c r="B3" s="3298"/>
      <c r="C3" s="3298"/>
      <c r="D3" s="41">
        <f>'数据-基础表'!AY6</f>
        <v>55606.63</v>
      </c>
      <c r="E3" s="41">
        <f>'数据-基础表'!AZ5</f>
        <v>83292.240000000005</v>
      </c>
      <c r="F3" s="2435"/>
      <c r="G3" s="42"/>
      <c r="H3" s="43" t="s">
        <v>1106</v>
      </c>
      <c r="I3" s="800">
        <f>ROUND('数据-基础表'!B3/'数据-基础表'!A3,2)</f>
        <v>1.5</v>
      </c>
      <c r="J3" s="2435"/>
      <c r="K3" s="2435"/>
      <c r="L3" s="2435"/>
      <c r="M3" s="2435"/>
      <c r="N3" s="2436"/>
      <c r="O3" s="2435"/>
      <c r="P3" s="2435"/>
    </row>
    <row r="4" spans="1:16" ht="15">
      <c r="A4" s="3299"/>
      <c r="B4" s="3300"/>
      <c r="C4" s="3301"/>
      <c r="D4" s="1522" t="s">
        <v>1107</v>
      </c>
      <c r="E4" s="1523" t="s">
        <v>1108</v>
      </c>
      <c r="F4" s="2435"/>
      <c r="G4" s="2430" t="s">
        <v>1133</v>
      </c>
      <c r="H4" s="43" t="s">
        <v>1113</v>
      </c>
      <c r="I4" s="800">
        <f>ROUND(SUMIF('数据-基础表'!I9:AS9,"地上",'数据-基础表'!I5:AS5)/'数据-基础表'!A3,2)</f>
        <v>1.4</v>
      </c>
      <c r="J4" s="2435"/>
      <c r="K4" s="2435"/>
      <c r="L4" s="2435"/>
      <c r="M4" s="2435"/>
      <c r="N4" s="2436"/>
      <c r="O4" s="2435"/>
      <c r="P4" s="2435"/>
    </row>
    <row r="5" spans="1:16">
      <c r="A5" s="42" t="s">
        <v>1109</v>
      </c>
      <c r="B5" s="3302" t="s">
        <v>1110</v>
      </c>
      <c r="C5" s="3302"/>
      <c r="D5" s="43">
        <f>ROUND($D$3*E5/$E$3,2)</f>
        <v>0</v>
      </c>
      <c r="E5" s="44">
        <f>SUMIF('数据-基础表'!$11:$11,"住宅",'数据-基础表'!$5:$5)</f>
        <v>0</v>
      </c>
      <c r="F5" s="2435"/>
      <c r="G5" s="42"/>
      <c r="H5" s="43" t="s">
        <v>1106</v>
      </c>
      <c r="I5" s="800">
        <f>ROUND(E31/D31,2)</f>
        <v>1.5</v>
      </c>
      <c r="J5" s="2435"/>
      <c r="K5" s="2435"/>
      <c r="L5" s="2435"/>
      <c r="M5" s="2435"/>
      <c r="N5" s="2435"/>
      <c r="O5" s="2435"/>
      <c r="P5" s="2435"/>
    </row>
    <row r="6" spans="1:16" ht="15" thickBot="1">
      <c r="A6" s="1525"/>
      <c r="B6" s="3302" t="s">
        <v>1111</v>
      </c>
      <c r="C6" s="3302"/>
      <c r="D6" s="43">
        <f>ROUND($D$3*E6/$E$3,2)</f>
        <v>55606.63</v>
      </c>
      <c r="E6" s="44">
        <f>E3-E5</f>
        <v>83292.240000000005</v>
      </c>
      <c r="F6" s="2435"/>
      <c r="G6" s="1527" t="s">
        <v>1112</v>
      </c>
      <c r="H6" s="45" t="s">
        <v>1113</v>
      </c>
      <c r="I6" s="2431">
        <f>ROUND(F31/D31,2)</f>
        <v>1.4</v>
      </c>
      <c r="J6" s="2435"/>
      <c r="K6" s="2435"/>
      <c r="L6" s="2435"/>
      <c r="M6" s="2435"/>
      <c r="N6" s="2435"/>
      <c r="O6" s="2435"/>
      <c r="P6" s="2435"/>
    </row>
    <row r="7" spans="1:16" ht="15.75" thickBot="1">
      <c r="A7" s="3294"/>
      <c r="B7" s="3295"/>
      <c r="C7" s="3296"/>
      <c r="D7" s="1522" t="s">
        <v>1107</v>
      </c>
      <c r="E7" s="1526" t="s">
        <v>1114</v>
      </c>
      <c r="F7" s="2435"/>
      <c r="G7" s="2432" t="s">
        <v>1115</v>
      </c>
      <c r="H7" s="95"/>
      <c r="I7" s="2433">
        <v>1.43</v>
      </c>
      <c r="J7" s="2435"/>
      <c r="K7" s="2435"/>
      <c r="L7" s="2435"/>
      <c r="M7" s="2435"/>
      <c r="N7" s="2435"/>
      <c r="O7" s="2435"/>
      <c r="P7" s="2435"/>
    </row>
    <row r="8" spans="1:16">
      <c r="A8" s="42" t="s">
        <v>1116</v>
      </c>
      <c r="B8" s="45" t="s">
        <v>1117</v>
      </c>
      <c r="C8" s="43" t="s">
        <v>1118</v>
      </c>
      <c r="D8" s="43">
        <f t="shared" ref="D8:D15" si="0">ROUND($D$3*E8/$E$3,2)</f>
        <v>52046.89</v>
      </c>
      <c r="E8" s="46">
        <f>SUMIF('数据-基础表'!BB10:BK10,"地上",'数据-基础表'!BB5:BK5)</f>
        <v>77960.160000000003</v>
      </c>
      <c r="F8" s="2435"/>
      <c r="G8" s="2435"/>
      <c r="H8" s="2435"/>
      <c r="I8" s="2435"/>
      <c r="J8" s="2435"/>
      <c r="K8" s="2435"/>
      <c r="L8" s="2435"/>
      <c r="M8" s="2435"/>
      <c r="N8" s="2435"/>
      <c r="O8" s="2435"/>
      <c r="P8" s="2435"/>
    </row>
    <row r="9" spans="1:16">
      <c r="A9" s="1527"/>
      <c r="B9" s="1528"/>
      <c r="C9" s="43" t="s">
        <v>1119</v>
      </c>
      <c r="D9" s="43">
        <f t="shared" si="0"/>
        <v>0</v>
      </c>
      <c r="E9" s="47">
        <v>0</v>
      </c>
      <c r="F9" s="2435"/>
      <c r="G9" s="2435"/>
      <c r="H9" s="2435"/>
      <c r="I9" s="2435"/>
      <c r="J9" s="2435"/>
      <c r="K9" s="2435"/>
      <c r="L9" s="2435"/>
      <c r="M9" s="2435"/>
      <c r="N9" s="2435"/>
      <c r="O9" s="2435"/>
      <c r="P9" s="2435"/>
    </row>
    <row r="10" spans="1:16">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7"/>
      <c r="B13" s="1528"/>
      <c r="C13" s="43" t="s">
        <v>1122</v>
      </c>
      <c r="D13" s="43">
        <f t="shared" si="0"/>
        <v>2942.34</v>
      </c>
      <c r="E13" s="46">
        <f>SUMPRODUCT(('数据-基础表'!BB10:BK10="地下")*('数据-基础表'!BB11:BK11="车库")*('数据-基础表'!BB5:BK5))</f>
        <v>4407.28</v>
      </c>
      <c r="F13" s="2435"/>
      <c r="G13" s="2435"/>
      <c r="H13" s="2435"/>
      <c r="I13" s="2435"/>
      <c r="J13" s="2435"/>
      <c r="K13" s="2435"/>
      <c r="L13" s="2435"/>
      <c r="M13" s="2435"/>
      <c r="N13" s="2435"/>
      <c r="O13" s="2435"/>
      <c r="P13" s="2435"/>
    </row>
    <row r="14" spans="1:16">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5"/>
      <c r="B16" s="1528"/>
      <c r="C16" s="45" t="s">
        <v>1123</v>
      </c>
      <c r="D16" s="45">
        <f>SUM(D8:D15)</f>
        <v>54989.229999999996</v>
      </c>
      <c r="E16" s="48">
        <f>SUM(E8:E15)</f>
        <v>82367.44</v>
      </c>
      <c r="F16" s="2435"/>
      <c r="G16" s="2435"/>
      <c r="H16" s="1529" t="s">
        <v>1135</v>
      </c>
      <c r="I16" s="1530"/>
      <c r="J16" s="1069"/>
      <c r="K16" s="3291" t="s">
        <v>1135</v>
      </c>
      <c r="L16" s="3292"/>
      <c r="M16" s="3292"/>
      <c r="N16" s="3292"/>
      <c r="O16" s="3292"/>
      <c r="P16" s="3293"/>
    </row>
    <row r="17" spans="1:19" ht="15">
      <c r="A17" s="1531" t="s">
        <v>1136</v>
      </c>
      <c r="B17" s="1532" t="s">
        <v>1137</v>
      </c>
      <c r="C17" s="1533" t="s">
        <v>1138</v>
      </c>
      <c r="D17" s="1534" t="s">
        <v>1126</v>
      </c>
      <c r="E17" s="1535" t="s">
        <v>1127</v>
      </c>
      <c r="F17" s="1536"/>
      <c r="G17" s="1537"/>
      <c r="H17" s="1538" t="s">
        <v>1139</v>
      </c>
      <c r="I17" s="1539" t="s">
        <v>1124</v>
      </c>
      <c r="J17" s="1069"/>
      <c r="K17" s="3288" t="s">
        <v>1140</v>
      </c>
      <c r="L17" s="3289"/>
      <c r="M17" s="3290"/>
      <c r="N17" s="3288" t="s">
        <v>1141</v>
      </c>
      <c r="O17" s="3289"/>
      <c r="P17" s="3290"/>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2" t="s">
        <v>3440</v>
      </c>
      <c r="D19" s="43">
        <f>ROUND($D$3*E19/$E$3,2)</f>
        <v>16064.81</v>
      </c>
      <c r="E19" s="51">
        <f t="shared" ref="E19:E26" si="1">SUM(F19:G19)</f>
        <v>24063.21</v>
      </c>
      <c r="F19" s="2554">
        <f>'数据-基础表'!I13+'数据-基础表'!I14</f>
        <v>24063.21</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16064.81</v>
      </c>
      <c r="S19" s="51">
        <f t="shared" si="5"/>
        <v>24063.21</v>
      </c>
    </row>
    <row r="20" spans="1:19">
      <c r="A20" s="1547"/>
      <c r="B20" s="45" t="s">
        <v>1153</v>
      </c>
      <c r="C20" s="3112" t="s">
        <v>3936</v>
      </c>
      <c r="D20" s="43">
        <f t="shared" ref="D20:D26" si="6">ROUND($D$3*E20/$E$3,2)</f>
        <v>5613.04</v>
      </c>
      <c r="E20" s="51">
        <f t="shared" si="1"/>
        <v>8407.68</v>
      </c>
      <c r="F20" s="2554">
        <f>'数据-基础表'!I15+'数据-基础表'!I16</f>
        <v>8407.68</v>
      </c>
      <c r="G20" s="1241"/>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5613.04</v>
      </c>
      <c r="S20" s="51">
        <f t="shared" si="5"/>
        <v>8407.68</v>
      </c>
    </row>
    <row r="21" spans="1:19">
      <c r="A21" s="1547"/>
      <c r="B21" s="45" t="s">
        <v>1153</v>
      </c>
      <c r="C21" s="3112" t="s">
        <v>3441</v>
      </c>
      <c r="D21" s="43">
        <f t="shared" si="6"/>
        <v>2998.45</v>
      </c>
      <c r="E21" s="51">
        <f t="shared" si="1"/>
        <v>4491.3300000000008</v>
      </c>
      <c r="F21" s="2554">
        <f>'数据-基础表'!I17+'数据-基础表'!I18+'数据-基础表'!I19+'数据-基础表'!I20+'数据-基础表'!I21</f>
        <v>3566.5300000000007</v>
      </c>
      <c r="G21" s="1241">
        <f>'数据-基础表'!K18</f>
        <v>924.8</v>
      </c>
      <c r="H21" s="637">
        <f t="shared" si="7"/>
        <v>0</v>
      </c>
      <c r="I21" s="46">
        <f t="shared" si="2"/>
        <v>0</v>
      </c>
      <c r="J21" s="1069"/>
      <c r="K21" s="637">
        <f t="shared" si="3"/>
        <v>0</v>
      </c>
      <c r="L21" s="43">
        <f t="shared" si="4"/>
        <v>0</v>
      </c>
      <c r="M21" s="46">
        <f t="shared" si="8"/>
        <v>0</v>
      </c>
      <c r="N21" s="1548"/>
      <c r="O21" s="1549"/>
      <c r="P21" s="46">
        <f t="shared" si="9"/>
        <v>0</v>
      </c>
      <c r="R21" s="43">
        <f t="shared" si="5"/>
        <v>2998.45</v>
      </c>
      <c r="S21" s="51">
        <f t="shared" si="5"/>
        <v>4491.3300000000008</v>
      </c>
    </row>
    <row r="22" spans="1:19">
      <c r="A22" s="1547"/>
      <c r="B22" s="45" t="s">
        <v>1153</v>
      </c>
      <c r="C22" s="3113" t="s">
        <v>3442</v>
      </c>
      <c r="D22" s="43">
        <f t="shared" si="6"/>
        <v>27987.99</v>
      </c>
      <c r="E22" s="51">
        <f t="shared" si="1"/>
        <v>41922.74</v>
      </c>
      <c r="F22" s="2555">
        <f>'数据-基础表'!I22+'数据-基础表'!I23</f>
        <v>41922.74</v>
      </c>
      <c r="G22" s="2556"/>
      <c r="H22" s="637">
        <f t="shared" si="7"/>
        <v>0</v>
      </c>
      <c r="I22" s="46">
        <f t="shared" si="2"/>
        <v>0</v>
      </c>
      <c r="J22" s="1069"/>
      <c r="K22" s="637">
        <f t="shared" si="3"/>
        <v>0</v>
      </c>
      <c r="L22" s="43">
        <f t="shared" si="4"/>
        <v>0</v>
      </c>
      <c r="M22" s="46">
        <f t="shared" si="8"/>
        <v>0</v>
      </c>
      <c r="N22" s="1548"/>
      <c r="O22" s="1549"/>
      <c r="P22" s="46">
        <f t="shared" si="9"/>
        <v>0</v>
      </c>
      <c r="R22" s="43">
        <f t="shared" si="5"/>
        <v>27987.99</v>
      </c>
      <c r="S22" s="51">
        <f t="shared" si="5"/>
        <v>41922.74</v>
      </c>
    </row>
    <row r="23" spans="1:19">
      <c r="A23" s="1547"/>
      <c r="B23" s="45" t="s">
        <v>1153</v>
      </c>
      <c r="C23" s="3113" t="s">
        <v>3443</v>
      </c>
      <c r="D23" s="43">
        <f>ROUND($D$3*E23/$E$3,2)</f>
        <v>2942.34</v>
      </c>
      <c r="E23" s="51">
        <f>SUM(F23:G23)</f>
        <v>4407.28</v>
      </c>
      <c r="F23" s="2555"/>
      <c r="G23" s="2556">
        <f>'数据-基础表'!M23</f>
        <v>4407.28</v>
      </c>
      <c r="H23" s="637">
        <f>ROUND($D$3*I23/$E$3,2)</f>
        <v>0</v>
      </c>
      <c r="I23" s="46">
        <f t="shared" si="2"/>
        <v>0</v>
      </c>
      <c r="J23" s="1069"/>
      <c r="K23" s="637">
        <f t="shared" si="3"/>
        <v>0</v>
      </c>
      <c r="L23" s="43">
        <f t="shared" si="4"/>
        <v>0</v>
      </c>
      <c r="M23" s="46">
        <f t="shared" si="8"/>
        <v>0</v>
      </c>
      <c r="N23" s="1548"/>
      <c r="O23" s="1549"/>
      <c r="P23" s="46">
        <f t="shared" si="9"/>
        <v>0</v>
      </c>
      <c r="R23" s="43">
        <f t="shared" si="5"/>
        <v>2942.34</v>
      </c>
      <c r="S23" s="51">
        <f t="shared" si="5"/>
        <v>4407.28</v>
      </c>
    </row>
    <row r="24" spans="1:19">
      <c r="A24" s="1547"/>
      <c r="B24" s="45" t="s">
        <v>1153</v>
      </c>
      <c r="C24" s="3113"/>
      <c r="D24" s="43">
        <f>ROUND($D$3*E24/$E$3,2)</f>
        <v>0</v>
      </c>
      <c r="E24" s="51">
        <f>SUM(F24:G24)</f>
        <v>0</v>
      </c>
      <c r="F24" s="2555"/>
      <c r="G24" s="2556"/>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c r="A25" s="1547"/>
      <c r="B25" s="45" t="s">
        <v>1153</v>
      </c>
      <c r="C25" s="3113"/>
      <c r="D25" s="43">
        <f t="shared" si="6"/>
        <v>0</v>
      </c>
      <c r="E25" s="51">
        <f t="shared" si="1"/>
        <v>0</v>
      </c>
      <c r="F25" s="2555"/>
      <c r="G25" s="2556"/>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5"/>
      <c r="G26" s="2556"/>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55606.630000000005</v>
      </c>
      <c r="E27" s="1071">
        <f>IF(SUM(E19:E26)='数据-基础表'!BA5,SUM(E19:E26),IF(F27="地上面积有误","面积有误","地下面积有误"))</f>
        <v>83292.239999999991</v>
      </c>
      <c r="F27" s="1070">
        <f>IF(SUM(F19:F26)=E8,SUM(F19:F26),"地上面积有误")</f>
        <v>77960.160000000003</v>
      </c>
      <c r="G27" s="1072">
        <f>SUM(G19:G26)</f>
        <v>5332.08</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55606.630000000005</v>
      </c>
      <c r="S27" s="43">
        <f>IF(SUM(S19:S26)=$E$3,SUM(S19:S26),SUM(S19:S26)&amp;"误差"&amp;ROUND(SUM(S19:S26)-E3,2))</f>
        <v>83292.239999999991</v>
      </c>
    </row>
    <row r="28" spans="1:19">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75" thickBot="1">
      <c r="A31" s="1555"/>
      <c r="B31" s="96"/>
      <c r="C31" s="783" t="s">
        <v>1158</v>
      </c>
      <c r="D31" s="643">
        <f>D27+D30</f>
        <v>55606.630000000005</v>
      </c>
      <c r="E31" s="643">
        <f>E27+E30</f>
        <v>83292.239999999991</v>
      </c>
      <c r="F31" s="644">
        <f>F27+F30</f>
        <v>77960.160000000003</v>
      </c>
      <c r="G31" s="645">
        <f>G27+G30</f>
        <v>5332.08</v>
      </c>
      <c r="H31" s="2435"/>
      <c r="I31" s="2435"/>
      <c r="J31" s="2435"/>
      <c r="K31" s="2435"/>
      <c r="L31" s="2435"/>
      <c r="M31" s="2435"/>
      <c r="N31" s="2435"/>
      <c r="O31" s="2435"/>
      <c r="P31" s="2435"/>
    </row>
    <row r="32" spans="1:19">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Y21" sqref="Y21"/>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9" customFormat="1" ht="15.75" thickBot="1">
      <c r="A2" s="1560" t="s">
        <v>1161</v>
      </c>
      <c r="B2" s="982">
        <f>项目基本情况!D3</f>
        <v>45463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3473</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工业-1、2厂房</v>
      </c>
      <c r="B6" s="1585" t="str">
        <f>IF(A6=0,"","经营性")</f>
        <v>经营性</v>
      </c>
      <c r="C6" s="1586" t="s">
        <v>3</v>
      </c>
      <c r="D6" s="803">
        <f>SUMIF(项目基本情况!C$12:I$12,C6,项目基本情况!C$14:I$14)</f>
        <v>50</v>
      </c>
      <c r="E6" s="802">
        <f>IF(B6="","",SUMIF(项目基本情况!C$12:I$12,C6,项目基本情况!C$13:I$13))</f>
        <v>57019</v>
      </c>
      <c r="F6" s="61">
        <f>SUMIF(项目基本情况!C$12:I$12,C6,项目基本情况!C$15:I$15)</f>
        <v>31.66</v>
      </c>
      <c r="G6" s="62">
        <f>IF(ISERROR(ROUND(POWER(1+H6,D6-F6)*(POWER(1+H6,F6)-1)/(POWER(1+H6,D6)-1),3)),0,ROUND(POWER(1+H6,D6-F6)*(POWER(1+H6,F6)-1)/(POWER(1+H6,D6)-1),3))</f>
        <v>0.86199999999999999</v>
      </c>
      <c r="H6" s="3191">
        <v>0.05</v>
      </c>
      <c r="I6" s="691">
        <v>5.5E-2</v>
      </c>
      <c r="J6" s="63">
        <v>7.0000000000000007E-2</v>
      </c>
      <c r="K6" s="968">
        <f>SUMIF('数据-汇总表'!C$19:C$33,A6,'数据-汇总表'!E$19:E$33)</f>
        <v>24063.21</v>
      </c>
      <c r="L6" s="692">
        <v>2200</v>
      </c>
      <c r="M6" s="64">
        <f t="shared" ref="M6:M14" si="0">ROUND(K6*L6/10000,0)</f>
        <v>5294</v>
      </c>
      <c r="N6" s="690">
        <f>Sheet1!J3</f>
        <v>0.73</v>
      </c>
      <c r="O6" s="64" t="str">
        <f>IF($N$5="成新度","——",ROUND(M6*N6,0))</f>
        <v>——</v>
      </c>
      <c r="P6" s="65" t="str">
        <f>IF($N$5="成新度","——",M6-O6)</f>
        <v>——</v>
      </c>
      <c r="Q6" s="693">
        <v>0.1</v>
      </c>
      <c r="R6" s="66">
        <f ca="1">SUMIF('数据-汇总表'!C$19:C$33,A6,'数据-汇总表'!R$19:R$27)</f>
        <v>16064.81</v>
      </c>
      <c r="S6" s="49">
        <f>IF('数据-汇总表'!$I$17="按面积比例",SUMIF('数据-汇总表'!C$19:C$33,A6,'数据-汇总表'!K$19:K$33),SUMIF('数据-汇总表'!C$19:C$33,A6,'数据-汇总表'!N$19:N$33))</f>
        <v>0</v>
      </c>
      <c r="T6" s="1090">
        <f>ROUND($L$14*S6/10000,0)</f>
        <v>0</v>
      </c>
      <c r="U6" s="3123">
        <v>1</v>
      </c>
      <c r="V6" s="67">
        <v>0.02</v>
      </c>
      <c r="W6" s="67">
        <v>0.1</v>
      </c>
      <c r="X6" s="977"/>
      <c r="Y6" s="68">
        <f>N6</f>
        <v>0.73</v>
      </c>
      <c r="Z6" s="69"/>
      <c r="AA6" s="63"/>
      <c r="AB6" s="63"/>
      <c r="AC6" s="977"/>
      <c r="AD6" s="70"/>
      <c r="AE6" s="978">
        <f ca="1">IF(AN6="",0,SUMIF(INDIRECT("'"&amp;AN6&amp;"'"&amp;"!E:E"),$AE$5,INDIRECT("'"&amp;AN6&amp;"'"&amp;"!F:F")))</f>
        <v>31.66</v>
      </c>
      <c r="AF6" s="74"/>
      <c r="AG6" s="130">
        <f>IF(AF6="",0,AE6-AF6)</f>
        <v>0</v>
      </c>
      <c r="AH6" s="71"/>
      <c r="AI6" s="73">
        <v>365</v>
      </c>
      <c r="AJ6" s="74"/>
      <c r="AK6" s="75">
        <v>0.01</v>
      </c>
      <c r="AL6" s="76">
        <v>1.5E-3</v>
      </c>
      <c r="AM6" s="77">
        <v>0.02</v>
      </c>
      <c r="AN6" s="1587" t="s">
        <v>3899</v>
      </c>
      <c r="AO6" s="50">
        <f ca="1">SUMIF(INDIRECT("'"&amp;AN6&amp;"'"&amp;"!A:A"),"总价",INDIRECT("'"&amp;AN6&amp;"'"&amp;"!B:B"))</f>
        <v>10752</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工业-3、4宿舍</v>
      </c>
      <c r="B7" s="1585" t="str">
        <f t="shared" ref="B7:B13" si="1">IF(A7=0,"","经营性")</f>
        <v>经营性</v>
      </c>
      <c r="C7" s="1586" t="s">
        <v>3</v>
      </c>
      <c r="D7" s="803">
        <f>SUMIF(项目基本情况!C$12:I$12,C7,项目基本情况!C$14:I$14)</f>
        <v>50</v>
      </c>
      <c r="E7" s="802">
        <f>IF(B7="","",SUMIF(项目基本情况!C$12:I$12,C7,项目基本情况!C$13:I$13))</f>
        <v>57019</v>
      </c>
      <c r="F7" s="61">
        <f>SUMIF(项目基本情况!C$12:I$12,C7,项目基本情况!C$15:I$15)</f>
        <v>31.66</v>
      </c>
      <c r="G7" s="62">
        <f t="shared" ref="G7:G11" si="2">IF(ISERROR(ROUND(POWER(1+H7,D7-F7)*(POWER(1+H7,F7)-1)/(POWER(1+H7,D7)-1),3)),0,ROUND(POWER(1+H7,D7-F7)*(POWER(1+H7,F7)-1)/(POWER(1+H7,D7)-1),3))</f>
        <v>0.86199999999999999</v>
      </c>
      <c r="H7" s="3191">
        <v>0.05</v>
      </c>
      <c r="I7" s="691">
        <v>5.5E-2</v>
      </c>
      <c r="J7" s="63">
        <v>7.0000000000000007E-2</v>
      </c>
      <c r="K7" s="968">
        <f>SUMIF('数据-汇总表'!C$19:C$33,A7,'数据-汇总表'!E$19:E$33)</f>
        <v>8407.68</v>
      </c>
      <c r="L7" s="692">
        <v>3200</v>
      </c>
      <c r="M7" s="64">
        <f t="shared" si="0"/>
        <v>2690</v>
      </c>
      <c r="N7" s="690">
        <f>Sheet1!G4</f>
        <v>0.66</v>
      </c>
      <c r="O7" s="64" t="str">
        <f t="shared" ref="O7:O14" si="3">IF($N$5="成新度","——",ROUND(M7*N7,0))</f>
        <v>——</v>
      </c>
      <c r="P7" s="65" t="str">
        <f t="shared" ref="P7:P14" si="4">IF($N$5="成新度","——",M7-O7)</f>
        <v>——</v>
      </c>
      <c r="Q7" s="693">
        <v>0.1</v>
      </c>
      <c r="R7" s="66">
        <f ca="1">SUMIF('数据-汇总表'!C$19:C$33,A7,'数据-汇总表'!R$19:R$27)</f>
        <v>5613.04</v>
      </c>
      <c r="S7" s="49">
        <f>IF('数据-汇总表'!$I$17="按面积比例",SUMIF('数据-汇总表'!C$19:C$33,A7,'数据-汇总表'!K$19:K$33),SUMIF('数据-汇总表'!C$19:C$33,A7,'数据-汇总表'!N$19:N$33))</f>
        <v>0</v>
      </c>
      <c r="T7" s="1090">
        <f t="shared" ref="T7:T13" si="5">ROUND($L$14*S7/10000,0)</f>
        <v>0</v>
      </c>
      <c r="U7" s="3123">
        <v>1.2</v>
      </c>
      <c r="V7" s="67">
        <v>0.02</v>
      </c>
      <c r="W7" s="67">
        <v>0.1</v>
      </c>
      <c r="X7" s="977"/>
      <c r="Y7" s="68">
        <f t="shared" ref="Y7:Y10" si="6">N7</f>
        <v>0.66</v>
      </c>
      <c r="Z7" s="69"/>
      <c r="AA7" s="63"/>
      <c r="AB7" s="63"/>
      <c r="AC7" s="977"/>
      <c r="AD7" s="70"/>
      <c r="AE7" s="978">
        <f t="shared" ref="AE7:AE13" ca="1" si="7">IF(AN7="",0,SUMIF(INDIRECT("'"&amp;AN7&amp;"'"&amp;"!E:E"),$AE$5,INDIRECT("'"&amp;AN7&amp;"'"&amp;"!F:F")))</f>
        <v>31.66</v>
      </c>
      <c r="AF7" s="74"/>
      <c r="AG7" s="130">
        <f t="shared" ref="AG7:AG13" si="8">IF(AF7="",0,AE7-AF7)</f>
        <v>0</v>
      </c>
      <c r="AH7" s="71"/>
      <c r="AI7" s="73">
        <v>365</v>
      </c>
      <c r="AJ7" s="74"/>
      <c r="AK7" s="75">
        <v>0.01</v>
      </c>
      <c r="AL7" s="76">
        <v>1.5E-3</v>
      </c>
      <c r="AM7" s="77">
        <v>0.02</v>
      </c>
      <c r="AN7" s="1587" t="s">
        <v>3901</v>
      </c>
      <c r="AO7" s="50">
        <f t="shared" ref="AO7:AO13" ca="1" si="9">SUMIF(INDIRECT("'"&amp;AN7&amp;"'"&amp;"!A:A"),"总价",INDIRECT("'"&amp;AN7&amp;"'"&amp;"!B:B"))</f>
        <v>4409</v>
      </c>
      <c r="AP7" s="1588">
        <f t="shared" ref="AP7:AP13" si="10">IF(C7="住宅",K7*L7,0)</f>
        <v>0</v>
      </c>
      <c r="AQ7" s="50">
        <f t="shared" ref="AQ7:AQ13" si="11">ROUND($L$14*$N$14*S7/10000,0)</f>
        <v>0</v>
      </c>
      <c r="AR7" s="50">
        <f t="shared" ref="AR7:AR13" si="12">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t="str">
        <f>'数据-汇总表'!C21</f>
        <v>办公-5-9实验楼</v>
      </c>
      <c r="B8" s="1585" t="str">
        <f t="shared" si="1"/>
        <v>经营性</v>
      </c>
      <c r="C8" s="1586" t="s">
        <v>3</v>
      </c>
      <c r="D8" s="803">
        <f>SUMIF(项目基本情况!C$12:I$12,C8,项目基本情况!C$14:I$14)</f>
        <v>50</v>
      </c>
      <c r="E8" s="802">
        <f>IF(B8="","",SUMIF(项目基本情况!C$12:I$12,C8,项目基本情况!C$13:I$13))</f>
        <v>57019</v>
      </c>
      <c r="F8" s="61">
        <f>SUMIF(项目基本情况!C$12:I$12,C8,项目基本情况!C$15:I$15)</f>
        <v>31.66</v>
      </c>
      <c r="G8" s="62">
        <f t="shared" si="2"/>
        <v>0.86199999999999999</v>
      </c>
      <c r="H8" s="3191">
        <v>0.05</v>
      </c>
      <c r="I8" s="691">
        <v>5.5E-2</v>
      </c>
      <c r="J8" s="63">
        <v>7.0000000000000007E-2</v>
      </c>
      <c r="K8" s="968">
        <f>SUMIF('数据-汇总表'!C$19:C$33,A8,'数据-汇总表'!E$19:E$33)</f>
        <v>4491.3300000000008</v>
      </c>
      <c r="L8" s="692">
        <v>3200</v>
      </c>
      <c r="M8" s="64">
        <f>ROUND(K8*L8/10000,0)</f>
        <v>1437</v>
      </c>
      <c r="N8" s="690">
        <f>Sheet1!G6</f>
        <v>0.72</v>
      </c>
      <c r="O8" s="64" t="str">
        <f t="shared" si="3"/>
        <v>——</v>
      </c>
      <c r="P8" s="65" t="str">
        <f t="shared" si="4"/>
        <v>——</v>
      </c>
      <c r="Q8" s="693">
        <v>0.15</v>
      </c>
      <c r="R8" s="66">
        <f ca="1">SUMIF('数据-汇总表'!C$19:C$33,A8,'数据-汇总表'!R$19:R$27)</f>
        <v>2998.45</v>
      </c>
      <c r="S8" s="49">
        <f>IF('数据-汇总表'!$I$17="按面积比例",SUMIF('数据-汇总表'!C$19:C$33,A8,'数据-汇总表'!K$19:K$33),SUMIF('数据-汇总表'!C$19:C$33,A8,'数据-汇总表'!N$19:N$33))</f>
        <v>0</v>
      </c>
      <c r="T8" s="1090">
        <f t="shared" si="5"/>
        <v>0</v>
      </c>
      <c r="U8" s="3124">
        <v>1.3</v>
      </c>
      <c r="V8" s="694">
        <v>0.02</v>
      </c>
      <c r="W8" s="694">
        <v>0.1</v>
      </c>
      <c r="X8" s="977"/>
      <c r="Y8" s="68">
        <f t="shared" si="6"/>
        <v>0.72</v>
      </c>
      <c r="Z8" s="69"/>
      <c r="AA8" s="63"/>
      <c r="AB8" s="63"/>
      <c r="AC8" s="977"/>
      <c r="AD8" s="70"/>
      <c r="AE8" s="978">
        <f t="shared" ca="1" si="7"/>
        <v>31.66</v>
      </c>
      <c r="AF8" s="74"/>
      <c r="AG8" s="130">
        <f t="shared" si="8"/>
        <v>0</v>
      </c>
      <c r="AH8" s="695"/>
      <c r="AI8" s="73">
        <v>365</v>
      </c>
      <c r="AJ8" s="74"/>
      <c r="AK8" s="75">
        <v>0.01</v>
      </c>
      <c r="AL8" s="76">
        <v>1.5E-3</v>
      </c>
      <c r="AM8" s="77">
        <v>0.02</v>
      </c>
      <c r="AN8" s="1587" t="s">
        <v>3903</v>
      </c>
      <c r="AO8" s="50">
        <f t="shared" ca="1" si="9"/>
        <v>2560</v>
      </c>
      <c r="AP8" s="1588">
        <f t="shared" si="10"/>
        <v>0</v>
      </c>
      <c r="AQ8" s="50">
        <f t="shared" si="11"/>
        <v>0</v>
      </c>
      <c r="AR8" s="50">
        <f t="shared" si="12"/>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t="str">
        <f>'数据-汇总表'!C22</f>
        <v>办公-10、11办公楼</v>
      </c>
      <c r="B9" s="1585" t="str">
        <f t="shared" si="1"/>
        <v>经营性</v>
      </c>
      <c r="C9" s="1586" t="s">
        <v>3</v>
      </c>
      <c r="D9" s="803">
        <f>SUMIF(项目基本情况!C$12:I$12,C9,项目基本情况!C$14:I$14)</f>
        <v>50</v>
      </c>
      <c r="E9" s="802">
        <f>IF(B9="","",SUMIF(项目基本情况!C$12:I$12,C9,项目基本情况!C$13:I$13))</f>
        <v>57019</v>
      </c>
      <c r="F9" s="61">
        <f>SUMIF(项目基本情况!C$12:I$12,C9,项目基本情况!C$15:I$15)</f>
        <v>31.66</v>
      </c>
      <c r="G9" s="62">
        <f t="shared" si="2"/>
        <v>0.86199999999999999</v>
      </c>
      <c r="H9" s="3192">
        <v>0.05</v>
      </c>
      <c r="I9" s="691">
        <v>5.5E-2</v>
      </c>
      <c r="J9" s="63">
        <v>7.0000000000000007E-2</v>
      </c>
      <c r="K9" s="968">
        <f>SUMIF('数据-汇总表'!C$19:C$33,A9,'数据-汇总表'!E$19:E$33)</f>
        <v>41922.74</v>
      </c>
      <c r="L9" s="3193">
        <v>4500</v>
      </c>
      <c r="M9" s="64">
        <f t="shared" si="0"/>
        <v>18865</v>
      </c>
      <c r="N9" s="690">
        <f>Sheet1!G14</f>
        <v>0.72</v>
      </c>
      <c r="O9" s="64" t="str">
        <f t="shared" si="3"/>
        <v>——</v>
      </c>
      <c r="P9" s="65" t="str">
        <f t="shared" si="4"/>
        <v>——</v>
      </c>
      <c r="Q9" s="78">
        <v>0.15</v>
      </c>
      <c r="R9" s="66">
        <f ca="1">SUMIF('数据-汇总表'!C$19:C$33,A9,'数据-汇总表'!R$19:R$27)</f>
        <v>27987.99</v>
      </c>
      <c r="S9" s="49">
        <f>IF('数据-汇总表'!$I$17="按面积比例",SUMIF('数据-汇总表'!C$19:C$33,A9,'数据-汇总表'!K$19:K$33),SUMIF('数据-汇总表'!C$19:C$33,A9,'数据-汇总表'!N$19:N$33))</f>
        <v>0</v>
      </c>
      <c r="T9" s="1090">
        <f t="shared" si="5"/>
        <v>0</v>
      </c>
      <c r="U9" s="3123">
        <v>1.3</v>
      </c>
      <c r="V9" s="67">
        <v>0.02</v>
      </c>
      <c r="W9" s="67">
        <v>0.1</v>
      </c>
      <c r="X9" s="977"/>
      <c r="Y9" s="68">
        <f t="shared" si="6"/>
        <v>0.72</v>
      </c>
      <c r="Z9" s="69"/>
      <c r="AA9" s="63"/>
      <c r="AB9" s="63"/>
      <c r="AC9" s="977"/>
      <c r="AD9" s="70"/>
      <c r="AE9" s="978">
        <f t="shared" ca="1" si="7"/>
        <v>31.66</v>
      </c>
      <c r="AF9" s="74"/>
      <c r="AG9" s="130">
        <f t="shared" si="8"/>
        <v>0</v>
      </c>
      <c r="AH9" s="71"/>
      <c r="AI9" s="73">
        <v>365</v>
      </c>
      <c r="AJ9" s="74"/>
      <c r="AK9" s="75">
        <v>0.01</v>
      </c>
      <c r="AL9" s="76">
        <v>1.5E-3</v>
      </c>
      <c r="AM9" s="77">
        <v>0.02</v>
      </c>
      <c r="AN9" s="1587" t="s">
        <v>3905</v>
      </c>
      <c r="AO9" s="50">
        <f t="shared" ca="1" si="9"/>
        <v>22738</v>
      </c>
      <c r="AP9" s="1588">
        <f t="shared" si="10"/>
        <v>0</v>
      </c>
      <c r="AQ9" s="50">
        <f t="shared" si="11"/>
        <v>0</v>
      </c>
      <c r="AR9" s="50">
        <f t="shared" si="12"/>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t="str">
        <f>'数据-汇总表'!C23</f>
        <v>地下车库</v>
      </c>
      <c r="B10" s="1585" t="str">
        <f t="shared" si="1"/>
        <v>经营性</v>
      </c>
      <c r="C10" s="1586" t="s">
        <v>3325</v>
      </c>
      <c r="D10" s="803">
        <f>SUMIF(项目基本情况!C$12:I$12,C10,项目基本情况!C$14:I$14)</f>
        <v>50</v>
      </c>
      <c r="E10" s="802">
        <f>IF(B10="","",SUMIF(项目基本情况!C$12:I$12,C10,项目基本情况!C$13:I$13))</f>
        <v>57019</v>
      </c>
      <c r="F10" s="61">
        <f>SUMIF(项目基本情况!C$12:I$12,C10,项目基本情况!C$15:I$15)</f>
        <v>31.66</v>
      </c>
      <c r="G10" s="62">
        <f t="shared" si="2"/>
        <v>0.86199999999999999</v>
      </c>
      <c r="H10" s="3192">
        <v>0.05</v>
      </c>
      <c r="I10" s="691">
        <v>5.5E-2</v>
      </c>
      <c r="J10" s="63">
        <v>7.0000000000000007E-2</v>
      </c>
      <c r="K10" s="968">
        <f>SUMIF('数据-汇总表'!C$19:C$33,A10,'数据-汇总表'!E$19:E$33)</f>
        <v>4407.28</v>
      </c>
      <c r="L10" s="3193">
        <v>4500</v>
      </c>
      <c r="M10" s="64">
        <f t="shared" si="0"/>
        <v>1983</v>
      </c>
      <c r="N10" s="690">
        <f>N9</f>
        <v>0.72</v>
      </c>
      <c r="O10" s="64" t="str">
        <f t="shared" si="3"/>
        <v>——</v>
      </c>
      <c r="P10" s="65" t="str">
        <f t="shared" si="4"/>
        <v>——</v>
      </c>
      <c r="Q10" s="78">
        <v>0.03</v>
      </c>
      <c r="R10" s="66">
        <f ca="1">SUMIF('数据-汇总表'!C$19:C$33,A10,'数据-汇总表'!R$19:R$27)</f>
        <v>2942.34</v>
      </c>
      <c r="S10" s="49">
        <f>IF('数据-汇总表'!$I$17="按面积比例",SUMIF('数据-汇总表'!C$19:C$33,A10,'数据-汇总表'!K$19:K$33),SUMIF('数据-汇总表'!C$19:C$33,A10,'数据-汇总表'!N$19:N$33))</f>
        <v>0</v>
      </c>
      <c r="T10" s="1090">
        <f t="shared" si="5"/>
        <v>0</v>
      </c>
      <c r="U10" s="3190">
        <v>300</v>
      </c>
      <c r="V10" s="67">
        <v>0.02</v>
      </c>
      <c r="W10" s="67">
        <v>0.1</v>
      </c>
      <c r="X10" s="977"/>
      <c r="Y10" s="68">
        <f t="shared" si="6"/>
        <v>0.72</v>
      </c>
      <c r="Z10" s="69"/>
      <c r="AA10" s="63"/>
      <c r="AB10" s="63"/>
      <c r="AC10" s="977"/>
      <c r="AD10" s="70"/>
      <c r="AE10" s="978">
        <f t="shared" ca="1" si="7"/>
        <v>31.66</v>
      </c>
      <c r="AF10" s="74"/>
      <c r="AG10" s="130">
        <f t="shared" si="8"/>
        <v>0</v>
      </c>
      <c r="AH10" s="71">
        <f>ROUND(K10/35,0)</f>
        <v>126</v>
      </c>
      <c r="AI10" s="73">
        <v>12</v>
      </c>
      <c r="AJ10" s="74"/>
      <c r="AK10" s="75">
        <v>0.01</v>
      </c>
      <c r="AL10" s="76">
        <v>1.5E-3</v>
      </c>
      <c r="AM10" s="77">
        <v>0.02</v>
      </c>
      <c r="AN10" s="1587" t="s">
        <v>3907</v>
      </c>
      <c r="AO10" s="50">
        <f t="shared" ca="1" si="9"/>
        <v>198</v>
      </c>
      <c r="AP10" s="1588">
        <f t="shared" si="10"/>
        <v>0</v>
      </c>
      <c r="AQ10" s="50">
        <f t="shared" si="11"/>
        <v>0</v>
      </c>
      <c r="AR10" s="50">
        <f t="shared" si="12"/>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1"/>
      <c r="AA11" s="63"/>
      <c r="AB11" s="63"/>
      <c r="AC11" s="977"/>
      <c r="AD11" s="70"/>
      <c r="AE11" s="978">
        <f t="shared" ca="1" si="7"/>
        <v>0</v>
      </c>
      <c r="AF11" s="74"/>
      <c r="AG11" s="130">
        <f t="shared" si="8"/>
        <v>0</v>
      </c>
      <c r="AH11" s="71"/>
      <c r="AI11" s="73"/>
      <c r="AJ11" s="74"/>
      <c r="AK11" s="75"/>
      <c r="AL11" s="76"/>
      <c r="AM11" s="77"/>
      <c r="AN11" s="1587"/>
      <c r="AO11" s="50" t="e">
        <f t="shared" ca="1" si="9"/>
        <v>#REF!</v>
      </c>
      <c r="AP11" s="1588">
        <f t="shared" si="10"/>
        <v>0</v>
      </c>
      <c r="AQ11" s="50">
        <f t="shared" si="11"/>
        <v>0</v>
      </c>
      <c r="AR11" s="50">
        <f t="shared" si="12"/>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1"/>
      <c r="AA12" s="63"/>
      <c r="AB12" s="63"/>
      <c r="AC12" s="977"/>
      <c r="AD12" s="70"/>
      <c r="AE12" s="978">
        <f t="shared" ca="1" si="7"/>
        <v>0</v>
      </c>
      <c r="AF12" s="74"/>
      <c r="AG12" s="130">
        <f t="shared" si="8"/>
        <v>0</v>
      </c>
      <c r="AH12" s="71"/>
      <c r="AI12" s="73"/>
      <c r="AJ12" s="74"/>
      <c r="AK12" s="75"/>
      <c r="AL12" s="76"/>
      <c r="AM12" s="77"/>
      <c r="AN12" s="1587"/>
      <c r="AO12" s="50" t="e">
        <f t="shared" ca="1" si="9"/>
        <v>#REF!</v>
      </c>
      <c r="AP12" s="1588">
        <f t="shared" si="10"/>
        <v>0</v>
      </c>
      <c r="AQ12" s="50">
        <f t="shared" si="11"/>
        <v>0</v>
      </c>
      <c r="AR12" s="50">
        <f t="shared" si="12"/>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7"/>
        <v>0</v>
      </c>
      <c r="AF13" s="74"/>
      <c r="AG13" s="130">
        <f t="shared" si="8"/>
        <v>0</v>
      </c>
      <c r="AH13" s="71"/>
      <c r="AI13" s="73"/>
      <c r="AJ13" s="74"/>
      <c r="AK13" s="75"/>
      <c r="AL13" s="76"/>
      <c r="AM13" s="77"/>
      <c r="AN13" s="1587"/>
      <c r="AO13" s="50" t="e">
        <f t="shared" ca="1" si="9"/>
        <v>#REF!</v>
      </c>
      <c r="AP13" s="1588">
        <f t="shared" si="10"/>
        <v>0</v>
      </c>
      <c r="AQ13" s="50">
        <f t="shared" si="11"/>
        <v>0</v>
      </c>
      <c r="AR13" s="50">
        <f t="shared" si="12"/>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hidden="1">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5"/>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5"/>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0.86199999999999999</v>
      </c>
      <c r="H16" s="84">
        <f>ROUND(SUMPRODUCT(H6:H13,K6:K13)/SUMPRODUCT((H6:H13&gt;0)*(K6:K13)),3)</f>
        <v>0.05</v>
      </c>
      <c r="I16" s="85"/>
      <c r="J16" s="85"/>
      <c r="K16" s="86">
        <f>SUM(K6:K15)</f>
        <v>83292.239999999991</v>
      </c>
      <c r="L16" s="87">
        <f>ROUND(M16*10000/SUM(K6:K14),0)</f>
        <v>3634</v>
      </c>
      <c r="M16" s="87">
        <f>SUM(M6:M14)</f>
        <v>30269</v>
      </c>
      <c r="N16" s="88">
        <f>ROUND(SUMPRODUCT(M6:M14,N6:N14)/M16,3)</f>
        <v>0.71599999999999997</v>
      </c>
      <c r="O16" s="87">
        <f>SUM(O6:O14)</f>
        <v>0</v>
      </c>
      <c r="P16" s="87">
        <f>SUM(P6:P14)</f>
        <v>0</v>
      </c>
      <c r="Q16" s="89">
        <f>ROUND(SUMPRODUCT(Q6:Q13,K6:K13)/SUMPRODUCT((Q6:Q13&gt;0)*(K6:K13)),2)</f>
        <v>0.12</v>
      </c>
      <c r="R16" s="972">
        <f ca="1">SUM(R6:R13)</f>
        <v>55606.630000000005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4"/>
      <c r="C17" s="2445"/>
      <c r="D17" s="2447"/>
      <c r="E17" s="2447"/>
      <c r="F17" s="2445"/>
      <c r="G17" s="2445"/>
      <c r="H17" s="2445"/>
      <c r="I17" s="2445"/>
      <c r="J17" s="2445"/>
      <c r="K17" s="3172" t="s">
        <v>460</v>
      </c>
      <c r="L17" s="3172" t="s">
        <v>3445</v>
      </c>
      <c r="M17" s="3173" t="s">
        <v>3446</v>
      </c>
      <c r="N17" s="3173" t="s">
        <v>3447</v>
      </c>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28.5" thickBot="1">
      <c r="A18" s="57" t="s">
        <v>1210</v>
      </c>
      <c r="B18" s="2457"/>
      <c r="C18" s="2435"/>
      <c r="D18" s="2448"/>
      <c r="E18" s="2435"/>
      <c r="F18" s="2435"/>
      <c r="G18" s="2435"/>
      <c r="H18" s="3303" t="s">
        <v>3448</v>
      </c>
      <c r="I18" s="3303"/>
      <c r="J18" s="3303"/>
      <c r="K18" s="3175" t="s">
        <v>3449</v>
      </c>
      <c r="L18" s="3176" t="s">
        <v>3450</v>
      </c>
      <c r="M18" s="3177" t="s">
        <v>3451</v>
      </c>
      <c r="N18" s="3175" t="s">
        <v>3452</v>
      </c>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39" thickBot="1">
      <c r="A19" s="1594" t="s">
        <v>1211</v>
      </c>
      <c r="B19" s="97">
        <v>0</v>
      </c>
      <c r="C19" s="2557" t="s">
        <v>2293</v>
      </c>
      <c r="D19" s="2448"/>
      <c r="E19" s="2435"/>
      <c r="F19" s="2435"/>
      <c r="G19" s="2435"/>
      <c r="H19" s="3303" t="s">
        <v>3453</v>
      </c>
      <c r="I19" s="3303"/>
      <c r="J19" s="1413"/>
      <c r="K19" s="3176" t="s">
        <v>3454</v>
      </c>
      <c r="L19" s="3176" t="s">
        <v>3455</v>
      </c>
      <c r="M19" s="3177" t="s">
        <v>3456</v>
      </c>
      <c r="N19" s="3178" t="s">
        <v>3455</v>
      </c>
      <c r="O19" s="2445"/>
      <c r="P19" s="2445"/>
      <c r="Q19" s="3210" t="s">
        <v>3913</v>
      </c>
      <c r="R19" s="3211" t="s">
        <v>672</v>
      </c>
      <c r="S19" s="3211" t="s">
        <v>3914</v>
      </c>
      <c r="T19" s="3211" t="s">
        <v>3915</v>
      </c>
      <c r="U19" s="3211" t="s">
        <v>3916</v>
      </c>
      <c r="V19" s="3211" t="s">
        <v>3917</v>
      </c>
      <c r="W19" s="3211" t="s">
        <v>660</v>
      </c>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29.25" thickBot="1">
      <c r="A20" s="1595" t="s">
        <v>1212</v>
      </c>
      <c r="B20" s="98">
        <v>2.5</v>
      </c>
      <c r="C20" s="2558" t="s">
        <v>2291</v>
      </c>
      <c r="D20" s="2448"/>
      <c r="E20" s="2435"/>
      <c r="F20" s="2435"/>
      <c r="G20" s="2435"/>
      <c r="H20" s="3303"/>
      <c r="I20" s="3303"/>
      <c r="J20" s="3179" t="s">
        <v>3457</v>
      </c>
      <c r="K20" s="3175">
        <v>20</v>
      </c>
      <c r="L20" s="3175" t="s">
        <v>3458</v>
      </c>
      <c r="M20" s="3180" t="s">
        <v>3459</v>
      </c>
      <c r="N20" s="3175">
        <v>7</v>
      </c>
      <c r="O20" s="2445"/>
      <c r="P20" s="2445"/>
      <c r="Q20" s="3212" t="s">
        <v>3918</v>
      </c>
      <c r="R20" s="3213" t="s">
        <v>3824</v>
      </c>
      <c r="S20" s="3214">
        <v>15846.16</v>
      </c>
      <c r="T20" s="3214">
        <v>4</v>
      </c>
      <c r="U20" s="3213" t="s">
        <v>3846</v>
      </c>
      <c r="V20" s="3215">
        <v>2200</v>
      </c>
      <c r="W20" s="3215">
        <f>ROUND(S20*V20/10000,0)</f>
        <v>3486</v>
      </c>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5" thickBot="1">
      <c r="A21" s="1596" t="s">
        <v>1213</v>
      </c>
      <c r="B21" s="98">
        <v>2.5</v>
      </c>
      <c r="C21" s="2435"/>
      <c r="D21" s="2448"/>
      <c r="E21" s="2435"/>
      <c r="F21" s="2435"/>
      <c r="G21" s="2435"/>
      <c r="H21" s="3303"/>
      <c r="I21" s="3303"/>
      <c r="J21" s="3179" t="s">
        <v>3460</v>
      </c>
      <c r="K21" s="3175">
        <v>2</v>
      </c>
      <c r="L21" s="3175">
        <v>0</v>
      </c>
      <c r="M21" s="3180">
        <v>0</v>
      </c>
      <c r="N21" s="3175">
        <v>0</v>
      </c>
      <c r="O21" s="2445"/>
      <c r="P21" s="2445"/>
      <c r="Q21" s="3212" t="s">
        <v>3919</v>
      </c>
      <c r="R21" s="3213" t="s">
        <v>3824</v>
      </c>
      <c r="S21" s="3214">
        <v>8217.06</v>
      </c>
      <c r="T21" s="3214">
        <v>3</v>
      </c>
      <c r="U21" s="3213" t="s">
        <v>3882</v>
      </c>
      <c r="V21" s="3215">
        <v>2200</v>
      </c>
      <c r="W21" s="3215">
        <f t="shared" ref="W21:W30" si="13">ROUND(S21*V21/10000,0)</f>
        <v>1808</v>
      </c>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5" thickBot="1">
      <c r="A22" s="1595" t="s">
        <v>1214</v>
      </c>
      <c r="B22" s="99">
        <f>B19+B20</f>
        <v>2.5</v>
      </c>
      <c r="C22" s="2435"/>
      <c r="D22" s="2448"/>
      <c r="E22" s="2435"/>
      <c r="F22" s="2435"/>
      <c r="G22" s="2435"/>
      <c r="H22" s="3303" t="s">
        <v>3461</v>
      </c>
      <c r="I22" s="3303"/>
      <c r="J22" s="3174" t="s">
        <v>3462</v>
      </c>
      <c r="K22" s="3175">
        <v>32000</v>
      </c>
      <c r="L22" s="3175">
        <v>6400</v>
      </c>
      <c r="M22" s="3180">
        <v>12000</v>
      </c>
      <c r="N22" s="3175">
        <v>6000</v>
      </c>
      <c r="O22" s="2445"/>
      <c r="P22" s="2445"/>
      <c r="Q22" s="3212" t="s">
        <v>3920</v>
      </c>
      <c r="R22" s="3213" t="s">
        <v>3866</v>
      </c>
      <c r="S22" s="3214">
        <v>4016.71</v>
      </c>
      <c r="T22" s="3214">
        <v>6</v>
      </c>
      <c r="U22" s="3213" t="s">
        <v>3921</v>
      </c>
      <c r="V22" s="3215">
        <v>3200</v>
      </c>
      <c r="W22" s="3215">
        <f t="shared" si="13"/>
        <v>1285</v>
      </c>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5" thickBot="1">
      <c r="A23" s="1596" t="s">
        <v>1215</v>
      </c>
      <c r="B23" s="99">
        <f>B19+B21</f>
        <v>2.5</v>
      </c>
      <c r="C23" s="2435"/>
      <c r="D23" s="2448"/>
      <c r="E23" s="2435"/>
      <c r="F23" s="2435"/>
      <c r="G23" s="2435"/>
      <c r="H23" s="3303"/>
      <c r="I23" s="3303"/>
      <c r="J23" s="3179" t="s">
        <v>3457</v>
      </c>
      <c r="K23" s="3181"/>
      <c r="L23" s="3181"/>
      <c r="M23" s="3182"/>
      <c r="N23" s="3181"/>
      <c r="O23" s="2445"/>
      <c r="P23" s="2445"/>
      <c r="Q23" s="3212" t="s">
        <v>3922</v>
      </c>
      <c r="R23" s="3213" t="s">
        <v>3866</v>
      </c>
      <c r="S23" s="3214">
        <v>4390.97</v>
      </c>
      <c r="T23" s="3214">
        <v>6</v>
      </c>
      <c r="U23" s="3213" t="s">
        <v>3921</v>
      </c>
      <c r="V23" s="3215">
        <v>3200</v>
      </c>
      <c r="W23" s="3215">
        <f t="shared" si="13"/>
        <v>1405</v>
      </c>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7" t="s">
        <v>1216</v>
      </c>
      <c r="B24" s="100">
        <f>B20-B21</f>
        <v>0</v>
      </c>
      <c r="C24" s="2435"/>
      <c r="D24" s="2448"/>
      <c r="E24" s="2435"/>
      <c r="F24" s="2435"/>
      <c r="G24" s="2435"/>
      <c r="H24" s="3303"/>
      <c r="I24" s="3303"/>
      <c r="J24" s="3179" t="s">
        <v>3460</v>
      </c>
      <c r="K24" s="3181"/>
      <c r="L24" s="3181" t="s">
        <v>3463</v>
      </c>
      <c r="M24" s="3182" t="s">
        <v>3463</v>
      </c>
      <c r="N24" s="3181"/>
      <c r="O24" s="2445"/>
      <c r="P24" s="2445"/>
      <c r="Q24" s="3212" t="s">
        <v>3923</v>
      </c>
      <c r="R24" s="3213" t="s">
        <v>3924</v>
      </c>
      <c r="S24" s="3214">
        <v>580.76</v>
      </c>
      <c r="T24" s="3214">
        <v>2</v>
      </c>
      <c r="U24" s="3213" t="s">
        <v>3846</v>
      </c>
      <c r="V24" s="3215">
        <v>3200</v>
      </c>
      <c r="W24" s="3215">
        <f t="shared" si="13"/>
        <v>186</v>
      </c>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7"/>
      <c r="B25" s="1540"/>
      <c r="C25" s="2435"/>
      <c r="D25" s="2448"/>
      <c r="E25" s="2435"/>
      <c r="F25" s="2435"/>
      <c r="G25" s="2435"/>
      <c r="H25" s="3304" t="s">
        <v>3464</v>
      </c>
      <c r="I25" s="3305" t="s">
        <v>3465</v>
      </c>
      <c r="J25" s="3306"/>
      <c r="K25" s="3183">
        <f t="shared" ref="K25:N25" si="14">K26+K30+K29</f>
        <v>4402</v>
      </c>
      <c r="L25" s="3183">
        <f t="shared" si="14"/>
        <v>3380</v>
      </c>
      <c r="M25" s="3183">
        <f t="shared" si="14"/>
        <v>2202</v>
      </c>
      <c r="N25" s="3183">
        <f t="shared" si="14"/>
        <v>3495</v>
      </c>
      <c r="O25" s="2445"/>
      <c r="P25" s="2445"/>
      <c r="Q25" s="3212" t="s">
        <v>3925</v>
      </c>
      <c r="R25" s="3213" t="s">
        <v>3926</v>
      </c>
      <c r="S25" s="3214">
        <v>2168.29</v>
      </c>
      <c r="T25" s="3214" t="s">
        <v>3927</v>
      </c>
      <c r="U25" s="3213" t="s">
        <v>3846</v>
      </c>
      <c r="V25" s="3215">
        <v>3200</v>
      </c>
      <c r="W25" s="3215">
        <f t="shared" si="13"/>
        <v>694</v>
      </c>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0" t="s">
        <v>1217</v>
      </c>
      <c r="B26" s="1598" t="s">
        <v>1218</v>
      </c>
      <c r="C26" s="2449" t="s">
        <v>1219</v>
      </c>
      <c r="D26" s="2448"/>
      <c r="E26" s="2435"/>
      <c r="F26" s="2435"/>
      <c r="G26" s="2435"/>
      <c r="H26" s="3304"/>
      <c r="I26" s="3303" t="s">
        <v>3466</v>
      </c>
      <c r="J26" s="3184" t="s">
        <v>3462</v>
      </c>
      <c r="K26" s="3185">
        <v>2273</v>
      </c>
      <c r="L26" s="3185">
        <v>1595</v>
      </c>
      <c r="M26" s="3185">
        <v>1520</v>
      </c>
      <c r="N26" s="3185">
        <v>1490</v>
      </c>
      <c r="O26" s="2445"/>
      <c r="P26" s="2445"/>
      <c r="Q26" s="3212" t="s">
        <v>3928</v>
      </c>
      <c r="R26" s="3213" t="s">
        <v>3924</v>
      </c>
      <c r="S26" s="3214">
        <v>580.76</v>
      </c>
      <c r="T26" s="3214">
        <v>2</v>
      </c>
      <c r="U26" s="3213" t="s">
        <v>3846</v>
      </c>
      <c r="V26" s="3215">
        <v>3200</v>
      </c>
      <c r="W26" s="3215">
        <f t="shared" si="13"/>
        <v>186</v>
      </c>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5" thickBot="1">
      <c r="A27" s="1599" t="s">
        <v>1220</v>
      </c>
      <c r="B27" s="101">
        <v>160</v>
      </c>
      <c r="C27" s="2559" t="s">
        <v>2295</v>
      </c>
      <c r="D27" s="2451"/>
      <c r="E27" s="2436"/>
      <c r="F27" s="2436"/>
      <c r="G27" s="2435"/>
      <c r="H27" s="3304"/>
      <c r="I27" s="3303"/>
      <c r="J27" s="3179" t="s">
        <v>3457</v>
      </c>
      <c r="K27" s="3181">
        <v>1670</v>
      </c>
      <c r="L27" s="3181">
        <v>1595</v>
      </c>
      <c r="M27" s="3182">
        <v>1520</v>
      </c>
      <c r="N27" s="3181">
        <v>1490</v>
      </c>
      <c r="O27" s="2445"/>
      <c r="P27" s="2445"/>
      <c r="Q27" s="3212" t="s">
        <v>3929</v>
      </c>
      <c r="R27" s="3213" t="s">
        <v>3924</v>
      </c>
      <c r="S27" s="3214">
        <v>580.76</v>
      </c>
      <c r="T27" s="3214">
        <v>2</v>
      </c>
      <c r="U27" s="3213" t="s">
        <v>3846</v>
      </c>
      <c r="V27" s="3215">
        <v>3200</v>
      </c>
      <c r="W27" s="3215">
        <f t="shared" si="13"/>
        <v>186</v>
      </c>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5" thickBot="1">
      <c r="A28" s="1600" t="s">
        <v>1221</v>
      </c>
      <c r="B28" s="103">
        <v>200</v>
      </c>
      <c r="C28" s="2452"/>
      <c r="D28" s="2451"/>
      <c r="E28" s="2436"/>
      <c r="F28" s="2436"/>
      <c r="G28" s="2435"/>
      <c r="H28" s="3304"/>
      <c r="I28" s="3303"/>
      <c r="J28" s="3179" t="s">
        <v>3460</v>
      </c>
      <c r="K28" s="3181">
        <v>4887</v>
      </c>
      <c r="L28" s="3181" t="s">
        <v>3463</v>
      </c>
      <c r="M28" s="3182"/>
      <c r="N28" s="3181" t="s">
        <v>3463</v>
      </c>
      <c r="O28" s="2445"/>
      <c r="P28" s="2445"/>
      <c r="Q28" s="3212" t="s">
        <v>3930</v>
      </c>
      <c r="R28" s="3213" t="s">
        <v>3926</v>
      </c>
      <c r="S28" s="3214">
        <v>580.76</v>
      </c>
      <c r="T28" s="3214">
        <v>2</v>
      </c>
      <c r="U28" s="3213" t="s">
        <v>3846</v>
      </c>
      <c r="V28" s="3215">
        <v>3200</v>
      </c>
      <c r="W28" s="3215">
        <f t="shared" si="13"/>
        <v>186</v>
      </c>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1" t="s">
        <v>1222</v>
      </c>
      <c r="B29" s="105">
        <f ca="1">成本法!C10</f>
        <v>1666</v>
      </c>
      <c r="C29" s="2560" t="s">
        <v>2284</v>
      </c>
      <c r="D29" s="2451"/>
      <c r="E29" s="2436"/>
      <c r="F29" s="2436"/>
      <c r="G29" s="2435"/>
      <c r="H29" s="3304"/>
      <c r="I29" s="3307" t="s">
        <v>3467</v>
      </c>
      <c r="J29" s="3307"/>
      <c r="K29" s="3186">
        <v>569</v>
      </c>
      <c r="L29" s="3186">
        <v>700</v>
      </c>
      <c r="M29" s="3186">
        <v>100</v>
      </c>
      <c r="N29" s="3186">
        <v>780</v>
      </c>
      <c r="O29" s="2445"/>
      <c r="P29" s="2445"/>
      <c r="Q29" s="3212" t="s">
        <v>3931</v>
      </c>
      <c r="R29" s="3213" t="s">
        <v>3932</v>
      </c>
      <c r="S29" s="3214">
        <v>15878.13</v>
      </c>
      <c r="T29" s="3214">
        <v>6</v>
      </c>
      <c r="U29" s="3213" t="s">
        <v>3846</v>
      </c>
      <c r="V29" s="3215">
        <v>4500</v>
      </c>
      <c r="W29" s="3215">
        <f t="shared" si="13"/>
        <v>7145</v>
      </c>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75" thickBot="1">
      <c r="A30" s="1602" t="s">
        <v>1223</v>
      </c>
      <c r="B30" s="638">
        <v>200</v>
      </c>
      <c r="C30" s="2452"/>
      <c r="D30" s="2451"/>
      <c r="E30" s="2436"/>
      <c r="F30" s="2436"/>
      <c r="G30" s="2435"/>
      <c r="H30" s="3304"/>
      <c r="I30" s="3308" t="s">
        <v>3468</v>
      </c>
      <c r="J30" s="3308"/>
      <c r="K30" s="3187">
        <v>1560</v>
      </c>
      <c r="L30" s="3187">
        <v>1085</v>
      </c>
      <c r="M30" s="3187">
        <v>582</v>
      </c>
      <c r="N30" s="3187">
        <v>1225</v>
      </c>
      <c r="O30" s="2445"/>
      <c r="P30" s="2445"/>
      <c r="Q30" s="3212" t="s">
        <v>3933</v>
      </c>
      <c r="R30" s="3213" t="s">
        <v>21</v>
      </c>
      <c r="S30" s="3214">
        <v>30451.89</v>
      </c>
      <c r="T30" s="3214" t="s">
        <v>3934</v>
      </c>
      <c r="U30" s="3213" t="s">
        <v>3846</v>
      </c>
      <c r="V30" s="3215">
        <v>4500</v>
      </c>
      <c r="W30" s="3215">
        <f t="shared" si="13"/>
        <v>13703</v>
      </c>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75" thickBot="1">
      <c r="A31" s="1600" t="s">
        <v>1224</v>
      </c>
      <c r="B31" s="104">
        <f>B30-B32</f>
        <v>200</v>
      </c>
      <c r="C31" s="2450"/>
      <c r="D31" s="2451"/>
      <c r="E31" s="2436"/>
      <c r="F31" s="2436"/>
      <c r="G31" s="2435"/>
      <c r="H31" s="3174"/>
      <c r="I31" s="3174"/>
      <c r="J31" s="3174"/>
      <c r="K31" s="3174"/>
      <c r="L31" s="3174"/>
      <c r="M31" s="3174"/>
      <c r="N31" s="3174"/>
      <c r="O31" s="2445"/>
      <c r="P31" s="2445"/>
      <c r="Q31" s="3216"/>
      <c r="R31" s="3215"/>
      <c r="S31" s="3215">
        <f>SUM(S20:S30)</f>
        <v>83292.25</v>
      </c>
      <c r="T31" s="3215"/>
      <c r="U31" s="3215"/>
      <c r="V31" s="3215">
        <v>3634</v>
      </c>
      <c r="W31" s="3215">
        <f>SUM(W20:W30)</f>
        <v>30270</v>
      </c>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3" t="s">
        <v>1225</v>
      </c>
      <c r="B32" s="639">
        <v>0</v>
      </c>
      <c r="C32" s="2452"/>
      <c r="D32" s="2448"/>
      <c r="E32" s="2435"/>
      <c r="F32" s="2435"/>
      <c r="G32" s="2435"/>
      <c r="H32" s="3174"/>
      <c r="I32" s="3174"/>
      <c r="J32" s="3174"/>
      <c r="K32" s="3174"/>
      <c r="L32" s="3174"/>
      <c r="M32" s="3174"/>
      <c r="N32" s="3174"/>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9" t="s">
        <v>1226</v>
      </c>
      <c r="B33" s="640">
        <v>0.03</v>
      </c>
      <c r="C33" s="2561" t="s">
        <v>3368</v>
      </c>
      <c r="D33" s="2448"/>
      <c r="E33" s="2435"/>
      <c r="F33" s="2435"/>
      <c r="G33" s="2435"/>
      <c r="H33" s="3174"/>
      <c r="I33" s="3188" t="s">
        <v>3469</v>
      </c>
      <c r="J33" s="3174"/>
      <c r="K33" s="3174"/>
      <c r="L33" s="3174"/>
      <c r="M33" s="3174"/>
      <c r="N33" s="3174"/>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0" t="s">
        <v>1227</v>
      </c>
      <c r="B34" s="106">
        <v>0</v>
      </c>
      <c r="C34" s="2561" t="s">
        <v>2285</v>
      </c>
      <c r="D34" s="2456" t="s">
        <v>2292</v>
      </c>
      <c r="E34" s="2454"/>
      <c r="F34" s="2435"/>
      <c r="G34" s="2435"/>
      <c r="H34" s="3174"/>
      <c r="I34" s="3188" t="s">
        <v>3470</v>
      </c>
      <c r="J34" s="3174"/>
      <c r="K34" s="3189">
        <f t="shared" ref="K34:N34" si="15">K26/K25</f>
        <v>0.516356201726488</v>
      </c>
      <c r="L34" s="3189">
        <f t="shared" si="15"/>
        <v>0.47189349112426038</v>
      </c>
      <c r="M34" s="3189">
        <f t="shared" si="15"/>
        <v>0.6902815622161671</v>
      </c>
      <c r="N34" s="3189">
        <f t="shared" si="15"/>
        <v>0.42632331902718168</v>
      </c>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0" t="s">
        <v>1228</v>
      </c>
      <c r="B35" s="103">
        <v>200</v>
      </c>
      <c r="C35" s="2561" t="s">
        <v>2286</v>
      </c>
      <c r="D35" s="2451"/>
      <c r="E35" s="2436"/>
      <c r="F35" s="2436"/>
      <c r="G35" s="2435"/>
      <c r="H35" s="3174"/>
      <c r="I35" s="3188" t="s">
        <v>3471</v>
      </c>
      <c r="J35" s="3174"/>
      <c r="K35" s="3189">
        <f t="shared" ref="K35:N35" si="16">K29/K25</f>
        <v>0.12925942753293956</v>
      </c>
      <c r="L35" s="3189">
        <f t="shared" si="16"/>
        <v>0.20710059171597633</v>
      </c>
      <c r="M35" s="3189">
        <f t="shared" si="16"/>
        <v>4.5413260672116255E-2</v>
      </c>
      <c r="N35" s="3189">
        <f t="shared" si="16"/>
        <v>0.22317596566523606</v>
      </c>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1" t="s">
        <v>1229</v>
      </c>
      <c r="B36" s="107">
        <v>1.4999999999999999E-2</v>
      </c>
      <c r="C36" s="2561" t="s">
        <v>3369</v>
      </c>
      <c r="D36" s="2448"/>
      <c r="E36" s="2435"/>
      <c r="F36" s="2435"/>
      <c r="G36" s="2435"/>
      <c r="H36" s="3174"/>
      <c r="I36" s="3188" t="s">
        <v>3472</v>
      </c>
      <c r="J36" s="3174"/>
      <c r="K36" s="3189">
        <f t="shared" ref="K36:N36" si="17">K30/K25</f>
        <v>0.35438437074057244</v>
      </c>
      <c r="L36" s="3189">
        <f t="shared" si="17"/>
        <v>0.32100591715976329</v>
      </c>
      <c r="M36" s="3189">
        <f t="shared" si="17"/>
        <v>0.26430517711171664</v>
      </c>
      <c r="N36" s="3189">
        <f t="shared" si="17"/>
        <v>0.35050071530758226</v>
      </c>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2" t="s">
        <v>1230</v>
      </c>
      <c r="B37" s="108">
        <v>0.02</v>
      </c>
      <c r="C37" s="2561" t="s">
        <v>2287</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0" t="s">
        <v>1231</v>
      </c>
      <c r="B38" s="106">
        <v>0.02</v>
      </c>
      <c r="C38" s="2561" t="s">
        <v>2287</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3"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2302</v>
      </c>
      <c r="B40" s="1013">
        <f ca="1">IF(A40="利息：取LPR",存贷款利率!G1,存贷款利率!G1+C40)</f>
        <v>3.4500000000000003E-2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9" t="s">
        <v>1233</v>
      </c>
      <c r="B41" s="109">
        <f>B42+B43</f>
        <v>5.5000000000000007E-2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4"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4" t="s">
        <v>1235</v>
      </c>
      <c r="B43" s="111">
        <f>B42*(B44+B45+B46)+B47</f>
        <v>5.000000000000001E-3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5" t="s">
        <v>1236</v>
      </c>
      <c r="B44" s="112">
        <v>0.05</v>
      </c>
      <c r="C44" s="2561" t="s">
        <v>2296</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5" t="s">
        <v>1237</v>
      </c>
      <c r="B45" s="110">
        <v>0.03</v>
      </c>
      <c r="C45" s="2560" t="s">
        <v>2288</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5" t="s">
        <v>1238</v>
      </c>
      <c r="B46" s="110">
        <v>0.02</v>
      </c>
      <c r="C46" s="2560" t="s">
        <v>2289</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6" t="s">
        <v>1239</v>
      </c>
      <c r="B47" s="113"/>
      <c r="C47" s="2563" t="s">
        <v>2297</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7" t="s">
        <v>1240</v>
      </c>
      <c r="B48" s="114">
        <v>0.03</v>
      </c>
      <c r="C48" s="2560" t="s">
        <v>2288</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3" t="s">
        <v>1241</v>
      </c>
      <c r="B49" s="110">
        <v>5.0000000000000001E-4</v>
      </c>
      <c r="C49" s="2560" t="s">
        <v>2290</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8"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1"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8" t="s">
        <v>1244</v>
      </c>
      <c r="B52" s="117">
        <f>SUMIF(A54:A63,B53,B54:B63)</f>
        <v>1.5</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0" t="s">
        <v>1245</v>
      </c>
      <c r="B53" s="1609" t="s">
        <v>29</v>
      </c>
      <c r="C53" s="2436" t="s">
        <v>1246</v>
      </c>
      <c r="D53" s="2562" t="s">
        <v>2294</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0" t="s">
        <v>1247</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0" t="s">
        <v>1248</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0" t="s">
        <v>1249</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0"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0"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0" t="s">
        <v>1252</v>
      </c>
      <c r="B59" s="72">
        <v>1.5</v>
      </c>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0"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0"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0"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1"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mergeCells count="8">
    <mergeCell ref="H18:J18"/>
    <mergeCell ref="H19:I21"/>
    <mergeCell ref="H22:I24"/>
    <mergeCell ref="H25:H30"/>
    <mergeCell ref="I25:J25"/>
    <mergeCell ref="I26:I28"/>
    <mergeCell ref="I29:J29"/>
    <mergeCell ref="I30:J30"/>
  </mergeCells>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9" customWidth="1"/>
    <col min="19" max="29" width="9" style="749"/>
    <col min="30" max="16384" width="9" style="1520"/>
  </cols>
  <sheetData>
    <row r="1" spans="1:29" s="2255" customFormat="1" ht="18.75" thickBot="1">
      <c r="A1" s="3309" t="s">
        <v>2276</v>
      </c>
      <c r="B1" s="3310"/>
      <c r="C1" s="3310"/>
      <c r="D1" s="3310"/>
      <c r="E1" s="3310"/>
      <c r="F1" s="3310"/>
      <c r="G1" s="3310"/>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2273</v>
      </c>
      <c r="D2" s="1593"/>
      <c r="E2" s="2256"/>
      <c r="F2" s="2259"/>
      <c r="G2" s="2258" t="s">
        <v>2274</v>
      </c>
      <c r="H2" s="749"/>
      <c r="I2" s="749"/>
      <c r="J2" s="749"/>
      <c r="K2" s="749"/>
      <c r="L2" s="749"/>
      <c r="M2" s="749"/>
      <c r="N2" s="749"/>
      <c r="O2" s="749"/>
      <c r="P2" s="749"/>
      <c r="Q2" s="749"/>
    </row>
    <row r="3" spans="1:29" ht="24">
      <c r="A3" s="2243" t="s">
        <v>2275</v>
      </c>
      <c r="B3" s="2260" t="s">
        <v>2251</v>
      </c>
      <c r="C3" s="2261"/>
      <c r="D3" s="2262"/>
      <c r="E3" s="2244" t="s">
        <v>2275</v>
      </c>
      <c r="F3" s="2263" t="s">
        <v>2252</v>
      </c>
      <c r="G3" s="2264"/>
      <c r="H3" s="749"/>
      <c r="I3" s="749"/>
      <c r="J3" s="749"/>
      <c r="K3" s="749"/>
      <c r="L3" s="749"/>
      <c r="M3" s="749"/>
      <c r="N3" s="749"/>
      <c r="O3" s="749"/>
      <c r="P3" s="749"/>
      <c r="Q3" s="749"/>
    </row>
    <row r="4" spans="1:29">
      <c r="A4" s="2244"/>
      <c r="B4" s="315" t="s">
        <v>2253</v>
      </c>
      <c r="C4" s="2265"/>
      <c r="D4" s="2262"/>
      <c r="E4" s="2266"/>
      <c r="F4" s="1279" t="s">
        <v>2254</v>
      </c>
      <c r="G4" s="2267"/>
      <c r="H4" s="749"/>
      <c r="I4" s="749"/>
      <c r="J4" s="749"/>
      <c r="K4" s="749"/>
      <c r="L4" s="749"/>
      <c r="M4" s="749"/>
      <c r="N4" s="749"/>
      <c r="O4" s="749"/>
      <c r="P4" s="749"/>
      <c r="Q4" s="749"/>
    </row>
    <row r="5" spans="1:29">
      <c r="A5" s="2244"/>
      <c r="B5" s="315" t="s">
        <v>2255</v>
      </c>
      <c r="C5" s="2265"/>
      <c r="D5" s="2262"/>
      <c r="E5" s="2266"/>
      <c r="F5" s="315" t="s">
        <v>2256</v>
      </c>
      <c r="G5" s="2267"/>
      <c r="H5" s="749"/>
      <c r="I5" s="749"/>
      <c r="J5" s="749"/>
      <c r="K5" s="749"/>
      <c r="L5" s="749"/>
      <c r="M5" s="749"/>
      <c r="N5" s="749"/>
      <c r="O5" s="749"/>
      <c r="P5" s="749"/>
      <c r="Q5" s="749"/>
    </row>
    <row r="6" spans="1:29">
      <c r="A6" s="2244"/>
      <c r="B6" s="315" t="s">
        <v>2257</v>
      </c>
      <c r="C6" s="2267"/>
      <c r="D6" s="2262"/>
      <c r="E6" s="2266"/>
      <c r="F6" s="315" t="s">
        <v>2258</v>
      </c>
      <c r="G6" s="2267"/>
      <c r="H6" s="749"/>
      <c r="I6" s="749"/>
      <c r="J6" s="749"/>
      <c r="K6" s="749"/>
      <c r="L6" s="749"/>
      <c r="M6" s="749"/>
      <c r="N6" s="749"/>
      <c r="O6" s="749"/>
      <c r="P6" s="749"/>
      <c r="Q6" s="749"/>
    </row>
    <row r="7" spans="1:29" ht="15" thickBot="1">
      <c r="A7" s="2244"/>
      <c r="B7" s="315" t="s">
        <v>2256</v>
      </c>
      <c r="C7" s="2267"/>
      <c r="D7" s="2241"/>
      <c r="E7" s="2268"/>
      <c r="F7" s="2269" t="s">
        <v>2259</v>
      </c>
      <c r="G7" s="2270"/>
      <c r="H7" s="749"/>
      <c r="I7" s="749"/>
      <c r="J7" s="749"/>
      <c r="K7" s="749"/>
      <c r="L7" s="749"/>
      <c r="M7" s="749"/>
      <c r="N7" s="749"/>
      <c r="O7" s="749"/>
      <c r="P7" s="749"/>
      <c r="Q7" s="749"/>
    </row>
    <row r="8" spans="1:29">
      <c r="A8" s="2244"/>
      <c r="B8" s="315" t="s">
        <v>2258</v>
      </c>
      <c r="C8" s="2267"/>
      <c r="D8" s="2241"/>
      <c r="E8" s="2241"/>
      <c r="F8" s="121"/>
      <c r="G8" s="121"/>
      <c r="H8" s="749"/>
      <c r="I8" s="749"/>
      <c r="J8" s="749"/>
      <c r="K8" s="749"/>
      <c r="L8" s="749"/>
      <c r="M8" s="749"/>
      <c r="N8" s="749"/>
      <c r="O8" s="749"/>
      <c r="P8" s="749"/>
      <c r="Q8" s="749"/>
    </row>
    <row r="9" spans="1:29">
      <c r="A9" s="2244"/>
      <c r="B9" s="315" t="s">
        <v>2260</v>
      </c>
      <c r="C9" s="2265"/>
      <c r="D9" s="2262"/>
      <c r="E9" s="2241"/>
      <c r="F9" s="121"/>
      <c r="G9" s="121"/>
      <c r="H9" s="749"/>
      <c r="I9" s="749"/>
      <c r="J9" s="749"/>
      <c r="K9" s="749"/>
      <c r="L9" s="749"/>
      <c r="M9" s="749"/>
      <c r="N9" s="749"/>
      <c r="O9" s="749"/>
      <c r="P9" s="749"/>
      <c r="Q9" s="749"/>
    </row>
    <row r="10" spans="1:29" ht="15" thickBot="1">
      <c r="A10" s="2245"/>
      <c r="B10" s="2271" t="s">
        <v>2261</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2277</v>
      </c>
      <c r="B13" s="2276"/>
      <c r="C13" s="2276"/>
      <c r="D13" s="2275"/>
      <c r="E13" s="2276"/>
      <c r="F13" s="2276"/>
      <c r="G13" s="2276"/>
    </row>
    <row r="14" spans="1:29" ht="15" thickBot="1">
      <c r="A14" s="2281"/>
      <c r="B14" s="2281"/>
      <c r="C14" s="2282" t="s">
        <v>2262</v>
      </c>
      <c r="D14" s="2262"/>
      <c r="E14" s="2283"/>
      <c r="F14" s="2283"/>
      <c r="G14" s="2258" t="s">
        <v>2263</v>
      </c>
    </row>
    <row r="15" spans="1:29" ht="24">
      <c r="A15" s="2246" t="s">
        <v>2264</v>
      </c>
      <c r="B15" s="2284" t="s">
        <v>2251</v>
      </c>
      <c r="C15" s="2285">
        <f>C3</f>
        <v>0</v>
      </c>
      <c r="D15" s="2262"/>
      <c r="E15" s="2247" t="s">
        <v>2265</v>
      </c>
      <c r="F15" s="2284" t="s">
        <v>2266</v>
      </c>
      <c r="G15" s="2286">
        <f>G3</f>
        <v>0</v>
      </c>
    </row>
    <row r="16" spans="1:29">
      <c r="A16" s="2248"/>
      <c r="B16" s="2287" t="s">
        <v>2253</v>
      </c>
      <c r="C16" s="2288">
        <f>C4</f>
        <v>0</v>
      </c>
      <c r="D16" s="2262"/>
      <c r="E16" s="2249"/>
      <c r="F16" s="2289" t="s">
        <v>2254</v>
      </c>
      <c r="G16" s="2290">
        <f>G4</f>
        <v>0</v>
      </c>
    </row>
    <row r="17" spans="1:17">
      <c r="A17" s="2248"/>
      <c r="B17" s="2287" t="s">
        <v>2255</v>
      </c>
      <c r="C17" s="2288">
        <f>C5</f>
        <v>0</v>
      </c>
      <c r="D17" s="2241"/>
      <c r="E17" s="2249"/>
      <c r="F17" s="2289" t="s">
        <v>2267</v>
      </c>
      <c r="G17" s="2291"/>
    </row>
    <row r="18" spans="1:17">
      <c r="A18" s="2248"/>
      <c r="B18" s="2289" t="s">
        <v>2257</v>
      </c>
      <c r="C18" s="2290">
        <f>C6</f>
        <v>0</v>
      </c>
      <c r="D18" s="2241"/>
      <c r="E18" s="2249"/>
      <c r="F18" s="2289" t="s">
        <v>2259</v>
      </c>
      <c r="G18" s="2290">
        <f>G7</f>
        <v>0</v>
      </c>
    </row>
    <row r="19" spans="1:17">
      <c r="A19" s="2248"/>
      <c r="B19" s="2289" t="s">
        <v>2268</v>
      </c>
      <c r="C19" s="2291"/>
      <c r="D19" s="2262"/>
      <c r="E19" s="2249"/>
      <c r="F19" s="315" t="s">
        <v>2256</v>
      </c>
      <c r="G19" s="2290">
        <f>G5</f>
        <v>0</v>
      </c>
    </row>
    <row r="20" spans="1:17">
      <c r="A20" s="2248"/>
      <c r="B20" s="2289" t="s">
        <v>2269</v>
      </c>
      <c r="C20" s="2288">
        <f>C9</f>
        <v>0</v>
      </c>
      <c r="D20" s="2241"/>
      <c r="E20" s="2249"/>
      <c r="F20" s="315" t="s">
        <v>2258</v>
      </c>
      <c r="G20" s="2290">
        <f>G6</f>
        <v>0</v>
      </c>
    </row>
    <row r="21" spans="1:17">
      <c r="A21" s="2248"/>
      <c r="B21" s="315" t="s">
        <v>2256</v>
      </c>
      <c r="C21" s="2290">
        <f>C7</f>
        <v>0</v>
      </c>
      <c r="D21" s="2262"/>
      <c r="E21" s="2249"/>
      <c r="F21" s="2289" t="s">
        <v>2270</v>
      </c>
      <c r="G21" s="2292"/>
    </row>
    <row r="22" spans="1:17" ht="13.5" customHeight="1">
      <c r="A22" s="2248"/>
      <c r="B22" s="315" t="s">
        <v>2258</v>
      </c>
      <c r="C22" s="2290">
        <f>C8</f>
        <v>0</v>
      </c>
      <c r="D22" s="2262"/>
      <c r="E22" s="2249"/>
      <c r="F22" s="2289" t="s">
        <v>2261</v>
      </c>
      <c r="G22" s="2291"/>
    </row>
    <row r="23" spans="1:17" s="749" customFormat="1" ht="15" thickBot="1">
      <c r="A23" s="2248"/>
      <c r="B23" s="2289" t="s">
        <v>2270</v>
      </c>
      <c r="C23" s="2292"/>
      <c r="D23" s="1612"/>
      <c r="E23" s="2250"/>
      <c r="F23" s="2293" t="s">
        <v>2271</v>
      </c>
      <c r="G23" s="2294"/>
      <c r="H23" s="2273"/>
      <c r="I23" s="2273"/>
      <c r="J23" s="2273"/>
      <c r="K23" s="2273"/>
      <c r="L23" s="2273"/>
      <c r="M23" s="2273"/>
      <c r="N23" s="2273"/>
      <c r="O23" s="2273"/>
      <c r="P23" s="2273"/>
      <c r="Q23" s="2273"/>
    </row>
    <row r="24" spans="1:17" s="749" customFormat="1" ht="15" thickBot="1">
      <c r="A24" s="2251"/>
      <c r="B24" s="2293" t="s">
        <v>2272</v>
      </c>
      <c r="C24" s="2295">
        <f>C10</f>
        <v>0</v>
      </c>
      <c r="D24" s="1612"/>
      <c r="E24" s="2241"/>
      <c r="F24" s="2241"/>
      <c r="G24" s="2241"/>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0" sqref="M10"/>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83292.240000000005</v>
      </c>
      <c r="C1" s="2458"/>
      <c r="D1" s="2458"/>
      <c r="E1" s="2458"/>
      <c r="F1" s="2458"/>
      <c r="G1" s="2459"/>
      <c r="H1" s="2459"/>
      <c r="I1" s="2459"/>
      <c r="J1" s="2459"/>
      <c r="K1" s="2459"/>
    </row>
    <row r="2" spans="1:11" ht="16.5">
      <c r="A2" s="2296" t="s">
        <v>653</v>
      </c>
      <c r="B2" s="2296">
        <f>SUM(C14:C23)</f>
        <v>55606.63</v>
      </c>
      <c r="C2" s="2458"/>
      <c r="D2" s="2458"/>
      <c r="E2" s="2458"/>
      <c r="F2" s="2458"/>
      <c r="G2" s="2459"/>
      <c r="H2" s="2459"/>
      <c r="I2" s="2459"/>
      <c r="J2" s="2459"/>
      <c r="K2" s="2459"/>
    </row>
    <row r="3" spans="1:11" ht="16.5">
      <c r="A3" s="2296" t="s">
        <v>662</v>
      </c>
      <c r="B3" s="2298">
        <f>项目基本情况!D3</f>
        <v>45463</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40993</v>
      </c>
      <c r="C5" s="2296">
        <f ca="1">IF(B5=D14,结果表!H102,ROUND(B5*10000/$B$1,0))</f>
        <v>0</v>
      </c>
      <c r="D5" s="2296">
        <f ca="1">ROUND(B5*10000/$B$2,0)</f>
        <v>7372</v>
      </c>
      <c r="E5" s="2458"/>
      <c r="F5" s="2459"/>
      <c r="G5" s="2459"/>
      <c r="H5" s="2459"/>
      <c r="I5" s="2459"/>
      <c r="J5" s="2459"/>
      <c r="K5" s="2459"/>
    </row>
    <row r="6" spans="1:11" ht="16.5">
      <c r="A6" s="2296" t="s">
        <v>656</v>
      </c>
      <c r="B6" s="2296">
        <f>SUM(G14:G23)</f>
        <v>0</v>
      </c>
      <c r="C6" s="2296">
        <f ca="1">IF(B6=G14,结果表!H108,ROUND(B6*10000/$B$1,0))</f>
        <v>0</v>
      </c>
      <c r="D6" s="2296">
        <f>ROUND(B6*10000/$B$2,0)</f>
        <v>0</v>
      </c>
      <c r="E6" s="2458"/>
      <c r="F6" s="2459"/>
      <c r="G6" s="2459"/>
      <c r="H6" s="2459"/>
      <c r="I6" s="2459"/>
      <c r="J6" s="2459"/>
      <c r="K6" s="2459"/>
    </row>
    <row r="7" spans="1:11" ht="16.5">
      <c r="A7" s="2296" t="s">
        <v>664</v>
      </c>
      <c r="B7" s="2296">
        <f>SUM(H14:H23)</f>
        <v>0</v>
      </c>
      <c r="C7" s="2296" t="str">
        <f>IF(B7=H14,结果表!H110,ROUND(B7*10000/$B$1,0))</f>
        <v>——</v>
      </c>
      <c r="D7" s="2296">
        <f>ROUND(B7*10000/$B$2,0)</f>
        <v>0</v>
      </c>
      <c r="E7" s="2458"/>
      <c r="F7" s="2459"/>
      <c r="G7" s="2459"/>
      <c r="H7" s="2459"/>
      <c r="I7" s="2459"/>
      <c r="J7" s="2459"/>
      <c r="K7" s="2459"/>
    </row>
    <row r="8" spans="1:11" ht="16.5">
      <c r="A8" s="2296" t="s">
        <v>587</v>
      </c>
      <c r="B8" s="2296">
        <f>SUM(I14:I23)</f>
        <v>0</v>
      </c>
      <c r="C8" s="2296" t="str">
        <f>IF(B8=I14,结果表!H112,ROUND(B8*10000/$B$1,0))</f>
        <v>——</v>
      </c>
      <c r="D8" s="2296">
        <f>ROUND(B8*10000/$B$2,0)</f>
        <v>0</v>
      </c>
      <c r="E8" s="2458"/>
      <c r="F8" s="2459"/>
      <c r="G8" s="2459"/>
      <c r="H8" s="2459"/>
      <c r="I8" s="2459"/>
      <c r="J8" s="2459"/>
      <c r="K8" s="2459"/>
    </row>
    <row r="9" spans="1:11" ht="16.5">
      <c r="A9" s="2296" t="s">
        <v>655</v>
      </c>
      <c r="B9" s="1242"/>
      <c r="C9" s="2458"/>
      <c r="D9" s="2458"/>
      <c r="E9" s="2458"/>
      <c r="F9" s="2459"/>
      <c r="G9" s="2459"/>
      <c r="H9" s="2459"/>
      <c r="I9" s="2459"/>
      <c r="J9" s="2459"/>
      <c r="K9" s="2459"/>
    </row>
    <row r="10" spans="1:11" ht="16.5">
      <c r="A10" s="2296" t="s">
        <v>654</v>
      </c>
      <c r="B10" s="2296">
        <f>IF(E10="",0,ROUND(B1*(E10*365/G10)/10000,0))</f>
        <v>0</v>
      </c>
      <c r="C10" s="2296" t="s">
        <v>3348</v>
      </c>
      <c r="D10" s="2296" t="s">
        <v>3349</v>
      </c>
      <c r="E10" s="3133"/>
      <c r="F10" s="3137" t="s">
        <v>3350</v>
      </c>
      <c r="G10" s="3134"/>
      <c r="H10" s="2459"/>
      <c r="I10" s="2459"/>
      <c r="J10" s="2459"/>
      <c r="K10" s="2459"/>
    </row>
    <row r="11" spans="1:11" ht="16.5">
      <c r="A11" s="2296" t="s">
        <v>670</v>
      </c>
      <c r="B11" s="1242"/>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'数据-汇总表'!E3</f>
        <v>83292.240000000005</v>
      </c>
      <c r="C14" s="2302">
        <f>'数据-汇总表'!D3</f>
        <v>55606.63</v>
      </c>
      <c r="D14" s="2302">
        <f ca="1">结果表!G19</f>
        <v>40993</v>
      </c>
      <c r="E14" s="2302">
        <f ca="1">ROUND(D14*10000/B14,0)</f>
        <v>4922</v>
      </c>
      <c r="F14" s="2302">
        <f ca="1">ROUND(D14*10000/C14,0)</f>
        <v>7372</v>
      </c>
      <c r="G14" s="2302"/>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2"/>
      <c r="H15" s="1242"/>
      <c r="I15" s="2303"/>
      <c r="J15" s="2459"/>
      <c r="K15" s="2459"/>
    </row>
    <row r="16" spans="1:11" ht="16.5">
      <c r="A16" s="2301" t="s">
        <v>648</v>
      </c>
      <c r="B16" s="2303"/>
      <c r="C16" s="2303"/>
      <c r="D16" s="2303"/>
      <c r="E16" s="2302" t="e">
        <f t="shared" si="0"/>
        <v>#DIV/0!</v>
      </c>
      <c r="F16" s="2302" t="e">
        <f t="shared" si="1"/>
        <v>#DIV/0!</v>
      </c>
      <c r="G16" s="1242"/>
      <c r="H16" s="1242"/>
      <c r="I16" s="2303"/>
      <c r="J16" s="2459"/>
      <c r="K16" s="2459"/>
    </row>
    <row r="17" spans="1:11" ht="16.5">
      <c r="A17" s="2301" t="s">
        <v>647</v>
      </c>
      <c r="B17" s="2303"/>
      <c r="C17" s="2303"/>
      <c r="D17" s="2303"/>
      <c r="E17" s="2302" t="e">
        <f t="shared" si="0"/>
        <v>#DIV/0!</v>
      </c>
      <c r="F17" s="2302" t="e">
        <f t="shared" si="1"/>
        <v>#DIV/0!</v>
      </c>
      <c r="G17" s="1242"/>
      <c r="H17" s="1242"/>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2" t="e">
        <f t="shared" si="0"/>
        <v>#DIV/0!</v>
      </c>
      <c r="F23" s="1242"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17" t="str">
        <f>项目基本情况!B1</f>
        <v>北京市房地产抵押价值预评估</v>
      </c>
      <c r="C37" s="3217"/>
      <c r="D37" s="3217"/>
      <c r="E37" s="3217"/>
      <c r="F37" s="3217"/>
      <c r="G37" s="3217"/>
      <c r="H37" s="3217"/>
      <c r="I37" s="3217"/>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F10" sqref="F10"/>
    </sheetView>
  </sheetViews>
  <sheetFormatPr defaultColWidth="12.625" defaultRowHeight="21.75" customHeight="1"/>
  <cols>
    <col min="1" max="2" width="12.625" style="1559"/>
    <col min="3" max="4" width="12.625" style="1559" customWidth="1"/>
    <col min="5" max="9" width="12.625" style="1559"/>
    <col min="10" max="11" width="12.625" style="684" customWidth="1"/>
    <col min="12" max="12" width="12.625" style="684"/>
    <col min="13" max="13" width="14.125" style="684" bestFit="1" customWidth="1"/>
    <col min="14" max="26" width="12.625" style="684"/>
    <col min="27" max="35" width="12.625" style="1621"/>
    <col min="36" max="16384" width="12.625" style="1559"/>
  </cols>
  <sheetData>
    <row r="1" spans="1:12" ht="21.75" customHeight="1" thickBot="1">
      <c r="A1" s="1519" t="s">
        <v>1262</v>
      </c>
      <c r="B1" s="646"/>
      <c r="C1" s="1618"/>
      <c r="D1" s="646"/>
      <c r="E1" s="646"/>
      <c r="F1" s="1619" t="s">
        <v>1263</v>
      </c>
      <c r="G1" s="1451" t="s">
        <v>3911</v>
      </c>
      <c r="H1" s="1619" t="str">
        <f>IF(G1="现房","——","估价对象范围")</f>
        <v>——</v>
      </c>
      <c r="I1" s="1620" t="s">
        <v>3912</v>
      </c>
    </row>
    <row r="2" spans="1:12" ht="21.75" customHeight="1" thickBot="1">
      <c r="A2" s="3378" t="str">
        <f>项目基本情况!S2</f>
        <v>北京市房地产</v>
      </c>
      <c r="B2" s="3379"/>
      <c r="C2" s="3379"/>
      <c r="D2" s="3379"/>
      <c r="E2" s="3379"/>
      <c r="F2" s="3379"/>
      <c r="G2" s="3379"/>
      <c r="H2" s="3379"/>
      <c r="I2" s="3380"/>
    </row>
    <row r="3" spans="1:12" ht="12.75">
      <c r="A3" s="3382" t="s">
        <v>1264</v>
      </c>
      <c r="B3" s="3383"/>
      <c r="C3" s="3383"/>
      <c r="D3" s="3383"/>
      <c r="E3" s="3383"/>
      <c r="F3" s="3383"/>
      <c r="G3" s="3383"/>
      <c r="H3" s="3383"/>
      <c r="I3" s="3383"/>
    </row>
    <row r="4" spans="1:12" ht="14.25">
      <c r="A4" s="1622" t="s">
        <v>1265</v>
      </c>
      <c r="B4" s="1623" t="s">
        <v>1266</v>
      </c>
      <c r="C4" s="1624" t="s">
        <v>3909</v>
      </c>
      <c r="D4" s="1624" t="s">
        <v>3910</v>
      </c>
      <c r="E4" s="3387" t="s">
        <v>1267</v>
      </c>
      <c r="F4" s="3388"/>
      <c r="G4" s="3388"/>
      <c r="H4" s="3388"/>
      <c r="I4" s="338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26" t="s">
        <v>1268</v>
      </c>
      <c r="B5" s="3381">
        <v>25</v>
      </c>
      <c r="C5" s="3384"/>
      <c r="D5" s="3372"/>
      <c r="E5" s="123" t="s">
        <v>1269</v>
      </c>
      <c r="F5" s="1625"/>
      <c r="G5" s="1625"/>
      <c r="H5" s="1625"/>
      <c r="I5" s="1279"/>
    </row>
    <row r="6" spans="1:12" ht="12.75">
      <c r="A6" s="3326"/>
      <c r="B6" s="3381"/>
      <c r="C6" s="3386"/>
      <c r="D6" s="3372"/>
      <c r="E6" s="123" t="s">
        <v>1270</v>
      </c>
      <c r="F6" s="1625"/>
      <c r="G6" s="1625"/>
      <c r="H6" s="1625"/>
      <c r="I6" s="1279"/>
    </row>
    <row r="7" spans="1:12" ht="12.75">
      <c r="A7" s="3326"/>
      <c r="B7" s="3381"/>
      <c r="C7" s="3385"/>
      <c r="D7" s="3372"/>
      <c r="E7" s="123" t="s">
        <v>1271</v>
      </c>
      <c r="F7" s="1625"/>
      <c r="G7" s="1625"/>
      <c r="H7" s="1625"/>
      <c r="I7" s="1279"/>
    </row>
    <row r="8" spans="1:12" ht="12.75">
      <c r="A8" s="3326" t="s">
        <v>1272</v>
      </c>
      <c r="B8" s="3381">
        <v>15</v>
      </c>
      <c r="C8" s="3384"/>
      <c r="D8" s="3372"/>
      <c r="E8" s="123" t="s">
        <v>1273</v>
      </c>
      <c r="F8" s="1625"/>
      <c r="G8" s="1625"/>
      <c r="H8" s="1625"/>
      <c r="I8" s="1279"/>
    </row>
    <row r="9" spans="1:12" ht="12.75">
      <c r="A9" s="3326"/>
      <c r="B9" s="3381"/>
      <c r="C9" s="3385"/>
      <c r="D9" s="3372"/>
      <c r="E9" s="123" t="s">
        <v>1274</v>
      </c>
      <c r="F9" s="1625"/>
      <c r="G9" s="1625"/>
      <c r="H9" s="1625"/>
      <c r="I9" s="1279"/>
    </row>
    <row r="10" spans="1:12" ht="12.75">
      <c r="A10" s="3326" t="s">
        <v>1275</v>
      </c>
      <c r="B10" s="3381">
        <v>15</v>
      </c>
      <c r="C10" s="3384"/>
      <c r="D10" s="3372"/>
      <c r="E10" s="123" t="s">
        <v>1276</v>
      </c>
      <c r="F10" s="1625"/>
      <c r="G10" s="1625"/>
      <c r="H10" s="1625"/>
      <c r="I10" s="1279"/>
    </row>
    <row r="11" spans="1:12" ht="12.75">
      <c r="A11" s="3326"/>
      <c r="B11" s="3381"/>
      <c r="C11" s="3385"/>
      <c r="D11" s="3372"/>
      <c r="E11" s="123" t="s">
        <v>1277</v>
      </c>
      <c r="F11" s="1625"/>
      <c r="G11" s="1625"/>
      <c r="H11" s="1625"/>
      <c r="I11" s="1279"/>
    </row>
    <row r="12" spans="1:12" ht="12.75">
      <c r="A12" s="3326" t="s">
        <v>1278</v>
      </c>
      <c r="B12" s="3381">
        <v>15</v>
      </c>
      <c r="C12" s="3384"/>
      <c r="D12" s="3372"/>
      <c r="E12" s="123" t="s">
        <v>1279</v>
      </c>
      <c r="F12" s="1625"/>
      <c r="G12" s="1625"/>
      <c r="H12" s="1625"/>
      <c r="I12" s="1279"/>
    </row>
    <row r="13" spans="1:12" ht="12.75">
      <c r="A13" s="3326"/>
      <c r="B13" s="3381"/>
      <c r="C13" s="3385"/>
      <c r="D13" s="3372"/>
      <c r="E13" s="123" t="s">
        <v>1280</v>
      </c>
      <c r="F13" s="1625"/>
      <c r="G13" s="1625"/>
      <c r="H13" s="1625"/>
      <c r="I13" s="1279"/>
    </row>
    <row r="14" spans="1:12" ht="12.75">
      <c r="A14" s="3326" t="s">
        <v>1281</v>
      </c>
      <c r="B14" s="3381">
        <v>30</v>
      </c>
      <c r="C14" s="3384">
        <v>5</v>
      </c>
      <c r="D14" s="3372">
        <v>5</v>
      </c>
      <c r="E14" s="123" t="s">
        <v>1282</v>
      </c>
      <c r="F14" s="1625"/>
      <c r="G14" s="1625"/>
      <c r="H14" s="1625"/>
      <c r="I14" s="1279"/>
    </row>
    <row r="15" spans="1:12" ht="12.75">
      <c r="A15" s="3326"/>
      <c r="B15" s="3381"/>
      <c r="C15" s="3386"/>
      <c r="D15" s="3372"/>
      <c r="E15" s="123" t="s">
        <v>1283</v>
      </c>
      <c r="F15" s="1625"/>
      <c r="G15" s="1625"/>
      <c r="H15" s="1625"/>
      <c r="I15" s="1279"/>
    </row>
    <row r="16" spans="1:12" ht="12.75">
      <c r="A16" s="3326"/>
      <c r="B16" s="3381"/>
      <c r="C16" s="3385"/>
      <c r="D16" s="3372"/>
      <c r="E16" s="123" t="s">
        <v>1284</v>
      </c>
      <c r="F16" s="1625"/>
      <c r="G16" s="1625"/>
      <c r="H16" s="1625"/>
      <c r="I16" s="1279"/>
    </row>
    <row r="17" spans="1:36" ht="15">
      <c r="A17" s="1626" t="s">
        <v>1285</v>
      </c>
      <c r="B17" s="54"/>
      <c r="C17" s="124">
        <f>SUM(C5:C16)</f>
        <v>5</v>
      </c>
      <c r="D17" s="124">
        <f>SUM(D5:D16)</f>
        <v>5</v>
      </c>
      <c r="E17" s="121"/>
      <c r="F17" s="121"/>
      <c r="G17" s="121"/>
      <c r="H17" s="121"/>
      <c r="I17" s="121"/>
      <c r="K17" s="294"/>
      <c r="L17" s="294" t="s">
        <v>1286</v>
      </c>
      <c r="M17" s="294" t="s">
        <v>1287</v>
      </c>
    </row>
    <row r="18" spans="1:36" ht="31.9" customHeight="1" thickBot="1">
      <c r="A18" s="1627" t="s">
        <v>1288</v>
      </c>
      <c r="B18" s="1540"/>
      <c r="C18" s="125">
        <f>ROUND(C17/SUM(C17:D17),2)</f>
        <v>0.5</v>
      </c>
      <c r="D18" s="125">
        <f>1-C18</f>
        <v>0.5</v>
      </c>
      <c r="E18" s="3403" t="s">
        <v>2130</v>
      </c>
      <c r="F18" s="3404"/>
      <c r="G18" s="3404"/>
      <c r="H18" s="3404"/>
      <c r="I18" s="3404"/>
      <c r="K18" s="294" t="s">
        <v>1289</v>
      </c>
      <c r="L18" s="294">
        <f>IF(C1="",'数据-汇总表'!E3,SUMIF(项目类型,C1,'数据-汇总表'!E17:E26)+SUMIF(项目类型,C1,'数据-汇总表'!I17:I26))</f>
        <v>83292.240000000005</v>
      </c>
      <c r="M18" s="294">
        <f>IF(C1="",'数据-汇总表'!E3,SUMIF(项目类型,C1,'数据-汇总表'!E17:E26))</f>
        <v>83292.240000000005</v>
      </c>
    </row>
    <row r="19" spans="1:36" ht="15">
      <c r="A19" s="1628" t="s">
        <v>1290</v>
      </c>
      <c r="B19" s="1629" t="s">
        <v>1291</v>
      </c>
      <c r="C19" s="126">
        <f ca="1">SUMIF(INDIRECT("'"&amp;C4&amp;"'"&amp;"!A:A"),结果表!B19,INDIRECT("'"&amp;C4&amp;"'"&amp;"!B:B"))</f>
        <v>41328</v>
      </c>
      <c r="D19" s="127">
        <f ca="1">SUMIF(INDIRECT("'"&amp;D4&amp;"'"&amp;"!A:A"),结果表!B19,INDIRECT("'"&amp;D4&amp;"'"&amp;"!B:B"))</f>
        <v>40657</v>
      </c>
      <c r="E19" s="1628" t="s">
        <v>1292</v>
      </c>
      <c r="F19" s="1629" t="s">
        <v>1291</v>
      </c>
      <c r="G19" s="128">
        <f ca="1">ROUND(C19*$C$18+D19*$D$18,0)</f>
        <v>40993</v>
      </c>
      <c r="H19" s="1630" t="s">
        <v>1293</v>
      </c>
      <c r="I19" s="121"/>
      <c r="K19" s="294" t="s">
        <v>1294</v>
      </c>
      <c r="L19" s="294">
        <f>IF(C1="",'数据-汇总表'!D3,SUMIF(项目类型,C1,'数据-汇总表'!D17:D26)+SUMIF(项目类型,C1,'数据-汇总表'!H17:H27))</f>
        <v>55606.63</v>
      </c>
      <c r="M19" s="294">
        <f>IF(C1="",'数据-汇总表'!D3,SUMIF(项目类型,C1,'数据-汇总表'!D17:D26))</f>
        <v>55606.63</v>
      </c>
    </row>
    <row r="20" spans="1:36" ht="15">
      <c r="A20" s="1631"/>
      <c r="B20" s="43" t="s">
        <v>1295</v>
      </c>
      <c r="C20" s="129">
        <f ca="1">SUMIF(INDIRECT("'"&amp;C4&amp;"'"&amp;"!A:A"),结果表!B20,INDIRECT("'"&amp;C4&amp;"'"&amp;"!B:B"))</f>
        <v>4962</v>
      </c>
      <c r="D20" s="130">
        <f ca="1">SUMIF(INDIRECT("'"&amp;D4&amp;"'"&amp;"!A:A"),结果表!B20,INDIRECT("'"&amp;D4&amp;"'"&amp;"!B:B"))</f>
        <v>4881</v>
      </c>
      <c r="E20" s="1631"/>
      <c r="F20" s="43" t="s">
        <v>1295</v>
      </c>
      <c r="G20" s="131">
        <f ca="1">ROUND(C20*$C$18+D20*$D$18,0)</f>
        <v>4922</v>
      </c>
      <c r="H20" s="758" t="s">
        <v>1296</v>
      </c>
      <c r="I20" s="121"/>
    </row>
    <row r="21" spans="1:36" ht="15" customHeight="1" thickBot="1">
      <c r="A21" s="449"/>
      <c r="B21" s="93" t="s">
        <v>1297</v>
      </c>
      <c r="C21" s="678">
        <f ca="1">ROUND(C19*10000/L19,0)</f>
        <v>7432</v>
      </c>
      <c r="D21" s="679">
        <f ca="1">ROUND(D19*10000/L19,0)</f>
        <v>7312</v>
      </c>
      <c r="E21" s="449"/>
      <c r="F21" s="93" t="s">
        <v>1297</v>
      </c>
      <c r="G21" s="132">
        <f ca="1">ROUND(G19*10000/L19,0)</f>
        <v>7372</v>
      </c>
      <c r="H21" s="1632" t="s">
        <v>1296</v>
      </c>
      <c r="I21" s="121"/>
    </row>
    <row r="22" spans="1:36" ht="15" thickBot="1">
      <c r="A22" s="1562" t="s">
        <v>1298</v>
      </c>
      <c r="B22" s="1633"/>
      <c r="C22" s="1634"/>
      <c r="D22" s="680">
        <f ca="1">IF(C19&lt;D19,D19/C19-1,C19/D19-1)</f>
        <v>1.6503923063678982E-2</v>
      </c>
      <c r="E22" s="121"/>
      <c r="F22" s="121"/>
      <c r="G22" s="121"/>
      <c r="H22" s="121"/>
      <c r="I22" s="121"/>
    </row>
    <row r="23" spans="1:36" ht="13.5" thickBot="1">
      <c r="A23" s="646"/>
      <c r="B23" s="646"/>
      <c r="C23" s="646"/>
      <c r="D23" s="646"/>
      <c r="E23" s="121"/>
      <c r="F23" s="121"/>
      <c r="G23" s="121"/>
      <c r="H23" s="121"/>
      <c r="I23" s="121"/>
    </row>
    <row r="24" spans="1:36" ht="14.25">
      <c r="A24" s="3396" t="s">
        <v>1299</v>
      </c>
      <c r="B24" s="1629" t="s">
        <v>1291</v>
      </c>
      <c r="C24" s="128">
        <f>IF(B30=0,0,D30)</f>
        <v>0</v>
      </c>
      <c r="D24" s="1635"/>
      <c r="E24" s="121"/>
      <c r="F24" s="121"/>
      <c r="G24" s="121"/>
      <c r="H24" s="121"/>
      <c r="I24" s="121"/>
    </row>
    <row r="25" spans="1:36" ht="14.25">
      <c r="A25" s="3397"/>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3" t="s">
        <v>2131</v>
      </c>
      <c r="F30" s="121"/>
      <c r="G30" s="121"/>
      <c r="H30" s="121"/>
      <c r="I30" s="121"/>
    </row>
    <row r="31" spans="1:36" s="2129" customFormat="1" ht="26.45" customHeight="1" thickTop="1" thickBot="1">
      <c r="A31" s="2124"/>
      <c r="B31" s="2125"/>
      <c r="C31" s="2125"/>
      <c r="D31" s="2125"/>
      <c r="E31" s="2125"/>
      <c r="F31" s="2125"/>
      <c r="G31" s="2125"/>
      <c r="H31" s="2125"/>
      <c r="I31" s="2126" t="s">
        <v>2132</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8" t="s">
        <v>1305</v>
      </c>
      <c r="B32" s="1533"/>
      <c r="C32" s="136">
        <f ca="1">IF(D32="总价",G19-C24,G20-C25)</f>
        <v>4922</v>
      </c>
      <c r="D32" s="1639"/>
      <c r="E32" s="121"/>
      <c r="F32" s="121"/>
      <c r="G32" s="121"/>
      <c r="H32" s="121"/>
      <c r="I32" s="121"/>
    </row>
    <row r="33" spans="1:15" ht="15">
      <c r="A33" s="738" t="s">
        <v>1306</v>
      </c>
      <c r="B33" s="123"/>
      <c r="C33" s="1640"/>
      <c r="D33" s="1641"/>
      <c r="E33" s="1642" t="s">
        <v>1307</v>
      </c>
      <c r="F33" s="1643" t="str">
        <f>IF(D32="楼面单价","取值（单价）","取值（总价）")</f>
        <v>取值（总价）</v>
      </c>
      <c r="G33" s="121"/>
      <c r="H33" s="121"/>
      <c r="I33" s="121"/>
    </row>
    <row r="34" spans="1:15" ht="15">
      <c r="A34" s="1644"/>
      <c r="B34" s="1645" t="s">
        <v>1308</v>
      </c>
      <c r="C34" s="140" t="e">
        <f ca="1">IF(C33="自定义",F34,C32-C35)</f>
        <v>#REF!</v>
      </c>
      <c r="D34" s="806" t="e">
        <f ca="1">IF(C33="自定义",ROUND(C34/C32,3),IF(C33="收益比率",SUMIF(INDIRECT("'"&amp;D33&amp;"'"&amp;"!b:b"),"土地收益比率",INDIRECT("'"&amp;D33&amp;"'"&amp;"!c:c")),SUMIF(INDIRECT("'"&amp;D33&amp;"'"&amp;"!b:b"),"土地成本比率",INDIRECT("'"&amp;D33&amp;"'"&amp;"!c:c"))))</f>
        <v>#REF!</v>
      </c>
      <c r="E34" s="1646" t="s">
        <v>1309</v>
      </c>
      <c r="F34" s="1241"/>
      <c r="G34" s="121"/>
      <c r="H34" s="121"/>
      <c r="I34" s="121"/>
    </row>
    <row r="35" spans="1:15" ht="15.75" thickBot="1">
      <c r="A35" s="1647"/>
      <c r="B35" s="1648"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1311</v>
      </c>
      <c r="F35" s="146"/>
      <c r="G35" s="121"/>
      <c r="H35" s="121"/>
      <c r="I35" s="121"/>
    </row>
    <row r="36" spans="1:15" ht="15.75" thickBot="1">
      <c r="A36" s="3373" t="s">
        <v>1312</v>
      </c>
      <c r="B36" s="1650" t="s">
        <v>1313</v>
      </c>
      <c r="C36" s="137"/>
      <c r="D36" s="1651"/>
      <c r="E36" s="1565"/>
      <c r="F36" s="1652"/>
      <c r="G36" s="121"/>
      <c r="H36" s="121"/>
      <c r="I36" s="121"/>
    </row>
    <row r="37" spans="1:15" ht="15.75" thickBot="1">
      <c r="A37" s="3374"/>
      <c r="B37" s="1553" t="s">
        <v>1314</v>
      </c>
      <c r="C37" s="139"/>
      <c r="D37" s="1069"/>
      <c r="E37" s="1069"/>
      <c r="F37" s="1652"/>
      <c r="G37" s="121"/>
      <c r="H37" s="121"/>
      <c r="I37" s="121"/>
    </row>
    <row r="38" spans="1:15" ht="15.75" thickBot="1">
      <c r="A38" s="3375"/>
      <c r="B38" s="1653" t="s">
        <v>1315</v>
      </c>
      <c r="C38" s="641"/>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93" t="s">
        <v>1326</v>
      </c>
      <c r="B45" s="3394"/>
      <c r="C45" s="3395"/>
      <c r="D45" s="147" t="e">
        <f ca="1">ROUND(H101*F45,0)</f>
        <v>#REF!</v>
      </c>
      <c r="E45" s="148" t="s">
        <v>1327</v>
      </c>
      <c r="F45" s="149">
        <v>1</v>
      </c>
      <c r="G45" s="150" t="s">
        <v>1328</v>
      </c>
      <c r="H45" s="121"/>
      <c r="I45" s="121"/>
      <c r="J45" s="3313" t="s">
        <v>1329</v>
      </c>
      <c r="K45" s="3313"/>
      <c r="L45" s="3313"/>
      <c r="M45" s="3313"/>
      <c r="N45" s="3313"/>
      <c r="O45" s="3313"/>
    </row>
    <row r="46" spans="1:15" ht="14.25" customHeight="1">
      <c r="A46" s="3390" t="s">
        <v>1330</v>
      </c>
      <c r="B46" s="3391"/>
      <c r="C46" s="3391"/>
      <c r="D46" s="3391"/>
      <c r="E46" s="3391"/>
      <c r="F46" s="3391"/>
      <c r="G46" s="3392"/>
      <c r="H46" s="1666"/>
      <c r="I46" s="151"/>
      <c r="J46" s="2306">
        <v>1</v>
      </c>
      <c r="K46" s="3314" t="s">
        <v>1331</v>
      </c>
      <c r="L46" s="3314"/>
      <c r="M46" s="3315"/>
      <c r="N46" s="3315"/>
      <c r="O46" s="3315"/>
    </row>
    <row r="47" spans="1:15" ht="12" customHeight="1">
      <c r="A47" s="152" t="s">
        <v>1332</v>
      </c>
      <c r="B47" s="153"/>
      <c r="C47" s="154"/>
      <c r="D47" s="1022" t="s">
        <v>1333</v>
      </c>
      <c r="E47" s="294" t="s">
        <v>1334</v>
      </c>
      <c r="F47" s="155" t="s">
        <v>1335</v>
      </c>
      <c r="G47" s="2329" t="s">
        <v>1336</v>
      </c>
      <c r="H47" s="2330"/>
      <c r="I47" s="151"/>
      <c r="J47" s="2306">
        <v>2</v>
      </c>
      <c r="K47" s="3314" t="s">
        <v>1337</v>
      </c>
      <c r="L47" s="3314"/>
      <c r="M47" s="3316">
        <f>'数据-取费表'!B2</f>
        <v>45463</v>
      </c>
      <c r="N47" s="3316"/>
      <c r="O47" s="3316"/>
    </row>
    <row r="48" spans="1:15" ht="25.5">
      <c r="A48" s="3376" t="s">
        <v>1338</v>
      </c>
      <c r="B48" s="3377"/>
      <c r="C48" s="3377"/>
      <c r="D48" s="12" t="b">
        <f>IF(H48="情况1",0,IF(H48="情况2",D52,IF(H48="情况3",D53,IF(H48="情况4",D54))))</f>
        <v>0</v>
      </c>
      <c r="E48" s="1254" t="str">
        <f>IF(H48="情况4","(销售额-原购置价)×税（费）率","销售额×税（费）率")</f>
        <v>销售额×税（费）率</v>
      </c>
      <c r="F48" s="2331">
        <f>IF(H48="情况1","免征",'数据-取费表'!B41)</f>
        <v>5.5000000000000007E-2</v>
      </c>
      <c r="G48" s="2332" t="s">
        <v>1339</v>
      </c>
      <c r="H48" s="2333"/>
      <c r="I48" s="1666"/>
      <c r="J48" s="2306">
        <v>3</v>
      </c>
      <c r="K48" s="3314" t="s">
        <v>1340</v>
      </c>
      <c r="L48" s="3314"/>
      <c r="M48" s="3317" t="e">
        <f ca="1">H101</f>
        <v>#REF!</v>
      </c>
      <c r="N48" s="3317"/>
      <c r="O48" s="3317"/>
    </row>
    <row r="49" spans="1:35" ht="25.5" customHeight="1">
      <c r="A49" s="2148" t="s">
        <v>1341</v>
      </c>
      <c r="B49" s="3362" t="s">
        <v>1342</v>
      </c>
      <c r="C49" s="3362"/>
      <c r="D49" s="1476">
        <v>0</v>
      </c>
      <c r="E49" s="316" t="s">
        <v>1343</v>
      </c>
      <c r="F49" s="2229" t="s">
        <v>28</v>
      </c>
      <c r="G49" s="3345"/>
      <c r="H49" s="2130" t="s">
        <v>2133</v>
      </c>
      <c r="I49" s="2131"/>
      <c r="J49" s="2306">
        <v>4</v>
      </c>
      <c r="K49" s="3314" t="str">
        <f>IF(项目基本情况!E8="房地产抵押价值","房地产抵押价值","抵押担保权已注销时的房地产抵押价值")</f>
        <v>房地产抵押价值</v>
      </c>
      <c r="L49" s="3314"/>
      <c r="M49" s="3317" t="str">
        <f ca="1">IF(项目基本情况!E8="房地产抵押价值",H107,H109)</f>
        <v>——</v>
      </c>
      <c r="N49" s="3317"/>
      <c r="O49" s="3317"/>
    </row>
    <row r="50" spans="1:35" ht="25.5" customHeight="1">
      <c r="A50" s="2334"/>
      <c r="B50" s="3362" t="s">
        <v>1344</v>
      </c>
      <c r="C50" s="3362"/>
      <c r="D50" s="2185"/>
      <c r="E50" s="323"/>
      <c r="F50" s="2229"/>
      <c r="G50" s="3346"/>
      <c r="H50" s="2132" t="s">
        <v>2134</v>
      </c>
      <c r="I50" s="2131"/>
      <c r="J50" s="3313" t="s">
        <v>1345</v>
      </c>
      <c r="K50" s="3313"/>
      <c r="L50" s="3313"/>
      <c r="M50" s="3313"/>
      <c r="N50" s="3313"/>
      <c r="O50" s="3313"/>
    </row>
    <row r="51" spans="1:35" ht="20.45" customHeight="1">
      <c r="A51" s="2335"/>
      <c r="B51" s="3362" t="s">
        <v>1346</v>
      </c>
      <c r="C51" s="3362"/>
      <c r="D51" s="1022"/>
      <c r="E51" s="319"/>
      <c r="F51" s="2229"/>
      <c r="G51" s="3347"/>
      <c r="H51" s="2132" t="s">
        <v>2135</v>
      </c>
      <c r="I51" s="2131"/>
      <c r="J51" s="2307" t="s">
        <v>1347</v>
      </c>
      <c r="K51" s="3314" t="s">
        <v>1348</v>
      </c>
      <c r="L51" s="3314"/>
      <c r="M51" s="2307" t="s">
        <v>1349</v>
      </c>
      <c r="N51" s="2307" t="s">
        <v>1350</v>
      </c>
      <c r="O51" s="2307" t="s">
        <v>1351</v>
      </c>
    </row>
    <row r="52" spans="1:35" ht="24" customHeight="1">
      <c r="A52" s="2149" t="s">
        <v>1352</v>
      </c>
      <c r="B52" s="3362" t="s">
        <v>1353</v>
      </c>
      <c r="C52" s="3362"/>
      <c r="D52" s="1022" t="e">
        <f ca="1">ROUND(D45*'数据-取费表'!B41/(1+'数据-取费表'!C42),0)</f>
        <v>#REF!</v>
      </c>
      <c r="E52" s="1254" t="s">
        <v>1354</v>
      </c>
      <c r="F52" s="2336">
        <f>'数据-取费表'!B41</f>
        <v>5.5000000000000007E-2</v>
      </c>
      <c r="G52" s="2337"/>
      <c r="H52" s="2327"/>
      <c r="I52" s="1667"/>
      <c r="J52" s="2306">
        <v>1</v>
      </c>
      <c r="K52" s="3339" t="s">
        <v>1355</v>
      </c>
      <c r="L52" s="3339"/>
      <c r="M52" s="2308" t="b">
        <f>D48</f>
        <v>0</v>
      </c>
      <c r="N52" s="2306" t="str">
        <f>E48</f>
        <v>销售额×税（费）率</v>
      </c>
      <c r="O52" s="2309">
        <f>F48</f>
        <v>5.5000000000000007E-2</v>
      </c>
    </row>
    <row r="53" spans="1:35" ht="12" customHeight="1">
      <c r="A53" s="2149" t="s">
        <v>1356</v>
      </c>
      <c r="B53" s="3363" t="s">
        <v>2281</v>
      </c>
      <c r="C53" s="3364"/>
      <c r="D53" s="1022" t="e">
        <f ca="1">ROUND(D45*'数据-取费表'!B41/(1+'数据-取费表'!C42),0)</f>
        <v>#REF!</v>
      </c>
      <c r="E53" s="1254" t="s">
        <v>1354</v>
      </c>
      <c r="F53" s="2336">
        <f>'数据-取费表'!B41</f>
        <v>5.5000000000000007E-2</v>
      </c>
      <c r="G53" s="2337"/>
      <c r="H53" s="2327"/>
      <c r="I53" s="1667"/>
      <c r="J53" s="2306">
        <v>2</v>
      </c>
      <c r="K53" s="3339" t="s">
        <v>1357</v>
      </c>
      <c r="L53" s="3339"/>
      <c r="M53" s="2308" t="e">
        <f t="shared" ref="M53:O54" ca="1" si="0">D55</f>
        <v>#REF!</v>
      </c>
      <c r="N53" s="2306" t="str">
        <f t="shared" si="0"/>
        <v>销售额×税（费）率</v>
      </c>
      <c r="O53" s="2309" t="str">
        <f t="shared" si="0"/>
        <v>免征</v>
      </c>
    </row>
    <row r="54" spans="1:35" ht="12" customHeight="1">
      <c r="A54" s="2149" t="s">
        <v>1358</v>
      </c>
      <c r="B54" s="3363" t="s">
        <v>2282</v>
      </c>
      <c r="C54" s="3364"/>
      <c r="D54" s="1022" t="e">
        <f ca="1">C68</f>
        <v>#REF!</v>
      </c>
      <c r="E54" s="319" t="s">
        <v>1359</v>
      </c>
      <c r="F54" s="2336">
        <f>'数据-取费表'!B41</f>
        <v>5.5000000000000007E-2</v>
      </c>
      <c r="G54" s="2337"/>
      <c r="H54" s="2338"/>
      <c r="I54" s="1667"/>
      <c r="J54" s="2306">
        <v>3</v>
      </c>
      <c r="K54" s="3339" t="s">
        <v>1360</v>
      </c>
      <c r="L54" s="3339"/>
      <c r="M54" s="2308" t="e">
        <f t="shared" ca="1" si="0"/>
        <v>#REF!</v>
      </c>
      <c r="N54" s="2306" t="str">
        <f t="shared" si="0"/>
        <v>增值额×税（费）率</v>
      </c>
      <c r="O54" s="2310" t="str">
        <f t="shared" si="0"/>
        <v>免征</v>
      </c>
    </row>
    <row r="55" spans="1:35" ht="24" customHeight="1">
      <c r="A55" s="3399" t="s">
        <v>1361</v>
      </c>
      <c r="B55" s="3377"/>
      <c r="C55" s="3377"/>
      <c r="D55" s="12" t="e">
        <f ca="1">IF(H55="个人住宅",0,ROUND(D45*I55,0))</f>
        <v>#REF!</v>
      </c>
      <c r="E55" s="1254" t="s">
        <v>1362</v>
      </c>
      <c r="F55" s="2336" t="str">
        <f>IF(H55="正常",I55,"免征")</f>
        <v>免征</v>
      </c>
      <c r="G55" s="2337"/>
      <c r="H55" s="2333"/>
      <c r="I55" s="157">
        <f>'数据-取费表'!B49</f>
        <v>5.0000000000000001E-4</v>
      </c>
      <c r="J55" s="2306">
        <f>IF(H59="非个人房产","",4)</f>
        <v>4</v>
      </c>
      <c r="K55" s="3339" t="str">
        <f>IF(H59="非个人房产","——","个人所得税")</f>
        <v>个人所得税</v>
      </c>
      <c r="L55" s="3339"/>
      <c r="M55" s="2311" t="e">
        <f ca="1">D59</f>
        <v>#REF!</v>
      </c>
      <c r="N55" s="1879" t="str">
        <f>E59</f>
        <v>差额计税</v>
      </c>
      <c r="O55" s="2312">
        <f>F59</f>
        <v>0.01</v>
      </c>
    </row>
    <row r="56" spans="1:35" ht="24.75">
      <c r="A56" s="3399" t="s">
        <v>1363</v>
      </c>
      <c r="B56" s="3377"/>
      <c r="C56" s="3377"/>
      <c r="D56" s="12" t="e">
        <f ca="1">IF(H56="个人住宅",D57,D58)</f>
        <v>#REF!</v>
      </c>
      <c r="E56" s="1254" t="s">
        <v>1364</v>
      </c>
      <c r="F56" s="2336" t="str">
        <f>IF(H56="正常",F58,"免征")</f>
        <v>免征</v>
      </c>
      <c r="G56" s="2339" t="s">
        <v>1365</v>
      </c>
      <c r="H56" s="2340"/>
      <c r="I56" s="1668"/>
      <c r="J56" s="2306" t="str">
        <f>IF(项目基本情况!K6="上海银行",IF(J55="",4,J55+1),"")</f>
        <v/>
      </c>
      <c r="K56" s="3320" t="str">
        <f>IF(项目基本情况!K6="上海银行","其他处置费用","")</f>
        <v/>
      </c>
      <c r="L56" s="3321"/>
      <c r="M56" s="2308" t="str">
        <f>IF(项目基本情况!K6="上海银行",M69,"")</f>
        <v/>
      </c>
      <c r="N56" s="3320" t="str">
        <f>IF(项目基本情况!K6="上海银行","包含处置中涉及的律师、诉讼、拍卖、评估等费用","")</f>
        <v/>
      </c>
      <c r="O56" s="3323"/>
    </row>
    <row r="57" spans="1:35" ht="12.75">
      <c r="A57" s="2149" t="s">
        <v>1341</v>
      </c>
      <c r="B57" s="3363" t="s">
        <v>1366</v>
      </c>
      <c r="C57" s="3364"/>
      <c r="D57" s="1476">
        <v>0</v>
      </c>
      <c r="E57" s="316" t="s">
        <v>1343</v>
      </c>
      <c r="F57" s="294"/>
      <c r="G57" s="2337"/>
      <c r="H57" s="2341"/>
      <c r="I57" s="1668"/>
      <c r="J57" s="3339">
        <f>IF(AND(J55="",J56=""),4,IF(项目基本情况!K6="上海银行",结果表!J56+1,结果表!J55+1))</f>
        <v>5</v>
      </c>
      <c r="K57" s="3339" t="s">
        <v>1367</v>
      </c>
      <c r="L57" s="2313" t="s">
        <v>1368</v>
      </c>
      <c r="M57" s="2314"/>
      <c r="N57" s="2315">
        <f ca="1">SUMIF(M52:M56,"&lt;9e307")</f>
        <v>0</v>
      </c>
      <c r="O57" s="2316"/>
      <c r="P57" s="2461" t="e">
        <f ca="1">N57/M49</f>
        <v>#VALUE!</v>
      </c>
    </row>
    <row r="58" spans="1:35" ht="24.75">
      <c r="A58" s="2149" t="s">
        <v>1352</v>
      </c>
      <c r="B58" s="3363" t="s">
        <v>1369</v>
      </c>
      <c r="C58" s="3362"/>
      <c r="D58" s="12" t="e">
        <f ca="1">IF(H58="转让取得",C81,C97)</f>
        <v>#REF!</v>
      </c>
      <c r="E58" s="1254" t="s">
        <v>1364</v>
      </c>
      <c r="F58" s="294" t="s">
        <v>28</v>
      </c>
      <c r="G58" s="2337"/>
      <c r="H58" s="2340"/>
      <c r="I58" s="1668"/>
      <c r="J58" s="3339"/>
      <c r="K58" s="3339"/>
      <c r="L58" s="2313" t="s">
        <v>1370</v>
      </c>
      <c r="M58" s="2317"/>
      <c r="N58" s="2318" t="str">
        <f ca="1">NUMBERSTRING(INT(N57*10000),2)&amp;"元整"</f>
        <v>零元整</v>
      </c>
      <c r="O58" s="2319"/>
    </row>
    <row r="59" spans="1:35" ht="24.75" thickBot="1">
      <c r="A59" s="3343" t="s">
        <v>1371</v>
      </c>
      <c r="B59" s="3344"/>
      <c r="C59" s="3344"/>
      <c r="D59" s="2342" t="e">
        <f ca="1">IF(H59="非个人房产","——",IF(H59="个人住宅（满五唯一有凭证）",0,IF(H59="个人其他（无凭证）",ROUND(D45*F59,0),ROUND(C67*F59,0))))</f>
        <v>#REF!</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4"/>
      <c r="I59" s="2133" t="s">
        <v>2136</v>
      </c>
      <c r="J59" s="3341">
        <f>J57+1</f>
        <v>6</v>
      </c>
      <c r="K59" s="3339" t="s">
        <v>1372</v>
      </c>
      <c r="L59" s="2306" t="s">
        <v>1368</v>
      </c>
      <c r="M59" s="2320"/>
      <c r="N59" s="2321" t="e">
        <f ca="1">M49-N57</f>
        <v>#VALUE!</v>
      </c>
      <c r="O59" s="2322"/>
    </row>
    <row r="60" spans="1:35" ht="12" customHeight="1">
      <c r="A60" s="1669"/>
      <c r="B60" s="646"/>
      <c r="C60" s="646"/>
      <c r="D60" s="646"/>
      <c r="E60" s="1464"/>
      <c r="F60" s="1668"/>
      <c r="G60" s="1668"/>
      <c r="H60" s="151"/>
      <c r="I60" s="121"/>
      <c r="J60" s="3342"/>
      <c r="K60" s="3339"/>
      <c r="L60" s="2313" t="s">
        <v>1370</v>
      </c>
      <c r="M60" s="2317"/>
      <c r="N60" s="2318" t="e">
        <f ca="1">NUMBERSTRING(INT(N59*10000),2)&amp;"元整"</f>
        <v>#VALUE!</v>
      </c>
      <c r="O60" s="2319"/>
    </row>
    <row r="61" spans="1:35" ht="13.5" thickBot="1">
      <c r="A61" s="3398" t="s">
        <v>1373</v>
      </c>
      <c r="B61" s="3398"/>
      <c r="C61" s="3398"/>
      <c r="D61" s="3398"/>
      <c r="E61" s="3398"/>
      <c r="F61" s="1668"/>
      <c r="G61" s="1668"/>
      <c r="H61" s="151"/>
      <c r="I61" s="121"/>
      <c r="J61" s="2306">
        <f>J59+1</f>
        <v>7</v>
      </c>
      <c r="K61" s="3339" t="s">
        <v>1374</v>
      </c>
      <c r="L61" s="3339"/>
      <c r="M61" s="2323"/>
      <c r="N61" s="2324" t="e">
        <f ca="1">ROUND(N59*10000/'数据-汇总表'!E3,0)</f>
        <v>#VALUE!</v>
      </c>
      <c r="O61" s="2325"/>
    </row>
    <row r="62" spans="1:35" ht="12.75">
      <c r="A62" s="3358" t="s">
        <v>1375</v>
      </c>
      <c r="B62" s="3359"/>
      <c r="C62" s="1861"/>
      <c r="D62" s="1861" t="s">
        <v>1376</v>
      </c>
      <c r="E62" s="158" t="s">
        <v>1377</v>
      </c>
      <c r="F62" s="1668"/>
      <c r="G62" s="1668"/>
      <c r="H62" s="151"/>
      <c r="I62" s="121"/>
    </row>
    <row r="63" spans="1:35" ht="12.75">
      <c r="A63" s="165" t="s">
        <v>330</v>
      </c>
      <c r="B63" s="159" t="s">
        <v>1378</v>
      </c>
      <c r="C63" s="2346" t="e">
        <f ca="1">ROUND((C64+C65)/(1+'数据-取费表'!C42),0)</f>
        <v>#REF!</v>
      </c>
      <c r="D63" s="159"/>
      <c r="E63" s="160"/>
      <c r="F63" s="1668"/>
      <c r="G63" s="1668"/>
      <c r="H63" s="151"/>
      <c r="I63" s="121"/>
      <c r="J63" s="3322" t="s">
        <v>1379</v>
      </c>
      <c r="K63" s="1243" t="s">
        <v>1380</v>
      </c>
      <c r="L63" s="1243" t="e">
        <f ca="1">IF(M49&gt;10000,M49*0.5%,IF(AND(M49&gt;1000,M49&lt;=10000),M49*1%,IF(AND(M49&gt;100,M49&lt;=1000),M49*3%,IF(AND(M49&gt;10,M49&lt;=100),M49*5%,M49*8%))))</f>
        <v>#VALUE!</v>
      </c>
      <c r="M63" s="294" t="e">
        <f ca="1">ROUND(L63,1)</f>
        <v>#VALUE!</v>
      </c>
      <c r="N63" s="2326"/>
      <c r="Z63" s="1621"/>
      <c r="AI63" s="1559"/>
    </row>
    <row r="64" spans="1:35" ht="14.25" customHeight="1">
      <c r="A64" s="161" t="s">
        <v>325</v>
      </c>
      <c r="B64" s="162" t="s">
        <v>1381</v>
      </c>
      <c r="C64" s="2347" t="e">
        <f ca="1">D45</f>
        <v>#REF!</v>
      </c>
      <c r="D64" s="162" t="s">
        <v>26</v>
      </c>
      <c r="E64" s="164"/>
      <c r="F64" s="1668"/>
      <c r="G64" s="1668"/>
      <c r="H64" s="151"/>
      <c r="I64" s="121"/>
      <c r="J64" s="3322"/>
      <c r="K64" s="1243" t="s">
        <v>1382</v>
      </c>
      <c r="L64" s="1243"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27" t="s">
        <v>1383</v>
      </c>
      <c r="Z64" s="1621"/>
      <c r="AI64" s="1559"/>
    </row>
    <row r="65" spans="1:35" ht="14.25" customHeight="1">
      <c r="A65" s="161" t="s">
        <v>326</v>
      </c>
      <c r="B65" s="162" t="s">
        <v>1384</v>
      </c>
      <c r="C65" s="2348"/>
      <c r="D65" s="162"/>
      <c r="E65" s="164"/>
      <c r="F65" s="1668"/>
      <c r="G65" s="1668"/>
      <c r="H65" s="151"/>
      <c r="I65" s="121"/>
      <c r="J65" s="3322"/>
      <c r="K65" s="1243" t="s">
        <v>1385</v>
      </c>
      <c r="L65" s="1243" t="e">
        <f ca="1">IF(M49&gt;1000,M49*0.1%,IF(AND(M49&gt;500,M49&lt;=1000),M49*0.5%,IF(AND(M49&gt;50,M49&lt;=500),M49*1%,IF(AND(M49&gt;1,M49&lt;=50),M49*1.5%))))</f>
        <v>#VALUE!</v>
      </c>
      <c r="M65" s="294" t="e">
        <f t="shared" ca="1" si="1"/>
        <v>#VALUE!</v>
      </c>
      <c r="N65" s="2327" t="s">
        <v>1383</v>
      </c>
      <c r="Z65" s="1621"/>
      <c r="AI65" s="1559"/>
    </row>
    <row r="66" spans="1:35" ht="14.25" customHeight="1">
      <c r="A66" s="165" t="s">
        <v>327</v>
      </c>
      <c r="B66" s="166" t="s">
        <v>1386</v>
      </c>
      <c r="C66" s="2349"/>
      <c r="D66" s="166" t="s">
        <v>26</v>
      </c>
      <c r="E66" s="1249" t="s">
        <v>671</v>
      </c>
      <c r="F66" s="1668"/>
      <c r="G66" s="1668"/>
      <c r="H66" s="151"/>
      <c r="I66" s="121"/>
      <c r="J66" s="3322"/>
      <c r="K66" s="1243" t="s">
        <v>1387</v>
      </c>
      <c r="L66" s="1243" t="e">
        <f ca="1">M49*0.5%</f>
        <v>#VALUE!</v>
      </c>
      <c r="M66" s="294" t="e">
        <f ca="1">IF(L66&gt;0.5,0.5,ROUND(L66,0))</f>
        <v>#VALUE!</v>
      </c>
      <c r="N66" s="2327" t="s">
        <v>1388</v>
      </c>
      <c r="Z66" s="1621"/>
      <c r="AI66" s="1559"/>
    </row>
    <row r="67" spans="1:35" ht="14.25" customHeight="1">
      <c r="A67" s="165" t="s">
        <v>328</v>
      </c>
      <c r="B67" s="166" t="s">
        <v>1389</v>
      </c>
      <c r="C67" s="2350" t="e">
        <f ca="1">C63-C66</f>
        <v>#REF!</v>
      </c>
      <c r="D67" s="162" t="s">
        <v>26</v>
      </c>
      <c r="E67" s="164"/>
      <c r="F67" s="1668"/>
      <c r="G67" s="1668"/>
      <c r="H67" s="151"/>
      <c r="I67" s="121"/>
      <c r="J67" s="3322"/>
      <c r="K67" s="1243" t="s">
        <v>1390</v>
      </c>
      <c r="L67" s="1243"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6"/>
      <c r="Z67" s="1621"/>
      <c r="AI67" s="1559"/>
    </row>
    <row r="68" spans="1:35" ht="14.25" customHeight="1" thickBot="1">
      <c r="A68" s="168" t="s">
        <v>329</v>
      </c>
      <c r="B68" s="169" t="s">
        <v>1391</v>
      </c>
      <c r="C68" s="2351" t="e">
        <f ca="1">IF(C67&lt;=0,0,ROUND(C67*D68,0))</f>
        <v>#REF!</v>
      </c>
      <c r="D68" s="2352">
        <f>'数据-取费表'!B41</f>
        <v>5.5000000000000007E-2</v>
      </c>
      <c r="E68" s="170"/>
      <c r="F68" s="1668"/>
      <c r="G68" s="1668"/>
      <c r="H68" s="151"/>
      <c r="I68" s="121"/>
      <c r="J68" s="3322"/>
      <c r="K68" s="1243" t="s">
        <v>1392</v>
      </c>
      <c r="L68" s="1243" t="e">
        <f ca="1">IF(M49&gt;10000,M49*0.5%,IF(AND(M49&gt;5000,M49&lt;=10000),M49*1%,IF(AND(M49&gt;1000,M49&lt;=5000),M49*2%,IF(AND(M49&gt;200,M49&lt;=1000),M49*3%,M49*5%))))</f>
        <v>#VALUE!</v>
      </c>
      <c r="M68" s="294" t="e">
        <f ca="1">ROUND(L68,1)</f>
        <v>#VALUE!</v>
      </c>
      <c r="N68" s="2326"/>
      <c r="Z68" s="1621"/>
      <c r="AI68" s="1559"/>
    </row>
    <row r="69" spans="1:35" ht="16.5" customHeight="1">
      <c r="A69" s="1670"/>
      <c r="B69" s="1671"/>
      <c r="C69" s="1672"/>
      <c r="D69" s="1673"/>
      <c r="E69" s="1674"/>
      <c r="F69" s="1464"/>
      <c r="G69" s="1464"/>
      <c r="H69" s="1465"/>
      <c r="I69" s="646"/>
      <c r="J69" s="3322"/>
      <c r="K69" s="1243" t="s">
        <v>1393</v>
      </c>
      <c r="L69" s="1243"/>
      <c r="M69" s="294" t="e">
        <f ca="1">ROUND(SUM(M63:M68),0)</f>
        <v>#VALUE!</v>
      </c>
      <c r="N69" s="2328" t="e">
        <f ca="1">M69/M49</f>
        <v>#VALUE!</v>
      </c>
      <c r="Z69" s="1621"/>
      <c r="AI69" s="1559"/>
    </row>
    <row r="70" spans="1:35" s="642" customFormat="1" ht="15" thickBot="1">
      <c r="A70" s="3366" t="s">
        <v>1394</v>
      </c>
      <c r="B70" s="3367"/>
      <c r="C70" s="3367"/>
      <c r="D70" s="3367"/>
      <c r="E70" s="3367"/>
      <c r="F70" s="3367"/>
      <c r="G70" s="3367"/>
      <c r="H70" s="3367"/>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4.25">
      <c r="A71" s="3358" t="s">
        <v>1375</v>
      </c>
      <c r="B71" s="3359"/>
      <c r="C71" s="1861"/>
      <c r="D71" s="1861"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4.25">
      <c r="A72" s="165" t="s">
        <v>330</v>
      </c>
      <c r="B72" s="166" t="s">
        <v>1395</v>
      </c>
      <c r="C72" s="2350" t="e">
        <f ca="1">ROUND(D45/(1+'数据-取费表'!C42),0)</f>
        <v>#REF!</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4.25">
      <c r="A73" s="165" t="s">
        <v>327</v>
      </c>
      <c r="B73" s="155" t="s">
        <v>1396</v>
      </c>
      <c r="C73" s="2350" t="e">
        <f ca="1">C74+C78</f>
        <v>#REF!</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14.25">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6">
        <v>0.05</v>
      </c>
      <c r="E76" s="3363" t="s">
        <v>1402</v>
      </c>
      <c r="F76" s="3362"/>
      <c r="G76" s="3362"/>
      <c r="H76" s="3365"/>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7"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8" t="e">
        <f ca="1">ROUND(D45*D78/(1+'数据-取费表'!C42),0)</f>
        <v>#REF!</v>
      </c>
      <c r="D78" s="2359">
        <f>'数据-取费表'!B43</f>
        <v>5.000000000000001E-3</v>
      </c>
      <c r="E78" s="3355" t="s">
        <v>1406</v>
      </c>
      <c r="F78" s="3356"/>
      <c r="G78" s="3356"/>
      <c r="H78" s="3357"/>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4.25">
      <c r="A79" s="165" t="s">
        <v>334</v>
      </c>
      <c r="B79" s="166" t="s">
        <v>1407</v>
      </c>
      <c r="C79" s="2350" t="e">
        <f ca="1">C72-C73</f>
        <v>#REF!</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0"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75" thickBot="1">
      <c r="A81" s="168" t="s">
        <v>336</v>
      </c>
      <c r="B81" s="169" t="s">
        <v>1409</v>
      </c>
      <c r="C81" s="2361" t="e">
        <f ca="1">ROUND(IF(C79&lt;=0,0,IF(C80&gt;=200%,C79*60%-C73*35%,IF(C80&gt;=100%,C79*50%-C73*15%,IF(C80&gt;=50%,C79*40%-C73*5%,IF(C80&lt;50%,C79*30%,0))))),0)</f>
        <v>#REF!</v>
      </c>
      <c r="D81" s="2362"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5" thickBot="1">
      <c r="A83" s="3366" t="s">
        <v>1410</v>
      </c>
      <c r="B83" s="3367"/>
      <c r="C83" s="3367"/>
      <c r="D83" s="3367"/>
      <c r="E83" s="3367"/>
      <c r="F83" s="3367"/>
      <c r="G83" s="3367"/>
      <c r="H83" s="3367"/>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4.25">
      <c r="A84" s="3358" t="s">
        <v>1375</v>
      </c>
      <c r="B84" s="3359"/>
      <c r="C84" s="1861"/>
      <c r="D84" s="1861"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4.25">
      <c r="A85" s="165" t="s">
        <v>330</v>
      </c>
      <c r="B85" s="166" t="s">
        <v>1395</v>
      </c>
      <c r="C85" s="2350" t="e">
        <f ca="1">ROUND(D45/(1+'数据-取费表'!C42),0)</f>
        <v>#REF!</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4.25">
      <c r="A86" s="165" t="s">
        <v>327</v>
      </c>
      <c r="B86" s="155" t="s">
        <v>1396</v>
      </c>
      <c r="C86" s="2350" t="e">
        <f ca="1">IF(H88="仅含出让金",C87+C90+C91+C92+C93+C94,C87+C91+C92+C93+C94)</f>
        <v>#REF!</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4.25">
      <c r="A87" s="161" t="s">
        <v>325</v>
      </c>
      <c r="B87" s="162" t="s">
        <v>1411</v>
      </c>
      <c r="C87" s="2358">
        <f>C88+C89</f>
        <v>0</v>
      </c>
      <c r="D87" s="2359"/>
      <c r="E87" s="2143"/>
      <c r="F87" s="2144"/>
      <c r="G87" s="2144"/>
      <c r="H87" s="2145"/>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25">
      <c r="A88" s="161" t="s">
        <v>331</v>
      </c>
      <c r="B88" s="162" t="s">
        <v>1412</v>
      </c>
      <c r="C88" s="2364"/>
      <c r="D88" s="2359"/>
      <c r="E88" s="185" t="s">
        <v>1413</v>
      </c>
      <c r="F88" s="2144"/>
      <c r="G88" s="186" t="s">
        <v>1414</v>
      </c>
      <c r="H88" s="1682"/>
      <c r="I88" s="1679"/>
      <c r="J88" s="2304"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4.25">
      <c r="A89" s="161" t="s">
        <v>332</v>
      </c>
      <c r="B89" s="162" t="s">
        <v>1403</v>
      </c>
      <c r="C89" s="2358">
        <f>ROUND(C88*D89,0)</f>
        <v>0</v>
      </c>
      <c r="D89" s="2359">
        <f>'数据-取费表'!B48+'数据-取费表'!B49</f>
        <v>3.0499999999999999E-2</v>
      </c>
      <c r="E89" s="185" t="s">
        <v>1415</v>
      </c>
      <c r="F89" s="2144"/>
      <c r="G89" s="2144"/>
      <c r="H89" s="2145"/>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25">
      <c r="A90" s="161" t="s">
        <v>326</v>
      </c>
      <c r="B90" s="162" t="s">
        <v>1416</v>
      </c>
      <c r="C90" s="2364"/>
      <c r="D90" s="2359"/>
      <c r="E90" s="185" t="str">
        <f>IF(H88="-","土地取得成本中已包含该笔费用"," ")</f>
        <v xml:space="preserve"> </v>
      </c>
      <c r="F90" s="2144"/>
      <c r="G90" s="3324" t="s">
        <v>2128</v>
      </c>
      <c r="H90" s="3325"/>
      <c r="I90" s="1679"/>
      <c r="J90" s="2304"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8">
        <f>IF(H91="——",成本法!C33,I91)</f>
        <v>0</v>
      </c>
      <c r="D91" s="2359"/>
      <c r="E91" s="3355" t="s">
        <v>1419</v>
      </c>
      <c r="F91" s="3356"/>
      <c r="G91" s="3356"/>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8">
        <f>ROUND((C87+C90+C91)*D92,0)</f>
        <v>0</v>
      </c>
      <c r="D92" s="2365"/>
      <c r="E92" s="3355" t="s">
        <v>1422</v>
      </c>
      <c r="F92" s="3356"/>
      <c r="G92" s="3356"/>
      <c r="H92" s="3357"/>
      <c r="I92" s="1679"/>
      <c r="J92" s="2305"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8" t="e">
        <f ca="1">ROUND(D45*D93/(1+'数据-取费表'!C42),0)</f>
        <v>#REF!</v>
      </c>
      <c r="D93" s="2359">
        <f>'数据-取费表'!B43</f>
        <v>5.000000000000001E-3</v>
      </c>
      <c r="E93" s="3355" t="s">
        <v>1406</v>
      </c>
      <c r="F93" s="3356"/>
      <c r="G93" s="3356"/>
      <c r="H93" s="3357"/>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4">
        <f>ROUND((C87+C90+C91)*D94,0)</f>
        <v>0</v>
      </c>
      <c r="D94" s="2359">
        <v>0.2</v>
      </c>
      <c r="E94" s="3400" t="s">
        <v>1426</v>
      </c>
      <c r="F94" s="3401"/>
      <c r="G94" s="3401"/>
      <c r="H94" s="3402"/>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4.25">
      <c r="A95" s="165" t="s">
        <v>334</v>
      </c>
      <c r="B95" s="166" t="s">
        <v>1407</v>
      </c>
      <c r="C95" s="2350" t="e">
        <f ca="1">ROUND(C85-C86,0)</f>
        <v>#REF!</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0"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75" thickBot="1">
      <c r="A97" s="168" t="s">
        <v>336</v>
      </c>
      <c r="B97" s="169" t="s">
        <v>1409</v>
      </c>
      <c r="C97" s="2361" t="e">
        <f ca="1">ROUND(IF(C95&lt;=0,0,IF(C96&gt;=200%,C95*60%-C86*35%,IF(C96&gt;=100%,C95*50%-C86*15%,IF(C96&gt;=50%,C95*40%-C86*5%,IF(C96&lt;50%,C95*30%,0))))),0)</f>
        <v>#REF!</v>
      </c>
      <c r="D97" s="2362"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99" t="s">
        <v>1428</v>
      </c>
      <c r="B100" s="3300"/>
      <c r="C100" s="3300"/>
      <c r="D100" s="3340"/>
      <c r="E100" s="3300" t="s">
        <v>1429</v>
      </c>
      <c r="F100" s="3300"/>
      <c r="G100" s="3300"/>
      <c r="H100" s="3340"/>
      <c r="I100" s="121"/>
    </row>
    <row r="101" spans="1:35" ht="18.75" customHeight="1">
      <c r="A101" s="3348" t="s">
        <v>1430</v>
      </c>
      <c r="B101" s="3349"/>
      <c r="C101" s="2367" t="str">
        <f>C4</f>
        <v>成本法</v>
      </c>
      <c r="D101" s="2368" t="str">
        <f>D4</f>
        <v>收益法（汇总）</v>
      </c>
      <c r="E101" s="3318" t="s">
        <v>1431</v>
      </c>
      <c r="F101" s="3319"/>
      <c r="G101" s="1685" t="s">
        <v>1432</v>
      </c>
      <c r="H101" s="2377" t="e">
        <f ca="1">H118</f>
        <v>#REF!</v>
      </c>
      <c r="I101" s="121"/>
    </row>
    <row r="102" spans="1:35" ht="18.75" customHeight="1">
      <c r="A102" s="3350" t="s">
        <v>1433</v>
      </c>
      <c r="B102" s="2366" t="s">
        <v>1432</v>
      </c>
      <c r="C102" s="2367">
        <f ca="1">IF(D32="楼面单价",ROUND(C19,0),C19)</f>
        <v>41328</v>
      </c>
      <c r="D102" s="2368">
        <f ca="1">IF(D32="楼面单价",ROUND(D19,0),D19)</f>
        <v>40657</v>
      </c>
      <c r="E102" s="3318"/>
      <c r="F102" s="3319"/>
      <c r="G102" s="1685" t="s">
        <v>1434</v>
      </c>
      <c r="H102" s="2337" t="e">
        <f ca="1">I118</f>
        <v>#REF!</v>
      </c>
      <c r="I102" s="121"/>
    </row>
    <row r="103" spans="1:35" ht="42.75" customHeight="1">
      <c r="A103" s="3350"/>
      <c r="B103" s="2366" t="s">
        <v>1434</v>
      </c>
      <c r="C103" s="2369">
        <f ca="1">C20</f>
        <v>4962</v>
      </c>
      <c r="D103" s="2370">
        <f ca="1">D20</f>
        <v>4881</v>
      </c>
      <c r="E103" s="3311" t="s">
        <v>1435</v>
      </c>
      <c r="F103" s="3312"/>
      <c r="G103" s="1686" t="s">
        <v>1436</v>
      </c>
      <c r="H103" s="2377">
        <f>IF(D36="正常操作",H104+H105+H106,H105+H106)</f>
        <v>0</v>
      </c>
      <c r="I103" s="121"/>
    </row>
    <row r="104" spans="1:35" ht="18.75" customHeight="1">
      <c r="A104" s="3350" t="s">
        <v>1437</v>
      </c>
      <c r="B104" s="2371" t="s">
        <v>1432</v>
      </c>
      <c r="C104" s="2372" t="e">
        <f ca="1">H118</f>
        <v>#REF!</v>
      </c>
      <c r="D104" s="2373"/>
      <c r="E104" s="1553" t="s">
        <v>1438</v>
      </c>
      <c r="F104" s="1546"/>
      <c r="G104" s="1686" t="s">
        <v>1436</v>
      </c>
      <c r="H104" s="2378">
        <f>IF(D36="同一抵押权人同一抵押物续贷",C36&amp;"（续贷，未扣减，详见特别提示）",C36)</f>
        <v>0</v>
      </c>
      <c r="I104" s="121"/>
    </row>
    <row r="105" spans="1:35" ht="18.75" customHeight="1" thickBot="1">
      <c r="A105" s="3360"/>
      <c r="B105" s="2374" t="s">
        <v>1434</v>
      </c>
      <c r="C105" s="2375" t="e">
        <f ca="1">I118</f>
        <v>#REF!</v>
      </c>
      <c r="D105" s="2376"/>
      <c r="E105" s="1553" t="s">
        <v>1439</v>
      </c>
      <c r="F105" s="1546"/>
      <c r="G105" s="1686" t="s">
        <v>1436</v>
      </c>
      <c r="H105" s="2379">
        <f>C37</f>
        <v>0</v>
      </c>
      <c r="I105" s="121"/>
    </row>
    <row r="106" spans="1:35" ht="18.75" customHeight="1">
      <c r="A106" s="646" t="s">
        <v>1440</v>
      </c>
      <c r="B106" s="646"/>
      <c r="C106" s="646"/>
      <c r="D106" s="646"/>
      <c r="E106" s="1687" t="s">
        <v>1441</v>
      </c>
      <c r="F106" s="1546"/>
      <c r="G106" s="1686" t="s">
        <v>1436</v>
      </c>
      <c r="H106" s="2379">
        <f>C38</f>
        <v>0</v>
      </c>
      <c r="I106" s="121"/>
    </row>
    <row r="107" spans="1:35" ht="18.75" customHeight="1">
      <c r="A107" s="121"/>
      <c r="B107" s="121"/>
      <c r="C107" s="121"/>
      <c r="D107" s="121"/>
      <c r="E107" s="3351" t="str">
        <f>IF(项目基本情况!E8="已注销","——","3.房地产抵押价值")</f>
        <v>3.房地产抵押价值</v>
      </c>
      <c r="F107" s="3319"/>
      <c r="G107" s="1685" t="s">
        <v>1432</v>
      </c>
      <c r="H107" s="2377" t="e">
        <f ca="1">IF(E107="——","——",H101-H103)</f>
        <v>#REF!</v>
      </c>
      <c r="I107" s="121"/>
    </row>
    <row r="108" spans="1:35" ht="18.75" customHeight="1">
      <c r="A108" s="121"/>
      <c r="B108" s="121"/>
      <c r="C108" s="121"/>
      <c r="D108" s="121"/>
      <c r="E108" s="3351"/>
      <c r="F108" s="3319"/>
      <c r="G108" s="1685" t="s">
        <v>1434</v>
      </c>
      <c r="H108" s="2337">
        <f ca="1">IF(H107=H101,H102,ROUND(H107*10000/'数据-汇总表'!E3,0))</f>
        <v>0</v>
      </c>
      <c r="I108" s="121"/>
    </row>
    <row r="109" spans="1:35" ht="18.75" customHeight="1">
      <c r="A109" s="121"/>
      <c r="B109" s="121"/>
      <c r="C109" s="121"/>
      <c r="D109" s="121"/>
      <c r="E109" s="3351" t="str">
        <f>IF(项目基本情况!E8="已注销及未注销","4.抵押担保权已注销时的房地产抵押价值",IF(项目基本情况!E8="已注销","3.抵押担保权已注销时的房地产抵押价值","——"))</f>
        <v>——</v>
      </c>
      <c r="F109" s="3319"/>
      <c r="G109" s="1685" t="s">
        <v>1432</v>
      </c>
      <c r="H109" s="2380" t="str">
        <f>IF(E109="——","——",H101-H105-H106)</f>
        <v>——</v>
      </c>
      <c r="I109" s="121"/>
    </row>
    <row r="110" spans="1:35" ht="18.75" customHeight="1">
      <c r="A110" s="121"/>
      <c r="B110" s="121"/>
      <c r="C110" s="121"/>
      <c r="D110" s="121"/>
      <c r="E110" s="3351"/>
      <c r="F110" s="3319"/>
      <c r="G110" s="1685" t="s">
        <v>1434</v>
      </c>
      <c r="H110" s="2337" t="str">
        <f>IF(H109="——","——",ROUND(H109*10000/'数据-汇总表'!E3,0))</f>
        <v>——</v>
      </c>
      <c r="I110" s="121"/>
    </row>
    <row r="111" spans="1:35" ht="18.75" customHeight="1">
      <c r="A111" s="121"/>
      <c r="B111" s="121"/>
      <c r="C111" s="121"/>
      <c r="D111" s="121"/>
      <c r="E111" s="3352" t="str">
        <f>IF(项目基本情况!E9="抵押净值",IF(OR(项目基本情况!E8="已注销",项目基本情况!E8="房地产抵押价值"),"4.抵押净值","5.抵押净值"),"——")</f>
        <v>——</v>
      </c>
      <c r="F111" s="3338"/>
      <c r="G111" s="1685" t="s">
        <v>1432</v>
      </c>
      <c r="H111" s="2377" t="str">
        <f>IF(E111="——","——",N59)</f>
        <v>——</v>
      </c>
      <c r="I111" s="121"/>
    </row>
    <row r="112" spans="1:35" ht="18.75" customHeight="1" thickBot="1">
      <c r="A112" s="121"/>
      <c r="B112" s="121"/>
      <c r="C112" s="121"/>
      <c r="D112" s="121"/>
      <c r="E112" s="3353"/>
      <c r="F112" s="3354"/>
      <c r="G112" s="1688" t="s">
        <v>1434</v>
      </c>
      <c r="H112" s="2381" t="str">
        <f>IF(E111="——","——",N61)</f>
        <v>——</v>
      </c>
      <c r="I112" s="121"/>
    </row>
    <row r="113" spans="1:27" ht="18.75" customHeight="1">
      <c r="A113" s="121"/>
      <c r="B113" s="121"/>
      <c r="C113" s="121"/>
      <c r="D113" s="121"/>
      <c r="E113" s="3361" t="s">
        <v>1440</v>
      </c>
      <c r="F113" s="3361"/>
      <c r="G113" s="3361"/>
      <c r="H113" s="3361"/>
      <c r="I113" s="121"/>
    </row>
    <row r="114" spans="1:27" ht="3.75" customHeight="1">
      <c r="A114" s="646"/>
      <c r="B114" s="646"/>
      <c r="C114" s="646"/>
      <c r="D114" s="646"/>
      <c r="E114" s="1669"/>
      <c r="F114" s="1669"/>
      <c r="G114" s="1669"/>
      <c r="H114" s="1669"/>
      <c r="I114" s="646"/>
    </row>
    <row r="115" spans="1:27" ht="18.75" customHeight="1">
      <c r="A115" s="3369" t="s">
        <v>1442</v>
      </c>
      <c r="B115" s="3370"/>
      <c r="C115" s="3370"/>
      <c r="D115" s="3370"/>
      <c r="E115" s="3370"/>
      <c r="F115" s="3370"/>
      <c r="G115" s="3370"/>
      <c r="H115" s="3370"/>
      <c r="I115" s="3371"/>
    </row>
    <row r="116" spans="1:27" ht="27" customHeight="1">
      <c r="A116" s="3326" t="s">
        <v>1443</v>
      </c>
      <c r="B116" s="3330" t="s">
        <v>1444</v>
      </c>
      <c r="C116" s="3330" t="s">
        <v>1445</v>
      </c>
      <c r="D116" s="3336" t="s">
        <v>1446</v>
      </c>
      <c r="E116" s="3337"/>
      <c r="F116" s="3368" t="s">
        <v>1447</v>
      </c>
      <c r="G116" s="3368"/>
      <c r="H116" s="3326" t="s">
        <v>1448</v>
      </c>
      <c r="I116" s="3326"/>
    </row>
    <row r="117" spans="1:27" ht="18.75" customHeight="1">
      <c r="A117" s="3326"/>
      <c r="B117" s="3331"/>
      <c r="C117" s="3331"/>
      <c r="D117" s="2146" t="s">
        <v>1449</v>
      </c>
      <c r="E117" s="2146" t="s">
        <v>1450</v>
      </c>
      <c r="F117" s="2146" t="s">
        <v>1449</v>
      </c>
      <c r="G117" s="2146" t="s">
        <v>1451</v>
      </c>
      <c r="H117" s="2146" t="s">
        <v>1449</v>
      </c>
      <c r="I117" s="2146" t="s">
        <v>1451</v>
      </c>
    </row>
    <row r="118" spans="1:27" ht="24.75" customHeight="1">
      <c r="A118" s="2382" t="str">
        <f>项目基本情况!S2</f>
        <v>北京市房地产</v>
      </c>
      <c r="B118" s="2146">
        <f>M18</f>
        <v>83292.240000000005</v>
      </c>
      <c r="C118" s="2146">
        <f>M19</f>
        <v>55606.63</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26" t="s">
        <v>1452</v>
      </c>
      <c r="B119" s="3326"/>
      <c r="C119" s="3326"/>
      <c r="D119" s="3332" t="e">
        <f ca="1">NUMBERSTRING(INT(D118*10000),2)&amp;"元整"</f>
        <v>#REF!</v>
      </c>
      <c r="E119" s="3333"/>
      <c r="F119" s="3332" t="e">
        <f ca="1">NUMBERSTRING(INT(F118*10000),2)&amp;"元整"</f>
        <v>#REF!</v>
      </c>
      <c r="G119" s="3333"/>
      <c r="H119" s="3332" t="e">
        <f ca="1">NUMBERSTRING(INT(H118*10000),2)&amp;"元整"</f>
        <v>#REF!</v>
      </c>
      <c r="I119" s="3333"/>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2" t="s">
        <v>1452</v>
      </c>
      <c r="B121" s="3334"/>
      <c r="C121" s="3333"/>
      <c r="D121" s="3332" t="str">
        <f>IF(D120=0,"零元整",NUMBERSTRING(INT(D120*10000),2)&amp;"元整")</f>
        <v>零元整</v>
      </c>
      <c r="E121" s="3334"/>
      <c r="F121" s="3334"/>
      <c r="G121" s="3334"/>
      <c r="H121" s="3334"/>
      <c r="I121" s="3333"/>
      <c r="AA121" s="684"/>
    </row>
    <row r="122" spans="1:27" ht="18.75" customHeight="1">
      <c r="A122" s="3338" t="str">
        <f>IF(项目基本情况!B9="房地产市场价值","",MID(E107,3,LEN(E107)-2))</f>
        <v>房地产抵押价值</v>
      </c>
      <c r="B122" s="3338"/>
      <c r="C122" s="3338"/>
      <c r="D122" s="3327" t="e">
        <f ca="1">H107</f>
        <v>#REF!</v>
      </c>
      <c r="E122" s="3328"/>
      <c r="F122" s="3328"/>
      <c r="G122" s="3328"/>
      <c r="H122" s="3328"/>
      <c r="I122" s="3329"/>
      <c r="AA122" s="684"/>
    </row>
    <row r="123" spans="1:27" ht="18.75" customHeight="1">
      <c r="A123" s="3326" t="s">
        <v>1452</v>
      </c>
      <c r="B123" s="3326"/>
      <c r="C123" s="3326"/>
      <c r="D123" s="3332" t="e">
        <f ca="1">NUMBERSTRING(INT(D122*10000),2)&amp;"元整"</f>
        <v>#REF!</v>
      </c>
      <c r="E123" s="3334"/>
      <c r="F123" s="3334"/>
      <c r="G123" s="3334"/>
      <c r="H123" s="3334"/>
      <c r="I123" s="3333"/>
      <c r="AA123" s="684"/>
    </row>
    <row r="124" spans="1:27" ht="18.75" customHeight="1">
      <c r="A124" s="3338" t="str">
        <f>IF(项目基本情况!B9="房地产市场价值","",MID(E109,3,LEN(E109)-2))</f>
        <v/>
      </c>
      <c r="B124" s="3338"/>
      <c r="C124" s="3338"/>
      <c r="D124" s="3327" t="str">
        <f>H109</f>
        <v>——</v>
      </c>
      <c r="E124" s="3328"/>
      <c r="F124" s="3328"/>
      <c r="G124" s="3328"/>
      <c r="H124" s="3328"/>
      <c r="I124" s="3329"/>
      <c r="AA124" s="684"/>
    </row>
    <row r="125" spans="1:27" ht="18.75" customHeight="1">
      <c r="A125" s="3326" t="s">
        <v>1452</v>
      </c>
      <c r="B125" s="3326"/>
      <c r="C125" s="3326"/>
      <c r="D125" s="3332" t="e">
        <f>NUMBERSTRING(INT(D124*10000),2)&amp;"元整"</f>
        <v>#VALUE!</v>
      </c>
      <c r="E125" s="3334"/>
      <c r="F125" s="3334"/>
      <c r="G125" s="3334"/>
      <c r="H125" s="3334"/>
      <c r="I125" s="3333"/>
      <c r="AA125" s="684"/>
    </row>
    <row r="126" spans="1:27" ht="18.75" customHeight="1">
      <c r="A126" s="3338" t="str">
        <f>IF(项目基本情况!B9="房地产市场价值","",MID(E111,3,LEN(E111)-2))</f>
        <v/>
      </c>
      <c r="B126" s="3338"/>
      <c r="C126" s="3338"/>
      <c r="D126" s="3327" t="str">
        <f>H111</f>
        <v>——</v>
      </c>
      <c r="E126" s="3328"/>
      <c r="F126" s="3328"/>
      <c r="G126" s="3328"/>
      <c r="H126" s="3328"/>
      <c r="I126" s="3329"/>
      <c r="AA126" s="684"/>
    </row>
    <row r="127" spans="1:27" ht="18.75" customHeight="1">
      <c r="A127" s="3326" t="s">
        <v>1452</v>
      </c>
      <c r="B127" s="3326"/>
      <c r="C127" s="3326"/>
      <c r="D127" s="3332" t="e">
        <f>NUMBERSTRING(INT(D126*10000),2)&amp;"元整"</f>
        <v>#VALUE!</v>
      </c>
      <c r="E127" s="3334"/>
      <c r="F127" s="3334"/>
      <c r="G127" s="3334"/>
      <c r="H127" s="3334"/>
      <c r="I127" s="3333"/>
      <c r="AA127" s="684"/>
    </row>
    <row r="128" spans="1:27" ht="21.75" customHeight="1">
      <c r="A128" s="3335" t="s">
        <v>1453</v>
      </c>
      <c r="B128" s="3335"/>
      <c r="C128" s="3335"/>
      <c r="D128" s="3335"/>
      <c r="E128" s="3335"/>
      <c r="F128" s="3335"/>
      <c r="G128" s="3335"/>
      <c r="H128" s="3335"/>
      <c r="I128" s="3335"/>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D7">
    <cfRule type="cellIs" dxfId="155" priority="10" stopIfTrue="1" operator="equal">
      <formula>25</formula>
    </cfRule>
  </conditionalFormatting>
  <conditionalFormatting sqref="C8:D13">
    <cfRule type="cellIs" dxfId="154" priority="8" stopIfTrue="1" operator="equal">
      <formula>15</formula>
    </cfRule>
  </conditionalFormatting>
  <conditionalFormatting sqref="C14:D16">
    <cfRule type="cellIs" dxfId="153" priority="6" stopIfTrue="1" operator="equal">
      <formula>30</formula>
    </cfRule>
  </conditionalFormatting>
  <conditionalFormatting sqref="E36">
    <cfRule type="expression" dxfId="15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D2194-CBD7-4400-9ED3-EF9B7B66A7B0}">
  <dimension ref="A1:L57"/>
  <sheetViews>
    <sheetView zoomScaleNormal="100" workbookViewId="0">
      <selection activeCell="F153" sqref="F153"/>
    </sheetView>
  </sheetViews>
  <sheetFormatPr defaultRowHeight="12"/>
  <cols>
    <col min="1" max="1" width="38.875" style="3195" customWidth="1"/>
    <col min="2" max="2" width="20" style="3195" customWidth="1"/>
    <col min="3" max="5" width="8.875" style="3195" customWidth="1"/>
    <col min="6" max="6" width="12.25" style="3195" customWidth="1"/>
    <col min="7" max="7" width="10.125" style="3195" customWidth="1"/>
    <col min="8" max="11" width="9" style="3195" customWidth="1"/>
    <col min="12" max="12" width="20" style="3195" customWidth="1"/>
    <col min="13" max="16384" width="9" style="3195"/>
  </cols>
  <sheetData>
    <row r="1" spans="1:12">
      <c r="A1" s="3194" t="s">
        <v>3474</v>
      </c>
      <c r="B1" s="3194" t="s">
        <v>3475</v>
      </c>
      <c r="C1" s="3194" t="s">
        <v>3476</v>
      </c>
      <c r="D1" s="3194" t="s">
        <v>3477</v>
      </c>
      <c r="E1" s="3194" t="s">
        <v>3478</v>
      </c>
      <c r="F1" s="3194" t="s">
        <v>3479</v>
      </c>
      <c r="G1" s="3194" t="s">
        <v>3480</v>
      </c>
      <c r="H1" s="3194" t="s">
        <v>3481</v>
      </c>
      <c r="I1" s="3194" t="s">
        <v>3482</v>
      </c>
      <c r="J1" s="3194" t="s">
        <v>3483</v>
      </c>
      <c r="K1" s="3194" t="s">
        <v>3484</v>
      </c>
      <c r="L1" s="3194" t="s">
        <v>3485</v>
      </c>
    </row>
    <row r="2" spans="1:12">
      <c r="A2" s="3194" t="s">
        <v>3838</v>
      </c>
      <c r="B2" s="3194" t="s">
        <v>3837</v>
      </c>
      <c r="C2" s="3194">
        <v>44913.919999999998</v>
      </c>
      <c r="D2" s="3194">
        <v>67370.880000000005</v>
      </c>
      <c r="E2" s="3194" t="s">
        <v>3700</v>
      </c>
      <c r="F2" s="3194" t="s">
        <v>2471</v>
      </c>
      <c r="G2" s="3194" t="s">
        <v>3836</v>
      </c>
      <c r="H2" s="3194">
        <v>9761.9500000000007</v>
      </c>
      <c r="I2" s="3194">
        <v>144.9</v>
      </c>
      <c r="J2" s="3194">
        <v>1449</v>
      </c>
      <c r="K2" s="3194">
        <v>0</v>
      </c>
      <c r="L2" s="3194" t="s">
        <v>3835</v>
      </c>
    </row>
    <row r="3" spans="1:12">
      <c r="A3" s="3194" t="s">
        <v>3834</v>
      </c>
      <c r="B3" s="3194" t="s">
        <v>3833</v>
      </c>
      <c r="C3" s="3194">
        <v>19400</v>
      </c>
      <c r="D3" s="3194">
        <v>29100</v>
      </c>
      <c r="E3" s="3194" t="s">
        <v>3700</v>
      </c>
      <c r="F3" s="3194" t="s">
        <v>2471</v>
      </c>
      <c r="G3" s="3194" t="s">
        <v>3831</v>
      </c>
      <c r="H3" s="3194">
        <v>4213.68</v>
      </c>
      <c r="I3" s="3194">
        <v>144.80000000000001</v>
      </c>
      <c r="J3" s="3194">
        <v>1448</v>
      </c>
      <c r="K3" s="3194">
        <v>0</v>
      </c>
      <c r="L3" s="3194" t="s">
        <v>3830</v>
      </c>
    </row>
    <row r="4" spans="1:12">
      <c r="A4" s="3194" t="s">
        <v>3829</v>
      </c>
      <c r="B4" s="3194" t="s">
        <v>3828</v>
      </c>
      <c r="C4" s="3194">
        <v>203586.66</v>
      </c>
      <c r="D4" s="3194">
        <v>305379.99</v>
      </c>
      <c r="E4" s="3194" t="s">
        <v>3760</v>
      </c>
      <c r="F4" s="3194" t="s">
        <v>3</v>
      </c>
      <c r="G4" s="3194" t="s">
        <v>3812</v>
      </c>
      <c r="H4" s="3194">
        <v>36462.370000000003</v>
      </c>
      <c r="I4" s="3194">
        <v>119.4</v>
      </c>
      <c r="J4" s="3194">
        <v>1194</v>
      </c>
      <c r="K4" s="3194">
        <v>0</v>
      </c>
      <c r="L4" s="3194" t="s">
        <v>3827</v>
      </c>
    </row>
    <row r="5" spans="1:12">
      <c r="A5" s="3194" t="s">
        <v>3826</v>
      </c>
      <c r="B5" s="3194" t="s">
        <v>3825</v>
      </c>
      <c r="C5" s="3194">
        <v>5467.2</v>
      </c>
      <c r="D5" s="3194">
        <v>5467.2</v>
      </c>
      <c r="E5" s="3194" t="s">
        <v>3823</v>
      </c>
      <c r="F5" s="3194" t="s">
        <v>3824</v>
      </c>
      <c r="G5" s="3194" t="s">
        <v>3822</v>
      </c>
      <c r="H5" s="3194">
        <v>844.63</v>
      </c>
      <c r="I5" s="3194">
        <v>102.99</v>
      </c>
      <c r="J5" s="3194">
        <v>1545</v>
      </c>
      <c r="K5" s="3194">
        <v>0</v>
      </c>
      <c r="L5" s="3194" t="s">
        <v>3821</v>
      </c>
    </row>
    <row r="6" spans="1:12">
      <c r="A6" s="3194" t="s">
        <v>3820</v>
      </c>
      <c r="B6" s="3194" t="s">
        <v>3819</v>
      </c>
      <c r="C6" s="3194">
        <v>5450.05</v>
      </c>
      <c r="D6" s="3194">
        <v>10900.1</v>
      </c>
      <c r="E6" s="3194" t="s">
        <v>3695</v>
      </c>
      <c r="F6" s="3194" t="s">
        <v>2471</v>
      </c>
      <c r="G6" s="3194" t="s">
        <v>3818</v>
      </c>
      <c r="H6" s="3194">
        <v>1115.02</v>
      </c>
      <c r="I6" s="3194">
        <v>136.38999999999999</v>
      </c>
      <c r="J6" s="3194">
        <v>1023</v>
      </c>
      <c r="K6" s="3194">
        <v>0</v>
      </c>
      <c r="L6" s="3194" t="s">
        <v>3817</v>
      </c>
    </row>
    <row r="7" spans="1:12">
      <c r="A7" s="3194" t="s">
        <v>3816</v>
      </c>
      <c r="B7" s="3194" t="s">
        <v>3815</v>
      </c>
      <c r="C7" s="3194">
        <v>260416.91</v>
      </c>
      <c r="D7" s="3194">
        <v>260416.91</v>
      </c>
      <c r="E7" s="3194" t="s">
        <v>3813</v>
      </c>
      <c r="F7" s="3194" t="s">
        <v>3814</v>
      </c>
      <c r="G7" s="3194" t="s">
        <v>3812</v>
      </c>
      <c r="H7" s="3194">
        <v>22500.02</v>
      </c>
      <c r="I7" s="3194">
        <v>57.6</v>
      </c>
      <c r="J7" s="3194">
        <v>864</v>
      </c>
      <c r="K7" s="3194">
        <v>0</v>
      </c>
      <c r="L7" s="3194" t="s">
        <v>3811</v>
      </c>
    </row>
    <row r="8" spans="1:12">
      <c r="A8" s="3194" t="s">
        <v>3486</v>
      </c>
      <c r="B8" s="3194" t="s">
        <v>3487</v>
      </c>
      <c r="C8" s="3194">
        <v>17549.900000000001</v>
      </c>
      <c r="D8" s="3194">
        <v>17549.900000000001</v>
      </c>
      <c r="E8" s="3194" t="s">
        <v>3488</v>
      </c>
      <c r="F8" s="3194" t="s">
        <v>3489</v>
      </c>
      <c r="G8" s="3196">
        <v>45322.000497685185</v>
      </c>
      <c r="H8" s="3194">
        <v>2100.7199999999998</v>
      </c>
      <c r="I8" s="3194">
        <v>79.8</v>
      </c>
      <c r="J8" s="3194">
        <v>1197</v>
      </c>
      <c r="K8" s="3194">
        <v>0</v>
      </c>
      <c r="L8" s="3194" t="s">
        <v>3490</v>
      </c>
    </row>
    <row r="9" spans="1:12">
      <c r="A9" s="3194" t="s">
        <v>3491</v>
      </c>
      <c r="B9" s="3194" t="s">
        <v>3492</v>
      </c>
      <c r="C9" s="3194">
        <v>72656</v>
      </c>
      <c r="D9" s="3194">
        <v>145312</v>
      </c>
      <c r="E9" s="3194" t="s">
        <v>3493</v>
      </c>
      <c r="F9" s="3194" t="s">
        <v>3494</v>
      </c>
      <c r="G9" s="3196">
        <v>45279.000497685185</v>
      </c>
      <c r="H9" s="3194">
        <v>19181.18</v>
      </c>
      <c r="I9" s="3194">
        <v>176</v>
      </c>
      <c r="J9" s="3194">
        <v>1320</v>
      </c>
      <c r="K9" s="3194">
        <v>0</v>
      </c>
      <c r="L9" s="3194" t="s">
        <v>3495</v>
      </c>
    </row>
    <row r="10" spans="1:12">
      <c r="A10" s="3194" t="s">
        <v>3496</v>
      </c>
      <c r="B10" s="3194" t="s">
        <v>3497</v>
      </c>
      <c r="C10" s="3194">
        <v>27029.51</v>
      </c>
      <c r="D10" s="3194">
        <v>40544.26</v>
      </c>
      <c r="E10" s="3194" t="s">
        <v>3498</v>
      </c>
      <c r="F10" s="3194" t="s">
        <v>3499</v>
      </c>
      <c r="G10" s="3196">
        <v>45261.000497685185</v>
      </c>
      <c r="H10" s="3194">
        <v>9722.51</v>
      </c>
      <c r="I10" s="3194">
        <v>239.8</v>
      </c>
      <c r="J10" s="3194">
        <v>2398</v>
      </c>
      <c r="K10" s="3194">
        <v>0</v>
      </c>
      <c r="L10" s="3194" t="s">
        <v>3500</v>
      </c>
    </row>
    <row r="11" spans="1:12">
      <c r="A11" s="3194" t="s">
        <v>3501</v>
      </c>
      <c r="B11" s="3194" t="s">
        <v>3502</v>
      </c>
      <c r="C11" s="3194">
        <v>22041.919999999998</v>
      </c>
      <c r="D11" s="3194">
        <v>33062.870000000003</v>
      </c>
      <c r="E11" s="3194" t="s">
        <v>3498</v>
      </c>
      <c r="F11" s="3194" t="s">
        <v>3499</v>
      </c>
      <c r="G11" s="3196">
        <v>45224.000497685185</v>
      </c>
      <c r="H11" s="3194">
        <v>7928.48</v>
      </c>
      <c r="I11" s="3194">
        <v>239.8</v>
      </c>
      <c r="J11" s="3194">
        <v>2398</v>
      </c>
      <c r="K11" s="3194">
        <v>0</v>
      </c>
      <c r="L11" s="3194" t="s">
        <v>3503</v>
      </c>
    </row>
    <row r="12" spans="1:12">
      <c r="A12" s="3194" t="s">
        <v>3504</v>
      </c>
      <c r="B12" s="3194" t="s">
        <v>3505</v>
      </c>
      <c r="C12" s="3194">
        <v>16968</v>
      </c>
      <c r="D12" s="3194">
        <v>40904</v>
      </c>
      <c r="E12" s="3194" t="s">
        <v>3506</v>
      </c>
      <c r="F12" s="3194" t="s">
        <v>3507</v>
      </c>
      <c r="G12" s="3196">
        <v>45210.000497685185</v>
      </c>
      <c r="H12" s="3194">
        <v>7041.48</v>
      </c>
      <c r="I12" s="3194">
        <v>276.66000000000003</v>
      </c>
      <c r="J12" s="3194">
        <v>1721</v>
      </c>
      <c r="K12" s="3194">
        <v>0</v>
      </c>
      <c r="L12" s="3194" t="s">
        <v>3508</v>
      </c>
    </row>
    <row r="13" spans="1:12">
      <c r="A13" s="3194" t="s">
        <v>3509</v>
      </c>
      <c r="B13" s="3194" t="s">
        <v>3510</v>
      </c>
      <c r="C13" s="3194">
        <v>13153.7</v>
      </c>
      <c r="D13" s="3194">
        <v>13153.7</v>
      </c>
      <c r="E13" s="3194">
        <v>1</v>
      </c>
      <c r="F13" s="3194" t="s">
        <v>3511</v>
      </c>
      <c r="G13" s="3196">
        <v>45195.000497685185</v>
      </c>
      <c r="H13" s="3194">
        <v>1816.53</v>
      </c>
      <c r="I13" s="3194">
        <v>92.07</v>
      </c>
      <c r="J13" s="3194">
        <v>1381</v>
      </c>
      <c r="K13" s="3194">
        <v>0</v>
      </c>
      <c r="L13" s="3194" t="s">
        <v>3512</v>
      </c>
    </row>
    <row r="14" spans="1:12" s="3199" customFormat="1">
      <c r="A14" s="3197" t="s">
        <v>3513</v>
      </c>
      <c r="B14" s="3197" t="s">
        <v>3514</v>
      </c>
      <c r="C14" s="3197">
        <v>14975.1</v>
      </c>
      <c r="D14" s="3197">
        <v>22462.65</v>
      </c>
      <c r="E14" s="3197">
        <v>1.5</v>
      </c>
      <c r="F14" s="3197" t="s">
        <v>3511</v>
      </c>
      <c r="G14" s="3198">
        <v>45195.000497685185</v>
      </c>
      <c r="H14" s="3197">
        <v>1682.45</v>
      </c>
      <c r="I14" s="3197">
        <v>74.900000000000006</v>
      </c>
      <c r="J14" s="3197">
        <v>749</v>
      </c>
      <c r="K14" s="3197">
        <v>0</v>
      </c>
      <c r="L14" s="3197" t="s">
        <v>3515</v>
      </c>
    </row>
    <row r="15" spans="1:12">
      <c r="A15" s="3194" t="s">
        <v>3516</v>
      </c>
      <c r="B15" s="3194" t="s">
        <v>3517</v>
      </c>
      <c r="C15" s="3194">
        <v>74702.7</v>
      </c>
      <c r="D15" s="3194">
        <v>110253.98</v>
      </c>
      <c r="E15" s="3194">
        <v>1.48</v>
      </c>
      <c r="F15" s="3194" t="s">
        <v>3518</v>
      </c>
      <c r="G15" s="3196">
        <v>45187.000497685185</v>
      </c>
      <c r="H15" s="3194">
        <v>16910.09</v>
      </c>
      <c r="I15" s="3194">
        <v>150.91</v>
      </c>
      <c r="J15" s="3194">
        <v>1534</v>
      </c>
      <c r="K15" s="3194">
        <v>0</v>
      </c>
      <c r="L15" s="3194" t="s">
        <v>3519</v>
      </c>
    </row>
    <row r="16" spans="1:12">
      <c r="A16" s="3194" t="s">
        <v>3520</v>
      </c>
      <c r="B16" s="3194" t="s">
        <v>3521</v>
      </c>
      <c r="C16" s="3194">
        <v>26178.400000000001</v>
      </c>
      <c r="D16" s="3194">
        <v>52356.800000000003</v>
      </c>
      <c r="E16" s="3194">
        <v>2</v>
      </c>
      <c r="F16" s="3194" t="s">
        <v>3511</v>
      </c>
      <c r="G16" s="3196">
        <v>45140.000497685185</v>
      </c>
      <c r="H16" s="3194">
        <v>3413.66</v>
      </c>
      <c r="I16" s="3194">
        <v>86.93</v>
      </c>
      <c r="J16" s="3194">
        <v>652</v>
      </c>
      <c r="K16" s="3194">
        <v>0</v>
      </c>
      <c r="L16" s="3194" t="s">
        <v>3522</v>
      </c>
    </row>
    <row r="17" spans="1:12">
      <c r="A17" s="3194" t="s">
        <v>3523</v>
      </c>
      <c r="B17" s="3194" t="s">
        <v>3524</v>
      </c>
      <c r="C17" s="3194">
        <v>14078.7</v>
      </c>
      <c r="D17" s="3194">
        <v>28157.4</v>
      </c>
      <c r="E17" s="3194">
        <v>2</v>
      </c>
      <c r="F17" s="3194" t="s">
        <v>3511</v>
      </c>
      <c r="G17" s="3196">
        <v>45112.000497685185</v>
      </c>
      <c r="H17" s="3194">
        <v>2044.23</v>
      </c>
      <c r="I17" s="3194">
        <v>96.8</v>
      </c>
      <c r="J17" s="3194">
        <v>726</v>
      </c>
      <c r="K17" s="3194">
        <v>0</v>
      </c>
      <c r="L17" s="3194" t="s">
        <v>3525</v>
      </c>
    </row>
    <row r="18" spans="1:12">
      <c r="A18" s="3194" t="s">
        <v>3526</v>
      </c>
      <c r="B18" s="3194" t="s">
        <v>3527</v>
      </c>
      <c r="C18" s="3194">
        <v>20278.599999999999</v>
      </c>
      <c r="D18" s="3194">
        <v>50696.5</v>
      </c>
      <c r="E18" s="3194" t="s">
        <v>3506</v>
      </c>
      <c r="F18" s="3194" t="s">
        <v>3528</v>
      </c>
      <c r="G18" s="3196">
        <v>45052.000497685185</v>
      </c>
      <c r="H18" s="3194">
        <v>2975.88</v>
      </c>
      <c r="I18" s="3194">
        <v>97.83</v>
      </c>
      <c r="J18" s="3194">
        <v>587</v>
      </c>
      <c r="K18" s="3194">
        <v>0</v>
      </c>
      <c r="L18" s="3194" t="s">
        <v>3529</v>
      </c>
    </row>
    <row r="19" spans="1:12">
      <c r="A19" s="3194" t="s">
        <v>3530</v>
      </c>
      <c r="B19" s="3194" t="s">
        <v>3531</v>
      </c>
      <c r="C19" s="3194">
        <v>52522.559999999998</v>
      </c>
      <c r="D19" s="3194">
        <v>78783.839999999997</v>
      </c>
      <c r="E19" s="3194">
        <v>1.5</v>
      </c>
      <c r="F19" s="3194" t="s">
        <v>3532</v>
      </c>
      <c r="G19" s="3196">
        <v>45033.000497685185</v>
      </c>
      <c r="H19" s="3194">
        <v>9585.85</v>
      </c>
      <c r="I19" s="3194">
        <v>121.67</v>
      </c>
      <c r="J19" s="3194">
        <v>1217</v>
      </c>
      <c r="K19" s="3194">
        <v>0</v>
      </c>
      <c r="L19" s="3194" t="s">
        <v>3533</v>
      </c>
    </row>
    <row r="20" spans="1:12">
      <c r="A20" s="3194" t="s">
        <v>3534</v>
      </c>
      <c r="B20" s="3194" t="s">
        <v>3535</v>
      </c>
      <c r="C20" s="3194">
        <v>20292</v>
      </c>
      <c r="D20" s="3194">
        <v>40584</v>
      </c>
      <c r="E20" s="3194" t="s">
        <v>3536</v>
      </c>
      <c r="F20" s="3194" t="s">
        <v>3528</v>
      </c>
      <c r="G20" s="3196">
        <v>45021.000497685185</v>
      </c>
      <c r="H20" s="3194">
        <v>2317.35</v>
      </c>
      <c r="I20" s="3194">
        <v>76.13</v>
      </c>
      <c r="J20" s="3194">
        <v>571</v>
      </c>
      <c r="K20" s="3194">
        <v>0</v>
      </c>
      <c r="L20" s="3194" t="s">
        <v>3537</v>
      </c>
    </row>
    <row r="21" spans="1:12" s="3199" customFormat="1">
      <c r="A21" s="3197" t="s">
        <v>3538</v>
      </c>
      <c r="B21" s="3197" t="s">
        <v>3539</v>
      </c>
      <c r="C21" s="3197">
        <v>24855</v>
      </c>
      <c r="D21" s="3197">
        <v>37282.5</v>
      </c>
      <c r="E21" s="3197" t="s">
        <v>3498</v>
      </c>
      <c r="F21" s="3197" t="s">
        <v>3511</v>
      </c>
      <c r="G21" s="3198">
        <v>45015.000497685185</v>
      </c>
      <c r="H21" s="3197">
        <v>2128.83</v>
      </c>
      <c r="I21" s="3197">
        <v>57.1</v>
      </c>
      <c r="J21" s="3197">
        <v>571</v>
      </c>
      <c r="K21" s="3197">
        <v>0</v>
      </c>
      <c r="L21" s="3197" t="s">
        <v>3540</v>
      </c>
    </row>
    <row r="22" spans="1:12" s="3199" customFormat="1">
      <c r="A22" s="3197" t="s">
        <v>3541</v>
      </c>
      <c r="B22" s="3197" t="s">
        <v>3542</v>
      </c>
      <c r="C22" s="3197">
        <v>25945.1</v>
      </c>
      <c r="D22" s="3197">
        <v>38917.65</v>
      </c>
      <c r="E22" s="3197">
        <v>1.5</v>
      </c>
      <c r="F22" s="3197" t="s">
        <v>3511</v>
      </c>
      <c r="G22" s="3198">
        <v>45015.000497685185</v>
      </c>
      <c r="H22" s="3197">
        <v>2222.1999999999998</v>
      </c>
      <c r="I22" s="3197">
        <v>57.1</v>
      </c>
      <c r="J22" s="3197">
        <v>571</v>
      </c>
      <c r="K22" s="3197">
        <v>0</v>
      </c>
      <c r="L22" s="3197" t="s">
        <v>3543</v>
      </c>
    </row>
    <row r="23" spans="1:12">
      <c r="A23" s="3194" t="s">
        <v>3544</v>
      </c>
      <c r="B23" s="3194" t="s">
        <v>3545</v>
      </c>
      <c r="C23" s="3194">
        <v>22492.5</v>
      </c>
      <c r="D23" s="3194">
        <v>33738.75</v>
      </c>
      <c r="E23" s="3194" t="s">
        <v>3498</v>
      </c>
      <c r="F23" s="3194" t="s">
        <v>3511</v>
      </c>
      <c r="G23" s="3196">
        <v>45008.000497685185</v>
      </c>
      <c r="H23" s="3194">
        <v>1926.48</v>
      </c>
      <c r="I23" s="3194">
        <v>57.1</v>
      </c>
      <c r="J23" s="3194">
        <v>571</v>
      </c>
      <c r="K23" s="3194">
        <v>0</v>
      </c>
      <c r="L23" s="3194" t="s">
        <v>3546</v>
      </c>
    </row>
    <row r="24" spans="1:12">
      <c r="A24" s="3194" t="s">
        <v>3547</v>
      </c>
      <c r="B24" s="3194" t="s">
        <v>3548</v>
      </c>
      <c r="C24" s="3194">
        <v>37965.22</v>
      </c>
      <c r="D24" s="3194">
        <v>75930.44</v>
      </c>
      <c r="E24" s="3194">
        <v>2</v>
      </c>
      <c r="F24" s="3194" t="s">
        <v>3511</v>
      </c>
      <c r="G24" s="3196">
        <v>45001.000497685185</v>
      </c>
      <c r="H24" s="3194">
        <v>4457.12</v>
      </c>
      <c r="I24" s="3194">
        <v>78.27</v>
      </c>
      <c r="J24" s="3194">
        <v>587</v>
      </c>
      <c r="K24" s="3194">
        <v>0</v>
      </c>
      <c r="L24" s="3194" t="s">
        <v>3549</v>
      </c>
    </row>
    <row r="25" spans="1:12">
      <c r="A25" s="3194" t="s">
        <v>3550</v>
      </c>
      <c r="B25" s="3194" t="s">
        <v>3551</v>
      </c>
      <c r="C25" s="3194">
        <v>6837.8</v>
      </c>
      <c r="D25" s="3194">
        <v>5470.24</v>
      </c>
      <c r="E25" s="3194" t="s">
        <v>3552</v>
      </c>
      <c r="F25" s="3194" t="s">
        <v>3553</v>
      </c>
      <c r="G25" s="3196">
        <v>44980.000497685185</v>
      </c>
      <c r="H25" s="3194">
        <v>496.42</v>
      </c>
      <c r="I25" s="3194">
        <v>48.4</v>
      </c>
      <c r="J25" s="3194">
        <v>907</v>
      </c>
      <c r="K25" s="3194">
        <v>0</v>
      </c>
      <c r="L25" s="3194" t="s">
        <v>3512</v>
      </c>
    </row>
    <row r="26" spans="1:12">
      <c r="A26" s="3194" t="s">
        <v>3554</v>
      </c>
      <c r="B26" s="3194" t="s">
        <v>3555</v>
      </c>
      <c r="C26" s="3194">
        <v>420642.53</v>
      </c>
      <c r="D26" s="3194">
        <v>841285.06</v>
      </c>
      <c r="E26" s="3194">
        <v>2</v>
      </c>
      <c r="F26" s="3194" t="s">
        <v>3556</v>
      </c>
      <c r="G26" s="3196">
        <v>44964.000497685185</v>
      </c>
      <c r="H26" s="3194">
        <v>49383.43</v>
      </c>
      <c r="I26" s="3194">
        <v>78.27</v>
      </c>
      <c r="J26" s="3194">
        <v>587</v>
      </c>
      <c r="K26" s="3194">
        <v>0</v>
      </c>
      <c r="L26" s="3194" t="s">
        <v>3557</v>
      </c>
    </row>
    <row r="27" spans="1:12">
      <c r="A27" s="3194" t="s">
        <v>3558</v>
      </c>
      <c r="B27" s="3194" t="s">
        <v>3559</v>
      </c>
      <c r="C27" s="3194">
        <v>15343</v>
      </c>
      <c r="D27" s="3194">
        <v>36000</v>
      </c>
      <c r="E27" s="3194" t="s">
        <v>3560</v>
      </c>
      <c r="F27" s="3194" t="s">
        <v>3561</v>
      </c>
      <c r="G27" s="3196">
        <v>44955.000497685185</v>
      </c>
      <c r="H27" s="3194">
        <v>11401.2</v>
      </c>
      <c r="I27" s="3194">
        <v>495.39</v>
      </c>
      <c r="J27" s="3194">
        <v>3167</v>
      </c>
      <c r="K27" s="3194">
        <v>0</v>
      </c>
      <c r="L27" s="3194" t="s">
        <v>3562</v>
      </c>
    </row>
    <row r="28" spans="1:12">
      <c r="A28" s="3194" t="s">
        <v>3563</v>
      </c>
      <c r="B28" s="3194" t="s">
        <v>3564</v>
      </c>
      <c r="C28" s="3194">
        <v>21884.6</v>
      </c>
      <c r="D28" s="3194">
        <v>32826.9</v>
      </c>
      <c r="E28" s="3194" t="s">
        <v>3565</v>
      </c>
      <c r="F28" s="3194" t="s">
        <v>3489</v>
      </c>
      <c r="G28" s="3196">
        <v>44955.000497685185</v>
      </c>
      <c r="H28" s="3194">
        <v>3308.95</v>
      </c>
      <c r="I28" s="3194">
        <v>100.8</v>
      </c>
      <c r="J28" s="3194">
        <v>1008</v>
      </c>
      <c r="K28" s="3194">
        <v>0</v>
      </c>
      <c r="L28" s="3194" t="s">
        <v>3566</v>
      </c>
    </row>
    <row r="29" spans="1:12">
      <c r="A29" s="3194" t="s">
        <v>3567</v>
      </c>
      <c r="B29" s="3194" t="s">
        <v>3568</v>
      </c>
      <c r="C29" s="3194">
        <v>3658.3</v>
      </c>
      <c r="D29" s="3194">
        <v>3900</v>
      </c>
      <c r="E29" s="3194" t="s">
        <v>3569</v>
      </c>
      <c r="F29" s="3194" t="s">
        <v>3489</v>
      </c>
      <c r="G29" s="3196">
        <v>44955.000497685185</v>
      </c>
      <c r="H29" s="3194">
        <v>368.94</v>
      </c>
      <c r="I29" s="3194">
        <v>67.23</v>
      </c>
      <c r="J29" s="3194">
        <v>946</v>
      </c>
      <c r="K29" s="3194">
        <v>0</v>
      </c>
      <c r="L29" s="3194" t="s">
        <v>3566</v>
      </c>
    </row>
    <row r="30" spans="1:12">
      <c r="A30" s="3194" t="s">
        <v>3570</v>
      </c>
      <c r="B30" s="3194" t="s">
        <v>3571</v>
      </c>
      <c r="C30" s="3194">
        <v>25334.799999999999</v>
      </c>
      <c r="D30" s="3194">
        <v>38002.199999999997</v>
      </c>
      <c r="E30" s="3194">
        <v>1.5</v>
      </c>
      <c r="F30" s="3194" t="s">
        <v>3489</v>
      </c>
      <c r="G30" s="3196">
        <v>44931.000497685185</v>
      </c>
      <c r="H30" s="3194">
        <v>2169.9299999999998</v>
      </c>
      <c r="I30" s="3194">
        <v>57.1</v>
      </c>
      <c r="J30" s="3194">
        <v>571</v>
      </c>
      <c r="K30" s="3194">
        <v>0</v>
      </c>
      <c r="L30" s="3194" t="s">
        <v>3572</v>
      </c>
    </row>
    <row r="31" spans="1:12">
      <c r="A31" s="3194" t="s">
        <v>3573</v>
      </c>
      <c r="B31" s="3194" t="s">
        <v>3574</v>
      </c>
      <c r="C31" s="3194">
        <v>52790.03</v>
      </c>
      <c r="D31" s="3194">
        <v>79185.05</v>
      </c>
      <c r="E31" s="3194" t="s">
        <v>3498</v>
      </c>
      <c r="F31" s="3194" t="s">
        <v>3556</v>
      </c>
      <c r="G31" s="3196">
        <v>44868.000497685185</v>
      </c>
      <c r="H31" s="3194">
        <v>9429.41</v>
      </c>
      <c r="I31" s="3194">
        <v>119.08</v>
      </c>
      <c r="J31" s="3194">
        <v>1191</v>
      </c>
      <c r="K31" s="3194">
        <v>0</v>
      </c>
      <c r="L31" s="3194" t="s">
        <v>3575</v>
      </c>
    </row>
    <row r="32" spans="1:12">
      <c r="A32" s="3194" t="s">
        <v>3576</v>
      </c>
      <c r="B32" s="3194" t="s">
        <v>3577</v>
      </c>
      <c r="C32" s="3194">
        <v>19670.8</v>
      </c>
      <c r="D32" s="3194">
        <v>29506.2</v>
      </c>
      <c r="E32" s="3194">
        <v>1.5</v>
      </c>
      <c r="F32" s="3194" t="s">
        <v>3578</v>
      </c>
      <c r="G32" s="3196">
        <v>44860.000497685185</v>
      </c>
      <c r="H32" s="3194">
        <v>1684.8</v>
      </c>
      <c r="I32" s="3194">
        <v>57.1</v>
      </c>
      <c r="J32" s="3194">
        <v>571</v>
      </c>
      <c r="K32" s="3194">
        <v>0</v>
      </c>
      <c r="L32" s="3194" t="s">
        <v>3579</v>
      </c>
    </row>
    <row r="33" spans="1:12">
      <c r="A33" s="3194" t="s">
        <v>3580</v>
      </c>
      <c r="B33" s="3194" t="s">
        <v>3581</v>
      </c>
      <c r="C33" s="3194">
        <v>24526.2</v>
      </c>
      <c r="D33" s="3194">
        <v>49052.4</v>
      </c>
      <c r="E33" s="3194">
        <v>2</v>
      </c>
      <c r="F33" s="3194" t="s">
        <v>3578</v>
      </c>
      <c r="G33" s="3196">
        <v>44860.000497685185</v>
      </c>
      <c r="H33" s="3194">
        <v>2800.89</v>
      </c>
      <c r="I33" s="3194">
        <v>76.13</v>
      </c>
      <c r="J33" s="3194">
        <v>571</v>
      </c>
      <c r="K33" s="3194">
        <v>0</v>
      </c>
      <c r="L33" s="3194" t="s">
        <v>3582</v>
      </c>
    </row>
    <row r="34" spans="1:12">
      <c r="A34" s="3194" t="s">
        <v>3583</v>
      </c>
      <c r="B34" s="3194" t="s">
        <v>3584</v>
      </c>
      <c r="C34" s="3194">
        <v>26316.6</v>
      </c>
      <c r="D34" s="3194">
        <v>30264.09</v>
      </c>
      <c r="E34" s="3194" t="s">
        <v>3585</v>
      </c>
      <c r="F34" s="3194" t="s">
        <v>3578</v>
      </c>
      <c r="G34" s="3196">
        <v>44809.000497685185</v>
      </c>
      <c r="H34" s="3194">
        <v>1973.22</v>
      </c>
      <c r="I34" s="3194">
        <v>49.99</v>
      </c>
      <c r="J34" s="3194">
        <v>652</v>
      </c>
      <c r="K34" s="3194">
        <v>0</v>
      </c>
      <c r="L34" s="3194" t="s">
        <v>3586</v>
      </c>
    </row>
    <row r="35" spans="1:12">
      <c r="A35" s="3194" t="s">
        <v>3587</v>
      </c>
      <c r="B35" s="3194" t="s">
        <v>3588</v>
      </c>
      <c r="C35" s="3194">
        <v>10526.1</v>
      </c>
      <c r="D35" s="3194">
        <v>12631.32</v>
      </c>
      <c r="E35" s="3194">
        <v>1.2</v>
      </c>
      <c r="F35" s="3194" t="s">
        <v>3578</v>
      </c>
      <c r="G35" s="3196">
        <v>44809.000497685185</v>
      </c>
      <c r="H35" s="3194">
        <v>823.56</v>
      </c>
      <c r="I35" s="3194">
        <v>52.16</v>
      </c>
      <c r="J35" s="3194">
        <v>652</v>
      </c>
      <c r="K35" s="3194">
        <v>0</v>
      </c>
      <c r="L35" s="3194" t="s">
        <v>3589</v>
      </c>
    </row>
    <row r="36" spans="1:12">
      <c r="A36" s="3194" t="s">
        <v>3590</v>
      </c>
      <c r="B36" s="3194" t="s">
        <v>3591</v>
      </c>
      <c r="C36" s="3194">
        <v>15975.8</v>
      </c>
      <c r="D36" s="3194">
        <v>23963.7</v>
      </c>
      <c r="E36" s="3194" t="s">
        <v>3498</v>
      </c>
      <c r="F36" s="3194" t="s">
        <v>3578</v>
      </c>
      <c r="G36" s="3196">
        <v>44788.000497685185</v>
      </c>
      <c r="H36" s="3194">
        <v>1368.33</v>
      </c>
      <c r="I36" s="3194">
        <v>57.1</v>
      </c>
      <c r="J36" s="3194">
        <v>571</v>
      </c>
      <c r="K36" s="3194">
        <v>0</v>
      </c>
      <c r="L36" s="3194" t="s">
        <v>3592</v>
      </c>
    </row>
    <row r="37" spans="1:12">
      <c r="A37" s="3194" t="s">
        <v>3593</v>
      </c>
      <c r="B37" s="3194" t="s">
        <v>3594</v>
      </c>
      <c r="C37" s="3194">
        <v>7506.5</v>
      </c>
      <c r="D37" s="3194">
        <v>11259.75</v>
      </c>
      <c r="E37" s="3194" t="s">
        <v>3498</v>
      </c>
      <c r="F37" s="3194" t="s">
        <v>3578</v>
      </c>
      <c r="G37" s="3196">
        <v>44788.000497685185</v>
      </c>
      <c r="H37" s="3194">
        <v>1134.98</v>
      </c>
      <c r="I37" s="3194">
        <v>100.8</v>
      </c>
      <c r="J37" s="3194">
        <v>1008</v>
      </c>
      <c r="K37" s="3194">
        <v>0</v>
      </c>
      <c r="L37" s="3194" t="s">
        <v>3595</v>
      </c>
    </row>
    <row r="38" spans="1:12">
      <c r="A38" s="3194" t="s">
        <v>3596</v>
      </c>
      <c r="B38" s="3194" t="s">
        <v>3597</v>
      </c>
      <c r="C38" s="3194">
        <v>20000</v>
      </c>
      <c r="D38" s="3194">
        <v>20000</v>
      </c>
      <c r="E38" s="3194" t="s">
        <v>3598</v>
      </c>
      <c r="F38" s="3194" t="s">
        <v>3556</v>
      </c>
      <c r="G38" s="3196">
        <v>44742.000497685185</v>
      </c>
      <c r="H38" s="3194">
        <v>2284.42</v>
      </c>
      <c r="I38" s="3194">
        <v>76.150000000000006</v>
      </c>
      <c r="J38" s="3194">
        <v>1142</v>
      </c>
      <c r="K38" s="3194">
        <v>0</v>
      </c>
      <c r="L38" s="3194" t="s">
        <v>3599</v>
      </c>
    </row>
    <row r="39" spans="1:12">
      <c r="A39" s="3194" t="s">
        <v>3600</v>
      </c>
      <c r="B39" s="3194" t="s">
        <v>3601</v>
      </c>
      <c r="C39" s="3194">
        <v>113291.7</v>
      </c>
      <c r="D39" s="3194">
        <v>113291.7</v>
      </c>
      <c r="E39" s="3194" t="s">
        <v>3488</v>
      </c>
      <c r="F39" s="3194" t="s">
        <v>3602</v>
      </c>
      <c r="G39" s="3196">
        <v>44713.000497685185</v>
      </c>
      <c r="H39" s="3194">
        <v>6650.22</v>
      </c>
      <c r="I39" s="3194">
        <v>39.130000000000003</v>
      </c>
      <c r="J39" s="3194">
        <v>587</v>
      </c>
      <c r="K39" s="3194">
        <v>0</v>
      </c>
      <c r="L39" s="3194" t="s">
        <v>3603</v>
      </c>
    </row>
    <row r="40" spans="1:12">
      <c r="A40" s="3194" t="s">
        <v>3604</v>
      </c>
      <c r="B40" s="3194" t="s">
        <v>3605</v>
      </c>
      <c r="C40" s="3194">
        <v>30589.9</v>
      </c>
      <c r="D40" s="3194">
        <v>45884.85</v>
      </c>
      <c r="E40" s="3194" t="s">
        <v>3498</v>
      </c>
      <c r="F40" s="3194" t="s">
        <v>3606</v>
      </c>
      <c r="G40" s="3196">
        <v>44713.000497685185</v>
      </c>
      <c r="H40" s="3194">
        <v>2620.02</v>
      </c>
      <c r="I40" s="3194">
        <v>57.1</v>
      </c>
      <c r="J40" s="3194">
        <v>571</v>
      </c>
      <c r="K40" s="3194">
        <v>0</v>
      </c>
      <c r="L40" s="3194" t="s">
        <v>3607</v>
      </c>
    </row>
    <row r="41" spans="1:12">
      <c r="A41" s="3194" t="s">
        <v>3608</v>
      </c>
      <c r="B41" s="3194" t="s">
        <v>3609</v>
      </c>
      <c r="C41" s="3194">
        <v>54995.519999999997</v>
      </c>
      <c r="D41" s="3194">
        <v>82493.289999999994</v>
      </c>
      <c r="E41" s="3194" t="s">
        <v>3498</v>
      </c>
      <c r="F41" s="3194" t="s">
        <v>3610</v>
      </c>
      <c r="G41" s="3196">
        <v>44712.000497685185</v>
      </c>
      <c r="H41" s="3194">
        <v>8783.01</v>
      </c>
      <c r="I41" s="3194">
        <v>106.47</v>
      </c>
      <c r="J41" s="3194">
        <v>1065</v>
      </c>
      <c r="K41" s="3194">
        <v>0</v>
      </c>
      <c r="L41" s="3194" t="s">
        <v>3611</v>
      </c>
    </row>
    <row r="42" spans="1:12">
      <c r="A42" s="3194" t="s">
        <v>3612</v>
      </c>
      <c r="B42" s="3194" t="s">
        <v>3612</v>
      </c>
      <c r="C42" s="3194">
        <v>103092.9</v>
      </c>
      <c r="D42" s="3194">
        <v>175257.93</v>
      </c>
      <c r="E42" s="3194" t="s">
        <v>3613</v>
      </c>
      <c r="F42" s="3194" t="s">
        <v>3602</v>
      </c>
      <c r="G42" s="3196">
        <v>44700.000497685185</v>
      </c>
      <c r="H42" s="3194">
        <v>10287.64</v>
      </c>
      <c r="I42" s="3194">
        <v>66.53</v>
      </c>
      <c r="J42" s="3194">
        <v>587</v>
      </c>
      <c r="K42" s="3194">
        <v>0</v>
      </c>
      <c r="L42" s="3194" t="s">
        <v>3614</v>
      </c>
    </row>
    <row r="43" spans="1:12">
      <c r="A43" s="3194" t="s">
        <v>3615</v>
      </c>
      <c r="B43" s="3194" t="s">
        <v>3616</v>
      </c>
      <c r="C43" s="3194">
        <v>21090.2</v>
      </c>
      <c r="D43" s="3194">
        <v>22144.7</v>
      </c>
      <c r="E43" s="3194">
        <v>1.54</v>
      </c>
      <c r="F43" s="3194" t="s">
        <v>3617</v>
      </c>
      <c r="G43" s="3196">
        <v>44671.000497685185</v>
      </c>
      <c r="H43" s="3194">
        <v>2163.09</v>
      </c>
      <c r="I43" s="3194">
        <v>68.38</v>
      </c>
      <c r="J43" s="3194">
        <v>977</v>
      </c>
      <c r="K43" s="3194">
        <v>0</v>
      </c>
      <c r="L43" s="3194" t="s">
        <v>3618</v>
      </c>
    </row>
    <row r="44" spans="1:12">
      <c r="A44" s="3194" t="s">
        <v>3619</v>
      </c>
      <c r="B44" s="3194" t="s">
        <v>3620</v>
      </c>
      <c r="C44" s="3194">
        <v>718046.1</v>
      </c>
      <c r="D44" s="3194">
        <v>646241.49</v>
      </c>
      <c r="E44" s="3194">
        <v>0.9</v>
      </c>
      <c r="F44" s="3194" t="s">
        <v>3556</v>
      </c>
      <c r="G44" s="3196">
        <v>44671.000497685185</v>
      </c>
      <c r="H44" s="3194">
        <v>61033.919999999998</v>
      </c>
      <c r="I44" s="3194">
        <v>56.67</v>
      </c>
      <c r="J44" s="3194">
        <v>944</v>
      </c>
      <c r="K44" s="3194">
        <v>0</v>
      </c>
      <c r="L44" s="3194" t="s">
        <v>3621</v>
      </c>
    </row>
    <row r="45" spans="1:12">
      <c r="A45" s="3194" t="s">
        <v>3622</v>
      </c>
      <c r="B45" s="3194" t="s">
        <v>3623</v>
      </c>
      <c r="C45" s="3194">
        <v>54214.080000000002</v>
      </c>
      <c r="D45" s="3194">
        <v>108428.16</v>
      </c>
      <c r="E45" s="3194">
        <v>2</v>
      </c>
      <c r="F45" s="3194" t="s">
        <v>3610</v>
      </c>
      <c r="G45" s="3196">
        <v>44642.000497685185</v>
      </c>
      <c r="H45" s="3194">
        <v>8793.52</v>
      </c>
      <c r="I45" s="3194">
        <v>108.13</v>
      </c>
      <c r="J45" s="3194">
        <v>811</v>
      </c>
      <c r="K45" s="3194">
        <v>0</v>
      </c>
      <c r="L45" s="3194" t="s">
        <v>3624</v>
      </c>
    </row>
    <row r="46" spans="1:12">
      <c r="A46" s="3194" t="s">
        <v>3625</v>
      </c>
      <c r="B46" s="3194" t="s">
        <v>3626</v>
      </c>
      <c r="C46" s="3194">
        <v>76366.38</v>
      </c>
      <c r="D46" s="3194">
        <v>114549.57</v>
      </c>
      <c r="E46" s="3194">
        <v>1.5</v>
      </c>
      <c r="F46" s="3194" t="s">
        <v>3556</v>
      </c>
      <c r="G46" s="3196">
        <v>44630.000497685185</v>
      </c>
      <c r="H46" s="3194">
        <v>11431.52</v>
      </c>
      <c r="I46" s="3194">
        <v>99.8</v>
      </c>
      <c r="J46" s="3194">
        <v>998</v>
      </c>
      <c r="K46" s="3194">
        <v>0</v>
      </c>
      <c r="L46" s="3194" t="s">
        <v>3627</v>
      </c>
    </row>
    <row r="47" spans="1:12">
      <c r="A47" s="3194" t="s">
        <v>3628</v>
      </c>
      <c r="B47" s="3194" t="s">
        <v>3629</v>
      </c>
      <c r="C47" s="3194">
        <v>40148.6</v>
      </c>
      <c r="D47" s="3194">
        <v>60222.9</v>
      </c>
      <c r="E47" s="3194">
        <v>1.5</v>
      </c>
      <c r="F47" s="3194" t="s">
        <v>3511</v>
      </c>
      <c r="G47" s="3196">
        <v>44600.000497685185</v>
      </c>
      <c r="H47" s="3194">
        <v>3438.73</v>
      </c>
      <c r="I47" s="3194">
        <v>57.1</v>
      </c>
      <c r="J47" s="3194">
        <v>571</v>
      </c>
      <c r="K47" s="3194">
        <v>0</v>
      </c>
      <c r="L47" s="3194" t="s">
        <v>3630</v>
      </c>
    </row>
    <row r="48" spans="1:12">
      <c r="A48" s="3194" t="s">
        <v>3631</v>
      </c>
      <c r="B48" s="3194" t="s">
        <v>3632</v>
      </c>
      <c r="C48" s="3194">
        <v>49662.400000000001</v>
      </c>
      <c r="D48" s="3194">
        <v>74493.600000000006</v>
      </c>
      <c r="E48" s="3194">
        <v>1.5</v>
      </c>
      <c r="F48" s="3194" t="s">
        <v>3610</v>
      </c>
      <c r="G48" s="3196">
        <v>44564.000497685185</v>
      </c>
      <c r="H48" s="3194">
        <v>7665.39</v>
      </c>
      <c r="I48" s="3194">
        <v>102.9</v>
      </c>
      <c r="J48" s="3194">
        <v>1029</v>
      </c>
      <c r="K48" s="3194">
        <v>0</v>
      </c>
      <c r="L48" s="3194" t="s">
        <v>3633</v>
      </c>
    </row>
    <row r="49" spans="1:12">
      <c r="A49" s="3194" t="s">
        <v>3634</v>
      </c>
      <c r="B49" s="3194" t="s">
        <v>3635</v>
      </c>
      <c r="C49" s="3194">
        <v>19333.34</v>
      </c>
      <c r="D49" s="3194">
        <v>38666.69</v>
      </c>
      <c r="E49" s="3194">
        <v>2</v>
      </c>
      <c r="F49" s="3194" t="s">
        <v>3636</v>
      </c>
      <c r="G49" s="3196">
        <v>44561.000497685185</v>
      </c>
      <c r="H49" s="3194">
        <v>3477.1</v>
      </c>
      <c r="I49" s="3194">
        <v>119.9</v>
      </c>
      <c r="J49" s="3194">
        <v>899</v>
      </c>
      <c r="K49" s="3194">
        <v>0</v>
      </c>
      <c r="L49" s="3194" t="s">
        <v>3637</v>
      </c>
    </row>
    <row r="50" spans="1:12">
      <c r="A50" s="3194" t="s">
        <v>3638</v>
      </c>
      <c r="B50" s="3194" t="s">
        <v>3639</v>
      </c>
      <c r="C50" s="3194">
        <v>95015.4</v>
      </c>
      <c r="D50" s="3194">
        <v>180529.26</v>
      </c>
      <c r="E50" s="3194">
        <v>1.9</v>
      </c>
      <c r="F50" s="3194" t="s">
        <v>3640</v>
      </c>
      <c r="G50" s="3196">
        <v>44554.000497685185</v>
      </c>
      <c r="H50" s="3194">
        <v>10308.219999999999</v>
      </c>
      <c r="I50" s="3194">
        <v>72.33</v>
      </c>
      <c r="J50" s="3194">
        <v>571</v>
      </c>
      <c r="K50" s="3194">
        <v>0</v>
      </c>
      <c r="L50" s="3194" t="s">
        <v>3641</v>
      </c>
    </row>
    <row r="51" spans="1:12">
      <c r="A51" s="3194" t="s">
        <v>3642</v>
      </c>
      <c r="B51" s="3194" t="s">
        <v>3643</v>
      </c>
      <c r="C51" s="3194">
        <v>95076.46</v>
      </c>
      <c r="D51" s="3194">
        <v>114091.75</v>
      </c>
      <c r="E51" s="3194">
        <v>1.2</v>
      </c>
      <c r="F51" s="3194" t="s">
        <v>3610</v>
      </c>
      <c r="G51" s="3196">
        <v>44521.000497685185</v>
      </c>
      <c r="H51" s="3194">
        <v>15254.86</v>
      </c>
      <c r="I51" s="3194">
        <v>106.97</v>
      </c>
      <c r="J51" s="3194">
        <v>1337</v>
      </c>
      <c r="K51" s="3194">
        <v>0</v>
      </c>
      <c r="L51" s="3194" t="s">
        <v>3644</v>
      </c>
    </row>
    <row r="52" spans="1:12">
      <c r="A52" s="3194" t="s">
        <v>3645</v>
      </c>
      <c r="B52" s="3194" t="s">
        <v>3646</v>
      </c>
      <c r="C52" s="3194">
        <v>23200</v>
      </c>
      <c r="D52" s="3194">
        <v>32480</v>
      </c>
      <c r="E52" s="3194">
        <v>1.4</v>
      </c>
      <c r="F52" s="3194" t="s">
        <v>3511</v>
      </c>
      <c r="G52" s="3196">
        <v>44487.000497685185</v>
      </c>
      <c r="H52" s="3194">
        <v>2150.1799999999998</v>
      </c>
      <c r="I52" s="3194">
        <v>61.79</v>
      </c>
      <c r="J52" s="3194">
        <v>662</v>
      </c>
      <c r="K52" s="3194">
        <v>0</v>
      </c>
      <c r="L52" s="3194" t="s">
        <v>3647</v>
      </c>
    </row>
    <row r="53" spans="1:12">
      <c r="A53" s="3194" t="s">
        <v>3648</v>
      </c>
      <c r="B53" s="3194" t="s">
        <v>3649</v>
      </c>
      <c r="C53" s="3194">
        <v>45949.97</v>
      </c>
      <c r="D53" s="3194">
        <v>82709.95</v>
      </c>
      <c r="E53" s="3194">
        <v>1.8</v>
      </c>
      <c r="F53" s="3194" t="s">
        <v>3561</v>
      </c>
      <c r="G53" s="3196">
        <v>44481.000497685185</v>
      </c>
      <c r="H53" s="3194">
        <v>11198.93</v>
      </c>
      <c r="I53" s="3194">
        <v>162.47999999999999</v>
      </c>
      <c r="J53" s="3194">
        <v>1354</v>
      </c>
      <c r="K53" s="3194">
        <v>0</v>
      </c>
      <c r="L53" s="3194" t="s">
        <v>3650</v>
      </c>
    </row>
    <row r="54" spans="1:12">
      <c r="A54" s="3194" t="s">
        <v>3651</v>
      </c>
      <c r="B54" s="3194" t="s">
        <v>3652</v>
      </c>
      <c r="C54" s="3194">
        <v>57488.82</v>
      </c>
      <c r="D54" s="3194">
        <v>86233.23</v>
      </c>
      <c r="E54" s="3194" t="s">
        <v>3498</v>
      </c>
      <c r="F54" s="3194" t="s">
        <v>3511</v>
      </c>
      <c r="G54" s="3196">
        <v>44480.000497685185</v>
      </c>
      <c r="H54" s="3194">
        <v>7835.68</v>
      </c>
      <c r="I54" s="3194">
        <v>90.87</v>
      </c>
      <c r="J54" s="3194">
        <v>909</v>
      </c>
      <c r="K54" s="3194">
        <v>0</v>
      </c>
      <c r="L54" s="3194" t="s">
        <v>3653</v>
      </c>
    </row>
    <row r="55" spans="1:12">
      <c r="A55" s="3194" t="s">
        <v>3654</v>
      </c>
      <c r="B55" s="3194" t="s">
        <v>3655</v>
      </c>
      <c r="C55" s="3194">
        <v>7422.43</v>
      </c>
      <c r="D55" s="3194">
        <v>5937.95</v>
      </c>
      <c r="E55" s="3194" t="s">
        <v>3552</v>
      </c>
      <c r="F55" s="3194" t="s">
        <v>3511</v>
      </c>
      <c r="G55" s="3196">
        <v>44480.000497685185</v>
      </c>
      <c r="H55" s="3194">
        <v>844.63</v>
      </c>
      <c r="I55" s="3194">
        <v>75.86</v>
      </c>
      <c r="J55" s="3194">
        <v>1422</v>
      </c>
      <c r="K55" s="3194">
        <v>0</v>
      </c>
      <c r="L55" s="3194" t="s">
        <v>3656</v>
      </c>
    </row>
    <row r="56" spans="1:12">
      <c r="A56" s="3194" t="s">
        <v>3657</v>
      </c>
      <c r="B56" s="3194" t="s">
        <v>3658</v>
      </c>
      <c r="C56" s="3194">
        <v>23652.31</v>
      </c>
      <c r="D56" s="3194">
        <v>23652.31</v>
      </c>
      <c r="E56" s="3194">
        <v>1</v>
      </c>
      <c r="F56" s="3194" t="s">
        <v>3511</v>
      </c>
      <c r="G56" s="3196">
        <v>44480.000497685185</v>
      </c>
      <c r="H56" s="3194">
        <v>2689.6</v>
      </c>
      <c r="I56" s="3194">
        <v>75.81</v>
      </c>
      <c r="J56" s="3194">
        <v>1137</v>
      </c>
      <c r="K56" s="3194">
        <v>0</v>
      </c>
      <c r="L56" s="3194" t="s">
        <v>3659</v>
      </c>
    </row>
    <row r="57" spans="1:12">
      <c r="A57" s="3194" t="s">
        <v>3660</v>
      </c>
      <c r="B57" s="3194" t="s">
        <v>3661</v>
      </c>
      <c r="C57" s="3194">
        <v>23170.400000000001</v>
      </c>
      <c r="D57" s="3194">
        <v>23170.400000000001</v>
      </c>
      <c r="E57" s="3194">
        <v>1</v>
      </c>
      <c r="F57" s="3194" t="s">
        <v>3511</v>
      </c>
      <c r="G57" s="3196">
        <v>44480.000497685185</v>
      </c>
      <c r="H57" s="3194">
        <v>2632.78</v>
      </c>
      <c r="I57" s="3194">
        <v>75.75</v>
      </c>
      <c r="J57" s="3194">
        <v>1136</v>
      </c>
      <c r="K57" s="3194">
        <v>0</v>
      </c>
      <c r="L57" s="3194" t="s">
        <v>3656</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9" zoomScale="85" zoomScaleNormal="70" zoomScaleSheetLayoutView="85" workbookViewId="0">
      <selection activeCell="D26" sqref="D2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11</v>
      </c>
    </row>
    <row r="2" spans="1:9" s="192" customFormat="1" ht="18" customHeight="1">
      <c r="A2" s="193" t="s">
        <v>1462</v>
      </c>
      <c r="B2" s="194">
        <f ca="1">IF(D2="——",C52,C52-E2)</f>
        <v>41328</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4962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8045</v>
      </c>
      <c r="D5" s="203" t="s">
        <v>1469</v>
      </c>
      <c r="E5" s="204" t="s">
        <v>1470</v>
      </c>
      <c r="F5" s="204" t="s">
        <v>1471</v>
      </c>
      <c r="G5" s="205"/>
    </row>
    <row r="6" spans="1:9" s="206" customFormat="1" ht="13.5" customHeight="1">
      <c r="A6" s="730" t="s">
        <v>1472</v>
      </c>
      <c r="B6" s="207" t="s">
        <v>1473</v>
      </c>
      <c r="C6" s="208">
        <f>'土地比较法-工业'!B2</f>
        <v>6190</v>
      </c>
      <c r="D6" s="209"/>
      <c r="E6" s="210"/>
      <c r="F6" s="210"/>
      <c r="G6" s="211"/>
    </row>
    <row r="7" spans="1:9" s="206" customFormat="1" ht="13.5" customHeight="1">
      <c r="A7" s="730" t="s">
        <v>1474</v>
      </c>
      <c r="B7" s="207" t="s">
        <v>1475</v>
      </c>
      <c r="C7" s="212">
        <f>ROUND(C6*F7,0)</f>
        <v>189</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1666</v>
      </c>
      <c r="D8" s="214"/>
      <c r="E8" s="212"/>
      <c r="F8" s="213"/>
      <c r="G8" s="1712" t="s">
        <v>3683</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160</v>
      </c>
      <c r="F9" s="213"/>
      <c r="G9" s="1713" t="s">
        <v>3684</v>
      </c>
      <c r="H9" s="1068"/>
      <c r="I9" s="1714" t="s">
        <v>1479</v>
      </c>
    </row>
    <row r="10" spans="1:9" s="206" customFormat="1" ht="13.5" customHeight="1">
      <c r="A10" s="731" t="s">
        <v>356</v>
      </c>
      <c r="B10" s="216" t="s">
        <v>1480</v>
      </c>
      <c r="C10" s="217">
        <f ca="1">ROUND(D10*E10/10000,0)</f>
        <v>1666</v>
      </c>
      <c r="D10" s="793">
        <f ca="1">IF(B1="",'数据-汇总表'!E6,IF(INDIRECT("'数据-取费表'!c"&amp;$G$1)="住宅",INDIRECT("'数据-取费表'!s"&amp;$G$1),INDIRECT("'数据-取费表'!k"&amp;$G$1)+INDIRECT("'数据-取费表'!s"&amp;$G$1)))</f>
        <v>83292.240000000005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83292.240000000005</v>
      </c>
      <c r="E19" s="203">
        <f>'数据-取费表'!B31</f>
        <v>200</v>
      </c>
      <c r="F19" s="223"/>
      <c r="G19" s="1712" t="s">
        <v>3685</v>
      </c>
    </row>
    <row r="20" spans="1:7" s="206" customFormat="1" ht="13.5" customHeight="1">
      <c r="A20" s="247" t="s">
        <v>1493</v>
      </c>
      <c r="B20" s="202" t="s">
        <v>1494</v>
      </c>
      <c r="C20" s="224">
        <f ca="1">ROUND((C5+C19)*F20,0)</f>
        <v>161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719</v>
      </c>
      <c r="D22" s="227">
        <f ca="1">C26</f>
        <v>8.9999999999999998E-4</v>
      </c>
      <c r="E22" s="228" t="s">
        <v>1498</v>
      </c>
      <c r="F22" s="229">
        <f ca="1">'数据-取费表'!B40</f>
        <v>3.4500000000000003E-2</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712</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7</v>
      </c>
      <c r="D25" s="230"/>
      <c r="E25" s="233"/>
      <c r="F25" s="231"/>
      <c r="G25" s="234" t="s">
        <v>1510</v>
      </c>
    </row>
    <row r="26" spans="1:7" s="206" customFormat="1">
      <c r="A26" s="732"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985</v>
      </c>
      <c r="D27" s="227">
        <f ca="1">C29</f>
        <v>2.3999999999999998E-3</v>
      </c>
      <c r="E27" s="228" t="s">
        <v>1514</v>
      </c>
      <c r="F27" s="238">
        <f ca="1">IF(B1="",'数据-取费表'!Q16,INDIRECT("'数据-取费表'!q"&amp;$G$1))</f>
        <v>0.12</v>
      </c>
      <c r="G27" s="239" t="s">
        <v>1515</v>
      </c>
    </row>
    <row r="28" spans="1:7" s="206" customFormat="1" ht="13.5" customHeight="1">
      <c r="A28" s="732" t="s">
        <v>346</v>
      </c>
      <c r="B28" s="240" t="s">
        <v>1516</v>
      </c>
      <c r="C28" s="241">
        <f ca="1">ROUND((C5+C19+C20)*F27*'数据-取费表'!B21/'数据-取费表'!B20,0)</f>
        <v>985</v>
      </c>
      <c r="D28" s="227"/>
      <c r="E28" s="228"/>
      <c r="F28" s="238"/>
      <c r="G28" s="239"/>
    </row>
    <row r="29" spans="1:7" s="206" customFormat="1" ht="13.5" customHeight="1">
      <c r="A29" s="732" t="s">
        <v>347</v>
      </c>
      <c r="B29" s="240" t="s">
        <v>1517</v>
      </c>
      <c r="C29" s="230">
        <f ca="1">ROUND(C21*F27*'数据-取费表'!B21/'数据-取费表'!B20,4)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10722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33297</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30269</v>
      </c>
      <c r="D34" s="209"/>
      <c r="E34" s="212"/>
      <c r="F34" s="249">
        <f ca="1">IF('数据-取费表'!B24=0,1,IF(B1="",'数据-取费表'!N16,INDIRECT("'数据-取费表'!n"&amp;$G$1)))</f>
        <v>1</v>
      </c>
      <c r="G34" s="211" t="s">
        <v>1526</v>
      </c>
    </row>
    <row r="35" spans="1:7" ht="13.5" customHeight="1">
      <c r="A35" s="732" t="s">
        <v>351</v>
      </c>
      <c r="B35" s="207" t="s">
        <v>1527</v>
      </c>
      <c r="C35" s="212">
        <f ca="1">ROUND(C34*F35,0)</f>
        <v>908</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1666</v>
      </c>
      <c r="D37" s="209">
        <f ca="1">D19</f>
        <v>83292.240000000005</v>
      </c>
      <c r="E37" s="241">
        <f>'数据-取费表'!B35</f>
        <v>200</v>
      </c>
      <c r="F37" s="251"/>
      <c r="G37" s="253" t="s">
        <v>1532</v>
      </c>
    </row>
    <row r="38" spans="1:7" ht="13.5" customHeight="1">
      <c r="A38" s="732" t="s">
        <v>354</v>
      </c>
      <c r="B38" s="207" t="s">
        <v>1533</v>
      </c>
      <c r="C38" s="212">
        <f ca="1">ROUND(C34*F38,0)</f>
        <v>454</v>
      </c>
      <c r="D38" s="212"/>
      <c r="E38" s="212"/>
      <c r="F38" s="251">
        <f>'数据-取费表'!B36</f>
        <v>1.4999999999999999E-2</v>
      </c>
      <c r="G38" s="211" t="s">
        <v>1528</v>
      </c>
    </row>
    <row r="39" spans="1:7" s="206" customFormat="1" ht="13.5" customHeight="1">
      <c r="A39" s="247" t="s">
        <v>1534</v>
      </c>
      <c r="B39" s="202" t="s">
        <v>1535</v>
      </c>
      <c r="C39" s="224">
        <f ca="1">ROUND(C33*F20,0)</f>
        <v>666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1471</v>
      </c>
      <c r="D41" s="227">
        <f ca="1">C44</f>
        <v>8.9999999999999998E-4</v>
      </c>
      <c r="E41" s="228" t="s">
        <v>1539</v>
      </c>
      <c r="F41" s="229">
        <f ca="1">F22</f>
        <v>3.4500000000000003E-2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1442</v>
      </c>
      <c r="D42" s="230"/>
      <c r="E42" s="230"/>
      <c r="F42" s="231"/>
      <c r="G42" s="3405" t="s">
        <v>1544</v>
      </c>
    </row>
    <row r="43" spans="1:7" ht="13.5" customHeight="1">
      <c r="A43" s="732" t="s">
        <v>347</v>
      </c>
      <c r="B43" s="207" t="s">
        <v>1545</v>
      </c>
      <c r="C43" s="230">
        <f ca="1">ROUND(IF('数据-取费表'!B22&lt;=1,C39*F22*'数据-取费表'!B21/2,C39*(POWER((1+F22),'数据-取费表'!B21/2)-1)),0)</f>
        <v>29</v>
      </c>
      <c r="D43" s="230"/>
      <c r="E43" s="230"/>
      <c r="F43" s="231"/>
      <c r="G43" s="3406"/>
    </row>
    <row r="44" spans="1:7" ht="13.5" customHeight="1">
      <c r="A44" s="732" t="s">
        <v>348</v>
      </c>
      <c r="B44" s="207" t="s">
        <v>1546</v>
      </c>
      <c r="C44" s="230">
        <f ca="1">ROUND(IF('数据-取费表'!B22&lt;=1,C40*F22*'数据-取费表'!B21/2,C40*(POWER((1+F22),'数据-取费表'!B21/2)-1)),4)</f>
        <v>8.9999999999999998E-4</v>
      </c>
      <c r="D44" s="230"/>
      <c r="E44" s="230"/>
      <c r="F44" s="231"/>
      <c r="G44" s="3407"/>
    </row>
    <row r="45" spans="1:7" s="206" customFormat="1" ht="13.5" customHeight="1">
      <c r="A45" s="247" t="s">
        <v>1547</v>
      </c>
      <c r="B45" s="236" t="s">
        <v>1513</v>
      </c>
      <c r="C45" s="237">
        <f ca="1">C46</f>
        <v>4076</v>
      </c>
      <c r="D45" s="227">
        <f ca="1">C47</f>
        <v>2.3999999999999998E-3</v>
      </c>
      <c r="E45" s="228" t="s">
        <v>1539</v>
      </c>
      <c r="F45" s="238">
        <f ca="1">F27</f>
        <v>0.12</v>
      </c>
      <c r="G45" s="239" t="s">
        <v>1548</v>
      </c>
    </row>
    <row r="46" spans="1:7" s="206" customFormat="1" ht="13.5" customHeight="1">
      <c r="A46" s="732" t="s">
        <v>346</v>
      </c>
      <c r="B46" s="240" t="s">
        <v>1549</v>
      </c>
      <c r="C46" s="241">
        <f ca="1">ROUND((C33+C39)*F27,0)</f>
        <v>4076</v>
      </c>
      <c r="D46" s="255"/>
      <c r="E46" s="228"/>
      <c r="F46" s="238"/>
      <c r="G46" s="239"/>
    </row>
    <row r="47" spans="1:7" s="206" customFormat="1" ht="13.5" customHeight="1">
      <c r="A47" s="732" t="s">
        <v>347</v>
      </c>
      <c r="B47" s="240" t="s">
        <v>1550</v>
      </c>
      <c r="C47" s="230">
        <f ca="1">ROUND(C40*F27,4)</f>
        <v>2.3999999999999998E-3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42746</v>
      </c>
      <c r="D49" s="224"/>
      <c r="E49" s="224"/>
      <c r="F49" s="256"/>
      <c r="G49" s="226" t="s">
        <v>1554</v>
      </c>
    </row>
    <row r="50" spans="1:7" s="250" customFormat="1" ht="24">
      <c r="A50" s="247" t="s">
        <v>1555</v>
      </c>
      <c r="B50" s="202" t="s">
        <v>1556</v>
      </c>
      <c r="C50" s="224"/>
      <c r="D50" s="224"/>
      <c r="E50" s="224"/>
      <c r="F50" s="256">
        <f>IF('数据-取费表'!B24=0,'数据-取费表'!N16,1)</f>
        <v>0.71599999999999997</v>
      </c>
      <c r="G50" s="239" t="s">
        <v>1557</v>
      </c>
    </row>
    <row r="51" spans="1:7" ht="16.5" customHeight="1">
      <c r="A51" s="247" t="s">
        <v>1558</v>
      </c>
      <c r="B51" s="202" t="s">
        <v>1559</v>
      </c>
      <c r="C51" s="224">
        <f ca="1">ROUND(C49*F50,0)</f>
        <v>30606</v>
      </c>
      <c r="D51" s="224"/>
      <c r="E51" s="224"/>
      <c r="F51" s="256"/>
      <c r="G51" s="226" t="s">
        <v>1560</v>
      </c>
    </row>
    <row r="52" spans="1:7" s="200" customFormat="1" ht="16.5" thickBot="1">
      <c r="A52" s="257" t="s">
        <v>1561</v>
      </c>
      <c r="B52" s="258"/>
      <c r="C52" s="259">
        <f ca="1">C31+C51</f>
        <v>41328</v>
      </c>
      <c r="D52" s="258"/>
      <c r="E52" s="258"/>
      <c r="F52" s="258"/>
      <c r="G52" s="260"/>
    </row>
    <row r="55" spans="1:7" ht="15">
      <c r="B55" s="262" t="s">
        <v>1562</v>
      </c>
      <c r="C55" s="263"/>
    </row>
    <row r="56" spans="1:7">
      <c r="B56" s="265" t="s">
        <v>802</v>
      </c>
      <c r="C56" s="267">
        <f ca="1">1-C57</f>
        <v>0.25900000000000001</v>
      </c>
    </row>
    <row r="57" spans="1:7">
      <c r="B57" s="265" t="s">
        <v>803</v>
      </c>
      <c r="C57" s="266">
        <f ca="1">ROUND(C51/C52,3)</f>
        <v>0.74099999999999999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11</v>
      </c>
      <c r="H1" s="996" t="str">
        <f>IF(ISERROR(FIND("住宅",B1)),"非住宅","住宅")</f>
        <v>非住宅</v>
      </c>
    </row>
    <row r="2" spans="1:8" s="192" customFormat="1" ht="18" customHeight="1">
      <c r="A2" s="193" t="s">
        <v>1462</v>
      </c>
      <c r="B2" s="3119">
        <f ca="1">ROUND(IF(D2="——",C52/10000,C52/10000-E2),4)</f>
        <v>35046.535300000003</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4208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16658448</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16658448</v>
      </c>
      <c r="D8" s="214"/>
      <c r="E8" s="212"/>
      <c r="F8" s="213"/>
      <c r="G8" s="1712"/>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160</v>
      </c>
      <c r="F9" s="213"/>
      <c r="G9" s="218"/>
    </row>
    <row r="10" spans="1:8" s="206" customFormat="1" ht="13.5" customHeight="1">
      <c r="A10" s="731" t="s">
        <v>356</v>
      </c>
      <c r="B10" s="216" t="s">
        <v>1480</v>
      </c>
      <c r="C10" s="217">
        <f ca="1">ROUND(D10*E10,0)</f>
        <v>16658448</v>
      </c>
      <c r="D10" s="793">
        <f ca="1">IF(B1="",'数据-汇总表'!E6,IF(INDIRECT("'数据-取费表'!c"&amp;$G$1)="住宅",INDIRECT("'数据-取费表'!s"&amp;$G$1),INDIRECT("'数据-取费表'!k"&amp;$G$1)+INDIRECT("'数据-取费表'!s"&amp;$G$1)))</f>
        <v>83292.240000000005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16658448</v>
      </c>
      <c r="D19" s="204">
        <f ca="1">D9+D10</f>
        <v>83292.240000000005</v>
      </c>
      <c r="E19" s="203">
        <f>'数据-取费表'!B31</f>
        <v>200</v>
      </c>
      <c r="F19" s="223"/>
      <c r="G19" s="1712"/>
    </row>
    <row r="20" spans="1:7" s="206" customFormat="1" ht="13.5" customHeight="1">
      <c r="A20" s="247" t="s">
        <v>1574</v>
      </c>
      <c r="B20" s="202" t="s">
        <v>1575</v>
      </c>
      <c r="C20" s="224">
        <f ca="1">ROUND((C5+C19)*F20,0)</f>
        <v>666338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2977221</v>
      </c>
      <c r="D22" s="227">
        <f ca="1">C26</f>
        <v>8.9999999999999998E-4</v>
      </c>
      <c r="E22" s="228" t="s">
        <v>1579</v>
      </c>
      <c r="F22" s="229">
        <f ca="1">'数据-取费表'!B40</f>
        <v>3.4500000000000003E-2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1474181</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1474181</v>
      </c>
      <c r="D24" s="230"/>
      <c r="E24" s="230"/>
      <c r="F24" s="231"/>
      <c r="G24" s="232" t="s">
        <v>1586</v>
      </c>
    </row>
    <row r="25" spans="1:7" s="206" customFormat="1" ht="24">
      <c r="A25" s="732" t="s">
        <v>1476</v>
      </c>
      <c r="B25" s="207" t="s">
        <v>1587</v>
      </c>
      <c r="C25" s="230">
        <f ca="1">ROUND(IF('数据-取费表'!B22&lt;=1,C20*F22*'数据-取费表'!B22/2,C20*(POWER((1+F22),'数据-取费表'!B22/2)-1)),0)</f>
        <v>28859</v>
      </c>
      <c r="D25" s="230"/>
      <c r="E25" s="233"/>
      <c r="F25" s="231"/>
      <c r="G25" s="234" t="s">
        <v>1588</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4077988</v>
      </c>
      <c r="D27" s="227">
        <f ca="1">C29</f>
        <v>2.3999999999999998E-3</v>
      </c>
      <c r="E27" s="228" t="s">
        <v>1514</v>
      </c>
      <c r="F27" s="238">
        <f ca="1">IF(B1="",'数据-取费表'!Q16,INDIRECT("'数据-取费表'!q"&amp;$G$1))</f>
        <v>0.12</v>
      </c>
      <c r="G27" s="239" t="s">
        <v>1515</v>
      </c>
    </row>
    <row r="28" spans="1:7" s="206" customFormat="1" ht="13.5" customHeight="1">
      <c r="A28" s="732" t="s">
        <v>346</v>
      </c>
      <c r="B28" s="240" t="s">
        <v>1516</v>
      </c>
      <c r="C28" s="241">
        <f ca="1">ROUND((C5+C19+C20)*F27,0)</f>
        <v>4077988</v>
      </c>
      <c r="D28" s="227"/>
      <c r="E28" s="228"/>
      <c r="F28" s="238"/>
      <c r="G28" s="239"/>
    </row>
    <row r="29" spans="1:7" s="206" customFormat="1" ht="13.5" customHeight="1">
      <c r="A29" s="732" t="s">
        <v>347</v>
      </c>
      <c r="B29" s="240" t="s">
        <v>1517</v>
      </c>
      <c r="C29" s="230">
        <f ca="1">ROUND(C21*F27,4)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44399484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332980977</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302700984</v>
      </c>
      <c r="D34" s="209"/>
      <c r="E34" s="212"/>
      <c r="F34" s="249"/>
      <c r="G34" s="211"/>
    </row>
    <row r="35" spans="1:7" ht="13.5" customHeight="1">
      <c r="A35" s="732" t="s">
        <v>351</v>
      </c>
      <c r="B35" s="207" t="s">
        <v>1527</v>
      </c>
      <c r="C35" s="212">
        <f ca="1">ROUND(C34*F35,0)</f>
        <v>9081030</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16658448</v>
      </c>
      <c r="D37" s="209">
        <f ca="1">D19</f>
        <v>83292.240000000005</v>
      </c>
      <c r="E37" s="241">
        <f>'数据-取费表'!B35</f>
        <v>200</v>
      </c>
      <c r="F37" s="251"/>
      <c r="G37" s="253"/>
    </row>
    <row r="38" spans="1:7" ht="13.5" customHeight="1">
      <c r="A38" s="732" t="s">
        <v>354</v>
      </c>
      <c r="B38" s="207" t="s">
        <v>1533</v>
      </c>
      <c r="C38" s="212">
        <f ca="1">ROUND(C34*F38,0)</f>
        <v>4540515</v>
      </c>
      <c r="D38" s="212"/>
      <c r="E38" s="212"/>
      <c r="F38" s="251">
        <f>'数据-取费表'!B36</f>
        <v>1.4999999999999999E-2</v>
      </c>
      <c r="G38" s="211" t="s">
        <v>1528</v>
      </c>
    </row>
    <row r="39" spans="1:7" s="206" customFormat="1" ht="13.5" customHeight="1">
      <c r="A39" s="247" t="s">
        <v>1534</v>
      </c>
      <c r="B39" s="202" t="s">
        <v>1535</v>
      </c>
      <c r="C39" s="224">
        <f ca="1">ROUND(C33*F20,0)</f>
        <v>6659620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14709629</v>
      </c>
      <c r="D41" s="227">
        <f ca="1">C44</f>
        <v>8.9999999999999998E-4</v>
      </c>
      <c r="E41" s="228" t="s">
        <v>1539</v>
      </c>
      <c r="F41" s="229">
        <f ca="1">F22</f>
        <v>3.4500000000000003E-2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14421205</v>
      </c>
      <c r="D42" s="230"/>
      <c r="E42" s="230"/>
      <c r="F42" s="231"/>
      <c r="G42" s="3405" t="s">
        <v>1591</v>
      </c>
    </row>
    <row r="43" spans="1:7" ht="13.5" customHeight="1">
      <c r="A43" s="732" t="s">
        <v>347</v>
      </c>
      <c r="B43" s="207" t="s">
        <v>1545</v>
      </c>
      <c r="C43" s="230">
        <f ca="1">ROUND(IF('数据-取费表'!B22&lt;=1,C39*F22*'数据-取费表'!B20/2,C39*(POWER((1+F22),'数据-取费表'!B20/2)-1)),0)</f>
        <v>288424</v>
      </c>
      <c r="D43" s="230"/>
      <c r="E43" s="230"/>
      <c r="F43" s="231"/>
      <c r="G43" s="3406"/>
    </row>
    <row r="44" spans="1:7" ht="13.5" customHeight="1">
      <c r="A44" s="732" t="s">
        <v>348</v>
      </c>
      <c r="B44" s="207" t="s">
        <v>1546</v>
      </c>
      <c r="C44" s="230">
        <f ca="1">ROUND(IF('数据-取费表'!B22&lt;=1,C40*F22*'数据-取费表'!B20/2,C40*(POWER((1+F22),'数据-取费表'!B20/2)-1)),4)</f>
        <v>8.9999999999999998E-4</v>
      </c>
      <c r="D44" s="230"/>
      <c r="E44" s="230"/>
      <c r="F44" s="231"/>
      <c r="G44" s="3407"/>
    </row>
    <row r="45" spans="1:7" s="206" customFormat="1" ht="13.5" customHeight="1">
      <c r="A45" s="247" t="s">
        <v>1547</v>
      </c>
      <c r="B45" s="236" t="s">
        <v>1513</v>
      </c>
      <c r="C45" s="237">
        <f ca="1">C46</f>
        <v>40756872</v>
      </c>
      <c r="D45" s="227">
        <f ca="1">C47</f>
        <v>2.3999999999999998E-3</v>
      </c>
      <c r="E45" s="228" t="s">
        <v>1539</v>
      </c>
      <c r="F45" s="238">
        <f ca="1">F27</f>
        <v>0.12</v>
      </c>
      <c r="G45" s="239" t="s">
        <v>1548</v>
      </c>
    </row>
    <row r="46" spans="1:7" s="206" customFormat="1" ht="13.5" customHeight="1">
      <c r="A46" s="732" t="s">
        <v>346</v>
      </c>
      <c r="B46" s="240" t="s">
        <v>1549</v>
      </c>
      <c r="C46" s="241">
        <f ca="1">ROUND((C33+C39)*F27,0)</f>
        <v>40756872</v>
      </c>
      <c r="D46" s="255"/>
      <c r="E46" s="228"/>
      <c r="F46" s="238"/>
      <c r="G46" s="239"/>
    </row>
    <row r="47" spans="1:7" s="206" customFormat="1" ht="13.5" customHeight="1">
      <c r="A47" s="732" t="s">
        <v>347</v>
      </c>
      <c r="B47" s="240" t="s">
        <v>1550</v>
      </c>
      <c r="C47" s="230">
        <f ca="1">ROUND(C40*F27,4)</f>
        <v>2.3999999999999998E-3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427466297</v>
      </c>
      <c r="D49" s="224"/>
      <c r="E49" s="224"/>
      <c r="F49" s="256"/>
      <c r="G49" s="226" t="s">
        <v>1554</v>
      </c>
    </row>
    <row r="50" spans="1:7" s="250" customFormat="1">
      <c r="A50" s="247" t="s">
        <v>1555</v>
      </c>
      <c r="B50" s="202" t="s">
        <v>1556</v>
      </c>
      <c r="C50" s="224"/>
      <c r="D50" s="224"/>
      <c r="E50" s="224"/>
      <c r="F50" s="256">
        <f>IF('数据-取费表'!B24=0,'数据-取费表'!N16,1)</f>
        <v>0.71599999999999997</v>
      </c>
      <c r="G50" s="239"/>
    </row>
    <row r="51" spans="1:7" ht="16.5" customHeight="1">
      <c r="A51" s="247" t="s">
        <v>1558</v>
      </c>
      <c r="B51" s="202" t="s">
        <v>1593</v>
      </c>
      <c r="C51" s="224">
        <f ca="1">ROUND(C49*F50,0)</f>
        <v>306065869</v>
      </c>
      <c r="D51" s="224"/>
      <c r="E51" s="224"/>
      <c r="F51" s="256"/>
      <c r="G51" s="226" t="s">
        <v>1560</v>
      </c>
    </row>
    <row r="52" spans="1:7" s="200" customFormat="1" ht="16.5" thickBot="1">
      <c r="A52" s="257" t="s">
        <v>1561</v>
      </c>
      <c r="B52" s="258"/>
      <c r="C52" s="259">
        <f ca="1">C31+C51</f>
        <v>350465353</v>
      </c>
      <c r="D52" s="258"/>
      <c r="E52" s="258"/>
      <c r="F52" s="258"/>
      <c r="G52" s="260"/>
    </row>
    <row r="55" spans="1:7" ht="15">
      <c r="B55" s="262" t="s">
        <v>1562</v>
      </c>
      <c r="C55" s="263"/>
    </row>
    <row r="56" spans="1:7">
      <c r="B56" s="265" t="s">
        <v>802</v>
      </c>
      <c r="C56" s="267">
        <f ca="1">1-C57</f>
        <v>0.127</v>
      </c>
    </row>
    <row r="57" spans="1:7">
      <c r="B57" s="265" t="s">
        <v>803</v>
      </c>
      <c r="C57" s="266">
        <f ca="1">ROUND(C51/C52,3)</f>
        <v>0.873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8"/>
      <c r="D1" s="1107"/>
      <c r="E1" s="2564"/>
      <c r="F1" s="2564"/>
      <c r="G1" s="2445"/>
      <c r="H1" s="2564"/>
      <c r="I1" s="2564"/>
      <c r="J1" s="2564"/>
      <c r="K1" s="2565">
        <f>MATCH(C1,'数据-取费表'!A6:A16,0)+5</f>
        <v>11</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83292.240000000005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83292.240000000005</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6"/>
      <c r="I19" s="759"/>
      <c r="J19" s="759"/>
      <c r="K19" s="760"/>
    </row>
    <row r="20" spans="1:33" s="753" customFormat="1" ht="13.5" customHeight="1">
      <c r="A20" s="750" t="s">
        <v>361</v>
      </c>
      <c r="B20" s="751" t="s">
        <v>1627</v>
      </c>
      <c r="C20" s="21">
        <f ca="1">ROUND(D20*E20/10000,0)</f>
        <v>1666</v>
      </c>
      <c r="D20" s="794">
        <f ca="1">IF(C1="",'数据-汇总表'!E6,IF(INDIRECT("'数据-取费表'!c"&amp;$K$1)="住宅",INDIRECT("'数据-取费表'!s"&amp;$K$1),INDIRECT("'数据-取费表'!k"&amp;$K$1)+INDIRECT("'数据-取费表'!s"&amp;$K$1)))</f>
        <v>83292.240000000005</v>
      </c>
      <c r="E20" s="21">
        <f>'数据-取费表'!B28</f>
        <v>200</v>
      </c>
      <c r="F20" s="754"/>
      <c r="G20" s="12"/>
      <c r="H20" s="759"/>
      <c r="I20" s="759"/>
      <c r="J20" s="759"/>
      <c r="K20" s="760"/>
    </row>
    <row r="21" spans="1:33" s="753" customFormat="1" ht="13.5" customHeight="1">
      <c r="A21" s="742" t="s">
        <v>357</v>
      </c>
      <c r="B21" s="763" t="s">
        <v>1628</v>
      </c>
      <c r="C21" s="764">
        <f ca="1">C16+C17+C18</f>
        <v>0</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1641</v>
      </c>
      <c r="B28" s="1721" t="s">
        <v>1642</v>
      </c>
      <c r="C28" s="279">
        <f ca="1">C30</f>
        <v>0</v>
      </c>
      <c r="D28" s="272">
        <f ca="1">C29</f>
        <v>0</v>
      </c>
      <c r="E28" s="274" t="s">
        <v>12</v>
      </c>
      <c r="F28" s="280">
        <f ca="1">IF(C1="",'数据-取费表'!Q16,INDIRECT("'数据-取费表'!q"&amp;$K$1))</f>
        <v>0.12</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c r="D1" s="1269" t="s">
        <v>43</v>
      </c>
      <c r="E1" s="1270" t="s">
        <v>678</v>
      </c>
      <c r="F1" s="997">
        <f ca="1">J53</f>
        <v>0</v>
      </c>
      <c r="G1" s="1284">
        <f>MATCH(C1,'数据-取费表'!A6:A16,0)+5</f>
        <v>11</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20" t="e">
        <f ca="1">ROUND(D2/10000,4)</f>
        <v>#DIV/0!</v>
      </c>
      <c r="C2" s="1287" t="s">
        <v>879</v>
      </c>
      <c r="D2" s="1373" t="e">
        <f ca="1">C40+J29+L46</f>
        <v>#DIV/0!</v>
      </c>
      <c r="E2" s="1293" t="s">
        <v>880</v>
      </c>
      <c r="F2" s="1294"/>
      <c r="G2" s="2475"/>
      <c r="H2" s="2465"/>
      <c r="I2" s="2465"/>
      <c r="J2" s="2465"/>
      <c r="K2" s="2466"/>
      <c r="L2" s="2465"/>
      <c r="M2" s="2465"/>
    </row>
    <row r="3" spans="1:37" ht="18" customHeight="1" thickBot="1">
      <c r="A3" s="1295" t="s">
        <v>881</v>
      </c>
      <c r="B3" s="1296">
        <f ca="1">IF(ISERROR(D2/F43),0,ROUND(D2/F43,0))</f>
        <v>0</v>
      </c>
      <c r="C3" s="1287" t="s">
        <v>882</v>
      </c>
      <c r="D3" s="1287"/>
      <c r="E3" s="1293"/>
      <c r="F3" s="1294"/>
      <c r="G3" s="2475"/>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408" t="s">
        <v>694</v>
      </c>
      <c r="C6" s="1009">
        <f ca="1">ROUND(F6*F8*F7*(1-F9),0)</f>
        <v>0</v>
      </c>
      <c r="D6" s="147" t="s">
        <v>2105</v>
      </c>
      <c r="E6" s="294" t="s">
        <v>696</v>
      </c>
      <c r="F6" s="295">
        <f ca="1">INDIRECT("'数据-取费表'!u"&amp;$G$1)</f>
        <v>0</v>
      </c>
      <c r="G6" s="1290"/>
      <c r="H6" s="1004" t="s">
        <v>398</v>
      </c>
      <c r="I6" s="3408" t="s">
        <v>694</v>
      </c>
      <c r="J6" s="293">
        <f ca="1">ROUND(M6*M8*M7*(1-M9),0)</f>
        <v>0</v>
      </c>
      <c r="K6" s="1282" t="s">
        <v>2106</v>
      </c>
      <c r="L6" s="294" t="s">
        <v>696</v>
      </c>
      <c r="M6" s="295">
        <f ca="1">INDIRECT("'数据-取费表'!z"&amp;$G$1)</f>
        <v>0</v>
      </c>
    </row>
    <row r="7" spans="1:37" ht="18" customHeight="1">
      <c r="A7" s="1008"/>
      <c r="B7" s="3409"/>
      <c r="C7" s="1010"/>
      <c r="D7" s="299"/>
      <c r="E7" s="1011" t="s">
        <v>697</v>
      </c>
      <c r="F7" s="295">
        <f ca="1">IF(INDIRECT("'数据-取费表'!ah"&amp;$G$1)="",INDIRECT("'数据-取费表'!k"&amp;$G$1),INDIRECT("'数据-取费表'!ah"&amp;$G$1))</f>
        <v>0</v>
      </c>
      <c r="G7" s="1290"/>
      <c r="H7" s="296"/>
      <c r="I7" s="3409"/>
      <c r="J7" s="298"/>
      <c r="K7" s="299"/>
      <c r="L7" s="294" t="s">
        <v>697</v>
      </c>
      <c r="M7" s="295">
        <f ca="1">F7</f>
        <v>0</v>
      </c>
    </row>
    <row r="8" spans="1:37" ht="18" customHeight="1">
      <c r="A8" s="296"/>
      <c r="B8" s="3409"/>
      <c r="C8" s="298"/>
      <c r="D8" s="299"/>
      <c r="E8" s="294" t="s">
        <v>698</v>
      </c>
      <c r="F8" s="295">
        <f ca="1">INDIRECT("'数据-取费表'!ai"&amp;$G$1)</f>
        <v>0</v>
      </c>
      <c r="G8" s="1290"/>
      <c r="H8" s="296"/>
      <c r="I8" s="3409"/>
      <c r="J8" s="298"/>
      <c r="K8" s="299"/>
      <c r="L8" s="294" t="s">
        <v>698</v>
      </c>
      <c r="M8" s="295">
        <f ca="1">INDIRECT("'数据-取费表'!ai"&amp;$G$1)</f>
        <v>0</v>
      </c>
    </row>
    <row r="9" spans="1:37" ht="18" customHeight="1">
      <c r="A9" s="296"/>
      <c r="B9" s="3410"/>
      <c r="C9" s="298"/>
      <c r="D9" s="299"/>
      <c r="E9" s="294" t="s">
        <v>699</v>
      </c>
      <c r="F9" s="304">
        <f ca="1">INDIRECT("'数据-取费表'!w"&amp;$G$1)</f>
        <v>0</v>
      </c>
      <c r="G9" s="1290"/>
      <c r="H9" s="296"/>
      <c r="I9" s="3410"/>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c r="G10" s="1290"/>
      <c r="H10" s="1004" t="s">
        <v>402</v>
      </c>
      <c r="I10" s="1272" t="s">
        <v>700</v>
      </c>
      <c r="J10" s="293">
        <f ca="1">ROUND(IF(M10="押一",J6/12*M11,IF(M10="押二",J6/12*2*M11,IF(M10="押三",J6/12*3*M11,J11*M11))),0)</f>
        <v>0</v>
      </c>
      <c r="K10" s="1283" t="s">
        <v>2117</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ROUND(F17*(F43+INDIRECT("'数据-取费表'!S"&amp;$G$1)),0)</f>
        <v>0</v>
      </c>
      <c r="D17" s="294" t="s">
        <v>717</v>
      </c>
      <c r="E17" s="294" t="s">
        <v>718</v>
      </c>
      <c r="F17" s="23">
        <f>'数据-取费表'!B35</f>
        <v>200</v>
      </c>
      <c r="G17" s="1301"/>
      <c r="H17" s="926" t="s">
        <v>398</v>
      </c>
      <c r="I17" s="294" t="s">
        <v>719</v>
      </c>
      <c r="J17" s="2136">
        <f ca="1">ROUND(IF(AND(项目基本情况!B11="自然人",项目基本情况!B10="北京市"),J6*M17/(1+'数据-取费表'!C42),J18+J19+J20),0)</f>
        <v>0</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IF(K19="按租金收入计税",ROUND(J6*M19/(1+'数据-取费表'!C42),0),ROUND(C29*M19*0.7,0))</f>
        <v>0</v>
      </c>
      <c r="K19" s="1276" t="s">
        <v>3328</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ROUND(M20*M21,0)</f>
        <v>0</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ROUND(J13*M23,0)</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3.4500000000000003E-2</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ROUND(IF(AND(项目基本情况!B11="自然人",项目基本情况!B10="北京市"),C6*F31/(1+'数据-取费表'!C42),C32+C33+C34),0)</f>
        <v>0</v>
      </c>
      <c r="D31" s="1255" t="s">
        <v>720</v>
      </c>
      <c r="E31" s="1254" t="s">
        <v>770</v>
      </c>
      <c r="F31" s="2135" t="str">
        <f>IF(项目基本情况!B11="企业","——",IF(M47="住宅",IF(F6*F7*F8/12/(1+'数据-取费表'!F30)&gt;100000,4%,2.5%),IF(F6*F7*F8/12/(1+'数据-取费表'!F30)&gt;100000,12%,7%)))</f>
        <v>——</v>
      </c>
      <c r="G31" s="1290"/>
      <c r="H31" s="2566" t="s">
        <v>2298</v>
      </c>
      <c r="I31" s="1303"/>
      <c r="J31" s="1304"/>
      <c r="K31" s="121"/>
      <c r="L31" s="2468"/>
      <c r="M31" s="2469"/>
    </row>
    <row r="32" spans="1:37" ht="18" customHeight="1">
      <c r="A32" s="926" t="s">
        <v>397</v>
      </c>
      <c r="B32" s="294" t="s">
        <v>723</v>
      </c>
      <c r="C32" s="21">
        <f ca="1">IF(项目基本情况!B11="自然人","——",ROUND(C6*F32/(1+'数据-取费表'!C42),0))</f>
        <v>0</v>
      </c>
      <c r="D32" s="1254" t="s">
        <v>724</v>
      </c>
      <c r="E32" s="294" t="s">
        <v>712</v>
      </c>
      <c r="F32" s="322">
        <f>'数据-取费表'!B41</f>
        <v>5.5000000000000007E-2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6" t="s">
        <v>3328</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IF(项目基本情况!B11="自然人","——",ROUND(F34*F35,0))</f>
        <v>0</v>
      </c>
      <c r="D34" s="316" t="s">
        <v>731</v>
      </c>
      <c r="E34" s="294" t="s">
        <v>732</v>
      </c>
      <c r="F34" s="317">
        <f>'数据-取费表'!B52</f>
        <v>1.5</v>
      </c>
      <c r="G34" s="1290"/>
      <c r="H34" s="2467"/>
      <c r="I34" s="1303"/>
      <c r="J34" s="1304"/>
      <c r="K34" s="2472"/>
      <c r="L34" s="2473"/>
      <c r="M34" s="2473"/>
    </row>
    <row r="35" spans="1:18" ht="18" customHeight="1">
      <c r="A35" s="1038"/>
      <c r="B35" s="1036"/>
      <c r="C35" s="26"/>
      <c r="D35" s="319"/>
      <c r="E35" s="294" t="s">
        <v>736</v>
      </c>
      <c r="F35" s="295">
        <f ca="1">INDIRECT("'数据-取费表'!r"&amp;$G$1)</f>
        <v>0</v>
      </c>
      <c r="G35" s="1290"/>
      <c r="H35" s="2467"/>
      <c r="I35" s="1303"/>
      <c r="J35" s="1304"/>
      <c r="K35" s="2471"/>
      <c r="L35" s="2470"/>
      <c r="M35" s="2470"/>
    </row>
    <row r="36" spans="1:18" ht="18" customHeight="1">
      <c r="A36" s="1037" t="s">
        <v>402</v>
      </c>
      <c r="B36" s="294" t="s">
        <v>738</v>
      </c>
      <c r="C36" s="21">
        <f ca="1">ROUND(C29*F36,0)</f>
        <v>0</v>
      </c>
      <c r="D36" s="1254" t="s">
        <v>771</v>
      </c>
      <c r="E36" s="294" t="s">
        <v>712</v>
      </c>
      <c r="F36" s="320">
        <f ca="1">INDIRECT("'数据-取费表'!Ak"&amp;$G$1)</f>
        <v>0</v>
      </c>
      <c r="G36" s="1290"/>
      <c r="H36" s="2470"/>
      <c r="I36" s="1303"/>
      <c r="J36" s="1304"/>
      <c r="K36" s="2327"/>
      <c r="L36" s="2470"/>
      <c r="M36" s="2470"/>
    </row>
    <row r="37" spans="1:18" ht="18" customHeight="1">
      <c r="A37" s="926" t="s">
        <v>437</v>
      </c>
      <c r="B37" s="294" t="s">
        <v>742</v>
      </c>
      <c r="C37" s="21">
        <f ca="1">ROUND(C13*F37,0)</f>
        <v>0</v>
      </c>
      <c r="D37" s="1254" t="s">
        <v>743</v>
      </c>
      <c r="E37" s="294" t="s">
        <v>744</v>
      </c>
      <c r="F37" s="321">
        <f ca="1">INDIRECT("'数据-取费表'!Al"&amp;$G$1)</f>
        <v>0</v>
      </c>
      <c r="G37" s="1290"/>
      <c r="H37" s="2470"/>
      <c r="I37" s="1303"/>
      <c r="J37" s="1304"/>
      <c r="K37" s="2327"/>
      <c r="L37" s="2470"/>
      <c r="M37" s="2470"/>
    </row>
    <row r="38" spans="1:18" ht="18" customHeight="1" thickBot="1">
      <c r="A38" s="1024" t="s">
        <v>684</v>
      </c>
      <c r="B38" s="1025" t="s">
        <v>728</v>
      </c>
      <c r="C38" s="1026">
        <f ca="1">ROUND(C5*F38,0)</f>
        <v>0</v>
      </c>
      <c r="D38" s="1027" t="s">
        <v>748</v>
      </c>
      <c r="E38" s="1025" t="s">
        <v>744</v>
      </c>
      <c r="F38" s="1021">
        <f ca="1">INDIRECT("'数据-取费表'!Am"&amp;$G$1)</f>
        <v>0</v>
      </c>
      <c r="G38" s="1290"/>
      <c r="H38" s="2470"/>
      <c r="I38" s="1303"/>
      <c r="J38" s="1304"/>
      <c r="K38" s="2468"/>
      <c r="L38" s="2470"/>
      <c r="M38" s="2470"/>
    </row>
    <row r="39" spans="1:18" ht="24.6" customHeight="1" thickTop="1">
      <c r="A39" s="1014" t="s">
        <v>394</v>
      </c>
      <c r="B39" s="1029" t="s">
        <v>772</v>
      </c>
      <c r="C39" s="302">
        <f ca="1">C5-C30</f>
        <v>0</v>
      </c>
      <c r="D39" s="1030" t="s">
        <v>773</v>
      </c>
      <c r="E39" s="1031"/>
      <c r="F39" s="1032"/>
      <c r="G39" s="1290"/>
      <c r="H39" s="2470"/>
      <c r="I39" s="1303"/>
      <c r="J39" s="1304"/>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6" t="s">
        <v>3344</v>
      </c>
      <c r="B45" s="1305"/>
      <c r="C45" s="1374" t="e">
        <f ca="1">ROUND((C68-C40)/10000,4)</f>
        <v>#DIV/0!</v>
      </c>
      <c r="D45" s="3127" t="s">
        <v>3345</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2118</v>
      </c>
      <c r="E53" s="305" t="s">
        <v>701</v>
      </c>
      <c r="F53" s="1051"/>
      <c r="I53" s="1342" t="s">
        <v>836</v>
      </c>
      <c r="J53" s="2002">
        <f ca="1">IF(M47="住宅",IF(D1="——",MAX(J51,L48),MAX(J51,L48-'数据-取费表'!B24)),IF(D1="——",MIN(J51,L48),MIN(J51,L48-'数据-取费表'!B24)))</f>
        <v>0</v>
      </c>
      <c r="K53" s="3411" t="s">
        <v>837</v>
      </c>
      <c r="L53" s="3412"/>
      <c r="O53" s="1323" t="s">
        <v>409</v>
      </c>
      <c r="P53" s="1324" t="s">
        <v>838</v>
      </c>
      <c r="Q53" s="1325" t="e">
        <f ca="1">Q47+Q48</f>
        <v>#DIV/0!</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3328</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7">
        <f t="shared" si="0"/>
        <v>1.5</v>
      </c>
      <c r="I62" s="1365" t="s">
        <v>858</v>
      </c>
      <c r="J62" s="610" t="s">
        <v>859</v>
      </c>
      <c r="K62" s="610" t="s">
        <v>860</v>
      </c>
      <c r="L62" s="610"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5" thickBot="1">
      <c r="A66" s="926" t="s">
        <v>793</v>
      </c>
      <c r="B66" s="894" t="s">
        <v>728</v>
      </c>
      <c r="C66" s="21">
        <f ca="1">ROUND(C48*F66,0)</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ROUND(C68/F71,0)</f>
        <v>#DIV/0!</v>
      </c>
      <c r="D71" s="917" t="s">
        <v>777</v>
      </c>
      <c r="E71" s="918" t="s">
        <v>778</v>
      </c>
      <c r="F71" s="330">
        <f ca="1">F43</f>
        <v>0</v>
      </c>
      <c r="O71" s="1332" t="s">
        <v>413</v>
      </c>
      <c r="P71" s="1369" t="s">
        <v>874</v>
      </c>
      <c r="Q71" s="1335">
        <f ca="1">C76</f>
        <v>0</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1" priority="3">
      <formula>$F$10="自定义"</formula>
    </cfRule>
  </conditionalFormatting>
  <conditionalFormatting sqref="C54">
    <cfRule type="expression" dxfId="150" priority="1">
      <formula>$F$53="自定义"</formula>
    </cfRule>
  </conditionalFormatting>
  <conditionalFormatting sqref="I55 I60">
    <cfRule type="expression" dxfId="149" priority="5">
      <formula>$J$51&gt;$L$48</formula>
    </cfRule>
  </conditionalFormatting>
  <conditionalFormatting sqref="J11">
    <cfRule type="expression" dxfId="148" priority="2">
      <formula>$M$10="自定义"</formula>
    </cfRule>
  </conditionalFormatting>
  <conditionalFormatting sqref="K55 K60">
    <cfRule type="expression" dxfId="14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2427</v>
      </c>
      <c r="B1" s="2580"/>
      <c r="C1" s="2592"/>
      <c r="D1" s="2592"/>
      <c r="E1" s="2581"/>
      <c r="F1" s="2582"/>
      <c r="G1" s="2583"/>
      <c r="J1" s="2586" t="s">
        <v>2306</v>
      </c>
      <c r="K1" s="2587"/>
      <c r="L1" s="2587"/>
      <c r="M1" s="2587"/>
      <c r="N1" s="2587"/>
      <c r="O1" s="2587"/>
      <c r="P1" s="2587"/>
      <c r="Q1" s="2587"/>
      <c r="R1" s="2588"/>
      <c r="S1" s="2589"/>
      <c r="T1" s="2589"/>
      <c r="U1" s="2589"/>
    </row>
    <row r="2" spans="1:22" s="2601" customFormat="1" ht="13.15" customHeight="1">
      <c r="A2" s="1291" t="s">
        <v>2307</v>
      </c>
      <c r="B2" s="2591" t="e">
        <f>IF(D2="——",C40,C40+E2)</f>
        <v>#DIV/0!</v>
      </c>
      <c r="C2" s="2592" t="s">
        <v>2308</v>
      </c>
      <c r="D2" s="3135" t="s">
        <v>3351</v>
      </c>
      <c r="E2" s="3136"/>
      <c r="F2" s="2594"/>
      <c r="G2" s="2595"/>
      <c r="H2" s="2596"/>
      <c r="I2" s="2597"/>
      <c r="J2" s="3413" t="s">
        <v>2309</v>
      </c>
      <c r="K2" s="3414"/>
      <c r="L2" s="2598" t="s">
        <v>2310</v>
      </c>
      <c r="M2" s="2598" t="s">
        <v>2311</v>
      </c>
      <c r="N2" s="2598" t="s">
        <v>2312</v>
      </c>
      <c r="O2" s="2598" t="s">
        <v>2313</v>
      </c>
      <c r="P2" s="2598" t="s">
        <v>2314</v>
      </c>
      <c r="Q2" s="2599" t="s">
        <v>2315</v>
      </c>
      <c r="R2" s="2600" t="s">
        <v>2316</v>
      </c>
      <c r="S2" s="2589"/>
      <c r="T2" s="2589"/>
      <c r="U2" s="2589"/>
      <c r="V2" s="2597"/>
    </row>
    <row r="3" spans="1:22" s="2601" customFormat="1" ht="13.15" customHeight="1">
      <c r="A3" s="2602" t="s">
        <v>2317</v>
      </c>
      <c r="B3" s="2603" t="e">
        <f>ROUND(B2*10000/B4,0)</f>
        <v>#DIV/0!</v>
      </c>
      <c r="C3" s="2592" t="s">
        <v>2318</v>
      </c>
      <c r="D3" s="2592"/>
      <c r="E3" s="2593"/>
      <c r="F3" s="2594"/>
      <c r="G3" s="2595"/>
      <c r="H3" s="2596"/>
      <c r="I3" s="2597"/>
      <c r="J3" s="3415" t="s">
        <v>2319</v>
      </c>
      <c r="K3" s="3416"/>
      <c r="L3" s="2604"/>
      <c r="M3" s="2604"/>
      <c r="N3" s="2604"/>
      <c r="O3" s="2604"/>
      <c r="P3" s="2604"/>
      <c r="Q3" s="2605"/>
      <c r="R3" s="2606">
        <f>SUM(L3:Q3)</f>
        <v>0</v>
      </c>
      <c r="S3" s="2589"/>
      <c r="T3" s="2589"/>
      <c r="U3" s="2589"/>
      <c r="V3" s="2597"/>
    </row>
    <row r="4" spans="1:22" s="2601" customFormat="1" ht="13.15" customHeight="1">
      <c r="A4" s="2607" t="s">
        <v>2320</v>
      </c>
      <c r="B4" s="2608"/>
      <c r="C4" s="2592"/>
      <c r="D4" s="2592"/>
      <c r="E4" s="2593"/>
      <c r="F4" s="2594"/>
      <c r="G4" s="2595"/>
      <c r="H4" s="2596"/>
      <c r="I4" s="2597"/>
      <c r="J4" s="3415" t="s">
        <v>2321</v>
      </c>
      <c r="K4" s="3416"/>
      <c r="L4" s="2609"/>
      <c r="M4" s="2609"/>
      <c r="N4" s="2609"/>
      <c r="O4" s="2609"/>
      <c r="P4" s="2609"/>
      <c r="Q4" s="2610"/>
      <c r="R4" s="2611">
        <f>SUM(L4:Q4)</f>
        <v>0</v>
      </c>
      <c r="S4" s="2589"/>
      <c r="T4" s="2589"/>
      <c r="U4" s="2589"/>
      <c r="V4" s="2597"/>
    </row>
    <row r="5" spans="1:22" s="2601" customFormat="1" ht="13.15" customHeight="1" thickBot="1">
      <c r="A5" s="2612" t="s">
        <v>2322</v>
      </c>
      <c r="B5" s="2613"/>
      <c r="C5" s="2592"/>
      <c r="D5" s="2614"/>
      <c r="E5" s="2594"/>
      <c r="F5" s="2594"/>
      <c r="G5" s="2595"/>
      <c r="H5" s="2596"/>
      <c r="I5" s="2597"/>
      <c r="J5" s="2615" t="s">
        <v>2323</v>
      </c>
      <c r="K5" s="2616"/>
      <c r="L5" s="2616"/>
      <c r="M5" s="2617"/>
      <c r="N5" s="2617"/>
      <c r="O5" s="2617"/>
      <c r="P5" s="2617"/>
      <c r="Q5" s="2617"/>
      <c r="R5" s="2600">
        <f>SUM(R14,R19,R24,R25,R27,R28)</f>
        <v>0</v>
      </c>
      <c r="S5" s="2589"/>
      <c r="T5" s="2589" t="s">
        <v>2324</v>
      </c>
      <c r="U5" s="2589" t="e">
        <f>ROUND(R5*10000/365/R3,1)</f>
        <v>#DIV/0!</v>
      </c>
      <c r="V5" s="2597"/>
    </row>
    <row r="6" spans="1:22" s="2601" customFormat="1" ht="13.15" customHeight="1" thickBot="1">
      <c r="A6" s="3417" t="s">
        <v>2325</v>
      </c>
      <c r="B6" s="3418"/>
      <c r="C6" s="3419"/>
      <c r="D6" s="2618"/>
      <c r="E6" s="2619"/>
      <c r="F6" s="2620"/>
      <c r="G6" s="2621"/>
      <c r="H6" s="2596"/>
      <c r="I6" s="2597"/>
      <c r="J6" s="3420">
        <v>1</v>
      </c>
      <c r="K6" s="3421" t="s">
        <v>2326</v>
      </c>
      <c r="L6" s="2622" t="s">
        <v>2327</v>
      </c>
      <c r="M6" s="2623" t="s">
        <v>2328</v>
      </c>
      <c r="N6" s="2623" t="s">
        <v>2329</v>
      </c>
      <c r="O6" s="2623" t="s">
        <v>2330</v>
      </c>
      <c r="P6" s="2623" t="s">
        <v>2331</v>
      </c>
      <c r="Q6" s="2623" t="s">
        <v>2332</v>
      </c>
      <c r="R6" s="2606" t="s">
        <v>2333</v>
      </c>
      <c r="S6" s="2589"/>
      <c r="T6" s="2589" t="s">
        <v>2334</v>
      </c>
      <c r="U6" s="2589"/>
      <c r="V6" s="2597"/>
    </row>
    <row r="7" spans="1:22" s="2601" customFormat="1" ht="13.15" customHeight="1">
      <c r="A7" s="2624" t="s">
        <v>2335</v>
      </c>
      <c r="B7" s="2625"/>
      <c r="C7" s="2626"/>
      <c r="D7" s="2627">
        <f>SUM(D9,D10,D11,D17,0)</f>
        <v>0</v>
      </c>
      <c r="E7" s="2628" t="e">
        <f>E9+E10+E11+E17</f>
        <v>#DIV/0!</v>
      </c>
      <c r="F7" s="2629"/>
      <c r="G7" s="2630"/>
      <c r="H7" s="2596"/>
      <c r="I7" s="2597"/>
      <c r="J7" s="3420"/>
      <c r="K7" s="3422"/>
      <c r="L7" s="2631" t="s">
        <v>2336</v>
      </c>
      <c r="M7" s="2632"/>
      <c r="N7" s="2608"/>
      <c r="O7" s="2633"/>
      <c r="P7" s="2633"/>
      <c r="Q7" s="2634">
        <v>365</v>
      </c>
      <c r="R7" s="2635">
        <f>ROUND(M7*N7*O7*P7*Q7/10000,0)</f>
        <v>0</v>
      </c>
      <c r="S7" s="2589"/>
      <c r="T7" s="2589" t="s">
        <v>2337</v>
      </c>
      <c r="U7" s="2589"/>
      <c r="V7" s="2597"/>
    </row>
    <row r="8" spans="1:22" s="2601" customFormat="1" ht="13.15" customHeight="1">
      <c r="A8" s="2636" t="s">
        <v>2338</v>
      </c>
      <c r="B8" s="3424" t="s">
        <v>2339</v>
      </c>
      <c r="C8" s="3425"/>
      <c r="D8" s="2637" t="s">
        <v>2340</v>
      </c>
      <c r="E8" s="2638" t="s">
        <v>2341</v>
      </c>
      <c r="F8" s="2639" t="s">
        <v>2342</v>
      </c>
      <c r="G8" s="2640"/>
      <c r="H8" s="2596"/>
      <c r="I8" s="2597"/>
      <c r="J8" s="3420"/>
      <c r="K8" s="3422"/>
      <c r="L8" s="2631" t="s">
        <v>2343</v>
      </c>
      <c r="M8" s="2632"/>
      <c r="N8" s="2608"/>
      <c r="O8" s="2633"/>
      <c r="P8" s="2633"/>
      <c r="Q8" s="2634">
        <v>365</v>
      </c>
      <c r="R8" s="2635">
        <f t="shared" ref="R8:R13" si="0">ROUND(M8*N8*O8*P8*Q8/10000,0)</f>
        <v>0</v>
      </c>
      <c r="S8" s="2589"/>
      <c r="T8" s="2589" t="s">
        <v>2344</v>
      </c>
      <c r="U8" s="2589"/>
      <c r="V8" s="2597"/>
    </row>
    <row r="9" spans="1:22" s="2601" customFormat="1" ht="13.15" customHeight="1">
      <c r="A9" s="2636">
        <v>1</v>
      </c>
      <c r="B9" s="3424" t="s">
        <v>2345</v>
      </c>
      <c r="C9" s="3425"/>
      <c r="D9" s="2637">
        <f>ROUND(D6*E9,0)</f>
        <v>0</v>
      </c>
      <c r="E9" s="2641"/>
      <c r="F9" s="2642" t="s">
        <v>2346</v>
      </c>
      <c r="G9" s="2621"/>
      <c r="H9" s="2596"/>
      <c r="I9" s="2597"/>
      <c r="J9" s="3420"/>
      <c r="K9" s="3422"/>
      <c r="L9" s="2631" t="s">
        <v>2347</v>
      </c>
      <c r="M9" s="2632"/>
      <c r="N9" s="2608"/>
      <c r="O9" s="2633"/>
      <c r="P9" s="2633"/>
      <c r="Q9" s="2634">
        <v>365</v>
      </c>
      <c r="R9" s="2635">
        <f t="shared" si="0"/>
        <v>0</v>
      </c>
      <c r="S9" s="2589"/>
      <c r="T9" s="2589"/>
      <c r="U9" s="2589"/>
      <c r="V9" s="2597"/>
    </row>
    <row r="10" spans="1:22" s="2601" customFormat="1" ht="13.15" customHeight="1">
      <c r="A10" s="2636">
        <v>2</v>
      </c>
      <c r="B10" s="3424" t="s">
        <v>2348</v>
      </c>
      <c r="C10" s="3425"/>
      <c r="D10" s="2637">
        <f>ROUND(D6*E10,0)</f>
        <v>0</v>
      </c>
      <c r="E10" s="2641"/>
      <c r="F10" s="2642" t="s">
        <v>2349</v>
      </c>
      <c r="G10" s="2621"/>
      <c r="H10" s="2596"/>
      <c r="I10" s="2597"/>
      <c r="J10" s="3420"/>
      <c r="K10" s="3422"/>
      <c r="L10" s="2631" t="s">
        <v>2350</v>
      </c>
      <c r="M10" s="2632"/>
      <c r="N10" s="2608"/>
      <c r="O10" s="2633"/>
      <c r="P10" s="2633"/>
      <c r="Q10" s="2634">
        <v>365</v>
      </c>
      <c r="R10" s="2635">
        <f t="shared" si="0"/>
        <v>0</v>
      </c>
      <c r="S10" s="2589"/>
      <c r="T10" s="2589"/>
      <c r="U10" s="2589"/>
      <c r="V10" s="2597"/>
    </row>
    <row r="11" spans="1:22" s="2601" customFormat="1" ht="13.15" customHeight="1">
      <c r="A11" s="2636">
        <v>3</v>
      </c>
      <c r="B11" s="3424" t="s">
        <v>2351</v>
      </c>
      <c r="C11" s="3425"/>
      <c r="D11" s="2637">
        <f>D12+D14+D15+D16</f>
        <v>0</v>
      </c>
      <c r="E11" s="2643" t="e">
        <f>D11/D6</f>
        <v>#DIV/0!</v>
      </c>
      <c r="F11" s="2639"/>
      <c r="G11" s="2640"/>
      <c r="H11" s="2596"/>
      <c r="I11" s="2597"/>
      <c r="J11" s="3420"/>
      <c r="K11" s="3422"/>
      <c r="L11" s="2631" t="s">
        <v>2352</v>
      </c>
      <c r="M11" s="2632"/>
      <c r="N11" s="2608"/>
      <c r="O11" s="2633"/>
      <c r="P11" s="2633"/>
      <c r="Q11" s="2634">
        <v>365</v>
      </c>
      <c r="R11" s="2635">
        <f t="shared" si="0"/>
        <v>0</v>
      </c>
      <c r="S11" s="2589"/>
      <c r="T11" s="2589"/>
      <c r="U11" s="2589"/>
      <c r="V11" s="2597"/>
    </row>
    <row r="12" spans="1:22" s="2601" customFormat="1" ht="13.15" customHeight="1">
      <c r="A12" s="2644" t="s">
        <v>2353</v>
      </c>
      <c r="B12" s="3426" t="s">
        <v>2354</v>
      </c>
      <c r="C12" s="3427"/>
      <c r="D12" s="2645">
        <f>ROUND(D13*1.2%*(1-30%),0)</f>
        <v>0</v>
      </c>
      <c r="E12" s="2646">
        <v>1.2E-2</v>
      </c>
      <c r="F12" s="2639" t="s">
        <v>2355</v>
      </c>
      <c r="G12" s="2640"/>
      <c r="H12" s="2596"/>
      <c r="I12" s="2597"/>
      <c r="J12" s="3420"/>
      <c r="K12" s="3422"/>
      <c r="L12" s="2631" t="s">
        <v>2356</v>
      </c>
      <c r="M12" s="2632"/>
      <c r="N12" s="2608"/>
      <c r="O12" s="2633"/>
      <c r="P12" s="2633"/>
      <c r="Q12" s="2634">
        <v>365</v>
      </c>
      <c r="R12" s="2635">
        <f t="shared" si="0"/>
        <v>0</v>
      </c>
      <c r="S12" s="2589"/>
      <c r="T12" s="2589"/>
      <c r="U12" s="2589"/>
      <c r="V12" s="2597"/>
    </row>
    <row r="13" spans="1:22" s="2601" customFormat="1" ht="13.15" customHeight="1">
      <c r="A13" s="2644"/>
      <c r="B13" s="2647"/>
      <c r="C13" s="2648" t="s">
        <v>2357</v>
      </c>
      <c r="D13" s="2649"/>
      <c r="E13" s="2650"/>
      <c r="F13" s="2639"/>
      <c r="G13" s="2640"/>
      <c r="H13" s="2596"/>
      <c r="I13" s="2597"/>
      <c r="J13" s="3420"/>
      <c r="K13" s="3422"/>
      <c r="L13" s="2631" t="s">
        <v>2358</v>
      </c>
      <c r="M13" s="2632"/>
      <c r="N13" s="2608"/>
      <c r="O13" s="2633"/>
      <c r="P13" s="2633"/>
      <c r="Q13" s="2634">
        <v>365</v>
      </c>
      <c r="R13" s="2635">
        <f t="shared" si="0"/>
        <v>0</v>
      </c>
      <c r="S13" s="2589"/>
      <c r="T13" s="2589"/>
      <c r="U13" s="2589"/>
      <c r="V13" s="2597"/>
    </row>
    <row r="14" spans="1:22" s="2601" customFormat="1" ht="13.15" customHeight="1">
      <c r="A14" s="2644" t="s">
        <v>2359</v>
      </c>
      <c r="B14" s="3426" t="s">
        <v>2360</v>
      </c>
      <c r="C14" s="3427"/>
      <c r="D14" s="2645">
        <f>ROUND(E14*B5/10000,0)</f>
        <v>0</v>
      </c>
      <c r="E14" s="2634"/>
      <c r="F14" s="2639" t="s">
        <v>2361</v>
      </c>
      <c r="G14" s="2640"/>
      <c r="H14" s="2596"/>
      <c r="I14" s="2597"/>
      <c r="J14" s="3420"/>
      <c r="K14" s="3423"/>
      <c r="L14" s="2651" t="s">
        <v>2362</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2363</v>
      </c>
      <c r="B15" s="3426" t="s">
        <v>2364</v>
      </c>
      <c r="C15" s="3427"/>
      <c r="D15" s="2645">
        <f>ROUND(D6*E15,0)</f>
        <v>0</v>
      </c>
      <c r="E15" s="2646">
        <v>5.5E-2</v>
      </c>
      <c r="F15" s="2639" t="s">
        <v>2365</v>
      </c>
      <c r="G15" s="2621"/>
      <c r="H15" s="2596"/>
      <c r="I15" s="2597"/>
      <c r="J15" s="3420">
        <v>2</v>
      </c>
      <c r="K15" s="3421" t="s">
        <v>2366</v>
      </c>
      <c r="L15" s="2631" t="s">
        <v>2367</v>
      </c>
      <c r="M15" s="2632" t="s">
        <v>2368</v>
      </c>
      <c r="N15" s="2632" t="s">
        <v>2369</v>
      </c>
      <c r="O15" s="2633" t="s">
        <v>2370</v>
      </c>
      <c r="P15" s="2633" t="s">
        <v>2332</v>
      </c>
      <c r="Q15" s="2608" t="s">
        <v>2371</v>
      </c>
      <c r="R15" s="2655" t="s">
        <v>2333</v>
      </c>
      <c r="S15" s="2589"/>
      <c r="T15" s="2589"/>
      <c r="U15" s="2589"/>
      <c r="V15" s="2597"/>
    </row>
    <row r="16" spans="1:22" s="2601" customFormat="1" ht="13.15" customHeight="1">
      <c r="A16" s="2644" t="s">
        <v>2372</v>
      </c>
      <c r="B16" s="3426" t="s">
        <v>2373</v>
      </c>
      <c r="C16" s="3427"/>
      <c r="D16" s="2656">
        <f>D6*E16</f>
        <v>0</v>
      </c>
      <c r="E16" s="2657"/>
      <c r="F16" s="2642" t="s">
        <v>2374</v>
      </c>
      <c r="G16" s="2621"/>
      <c r="H16" s="2596"/>
      <c r="I16" s="2597"/>
      <c r="J16" s="3420"/>
      <c r="K16" s="3422"/>
      <c r="L16" s="2631" t="s">
        <v>2375</v>
      </c>
      <c r="M16" s="2632"/>
      <c r="N16" s="2632"/>
      <c r="O16" s="2633"/>
      <c r="P16" s="2634">
        <v>365</v>
      </c>
      <c r="Q16" s="2608"/>
      <c r="R16" s="2655">
        <f>ROUND(M16*N16*O16*P16/10000,0)</f>
        <v>0</v>
      </c>
      <c r="S16" s="2589"/>
      <c r="T16" s="2589"/>
      <c r="U16" s="2589"/>
      <c r="V16" s="2597"/>
    </row>
    <row r="17" spans="1:22" s="2601" customFormat="1" ht="13.15" customHeight="1" thickBot="1">
      <c r="A17" s="2658">
        <v>4</v>
      </c>
      <c r="B17" s="3428" t="s">
        <v>2376</v>
      </c>
      <c r="C17" s="3429"/>
      <c r="D17" s="2659">
        <f>ROUND(D6*E17,0)</f>
        <v>0</v>
      </c>
      <c r="E17" s="2660"/>
      <c r="F17" s="2661" t="s">
        <v>2377</v>
      </c>
      <c r="G17" s="2621"/>
      <c r="H17" s="2596"/>
      <c r="I17" s="2597"/>
      <c r="J17" s="3420"/>
      <c r="K17" s="3422"/>
      <c r="L17" s="2631" t="s">
        <v>2378</v>
      </c>
      <c r="M17" s="2632"/>
      <c r="N17" s="2632"/>
      <c r="O17" s="2633"/>
      <c r="P17" s="2634">
        <v>365</v>
      </c>
      <c r="Q17" s="2608"/>
      <c r="R17" s="2655">
        <f>ROUND(M17*N17*O17*P17/10000,0)</f>
        <v>0</v>
      </c>
      <c r="S17" s="2589"/>
      <c r="T17" s="2589"/>
      <c r="U17" s="2589"/>
      <c r="V17" s="2597"/>
    </row>
    <row r="18" spans="1:22" s="2601" customFormat="1" ht="13.15" customHeight="1" thickBot="1">
      <c r="A18" s="2624" t="s">
        <v>2379</v>
      </c>
      <c r="B18" s="2625"/>
      <c r="C18" s="2625"/>
      <c r="D18" s="2662">
        <f>ROUND(D6*E18,0)</f>
        <v>0</v>
      </c>
      <c r="E18" s="2663"/>
      <c r="F18" s="2664" t="s">
        <v>2380</v>
      </c>
      <c r="G18" s="2621"/>
      <c r="H18" s="2596"/>
      <c r="I18" s="2597"/>
      <c r="J18" s="3420"/>
      <c r="K18" s="3422"/>
      <c r="L18" s="2631" t="s">
        <v>2381</v>
      </c>
      <c r="M18" s="2632"/>
      <c r="N18" s="2632"/>
      <c r="O18" s="2633"/>
      <c r="P18" s="2634">
        <v>365</v>
      </c>
      <c r="Q18" s="2608"/>
      <c r="R18" s="2655">
        <f>ROUND(M18*N18*O18*P18/10000,0)</f>
        <v>0</v>
      </c>
      <c r="S18" s="2589"/>
      <c r="T18" s="2589"/>
      <c r="U18" s="2589"/>
      <c r="V18" s="2597"/>
    </row>
    <row r="19" spans="1:22" s="2601" customFormat="1" ht="13.15" customHeight="1" thickBot="1">
      <c r="A19" s="2665" t="s">
        <v>2382</v>
      </c>
      <c r="B19" s="2619"/>
      <c r="C19" s="2619"/>
      <c r="D19" s="2619"/>
      <c r="E19" s="2619"/>
      <c r="F19" s="2620"/>
      <c r="G19" s="2640"/>
      <c r="H19" s="2596"/>
      <c r="I19" s="2597"/>
      <c r="J19" s="3420"/>
      <c r="K19" s="3423"/>
      <c r="L19" s="2651" t="s">
        <v>2362</v>
      </c>
      <c r="M19" s="2652"/>
      <c r="N19" s="2652">
        <f>SUM(N16:N18)</f>
        <v>0</v>
      </c>
      <c r="O19" s="2653"/>
      <c r="P19" s="2666" t="s">
        <v>2426</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20">
        <v>3</v>
      </c>
      <c r="K20" s="3421" t="s">
        <v>2383</v>
      </c>
      <c r="L20" s="2631" t="s">
        <v>2384</v>
      </c>
      <c r="M20" s="2632" t="s">
        <v>2385</v>
      </c>
      <c r="N20" s="2669" t="s">
        <v>2386</v>
      </c>
      <c r="O20" s="2633" t="s">
        <v>2387</v>
      </c>
      <c r="P20" s="2634" t="s">
        <v>2388</v>
      </c>
      <c r="Q20" s="2608" t="s">
        <v>2389</v>
      </c>
      <c r="R20" s="2655" t="s">
        <v>2390</v>
      </c>
      <c r="S20" s="2589"/>
      <c r="T20" s="2589"/>
      <c r="U20" s="2589"/>
      <c r="V20" s="2597"/>
    </row>
    <row r="21" spans="1:22" s="2601" customFormat="1" ht="13.15" customHeight="1">
      <c r="A21" s="2624"/>
      <c r="B21" s="2625"/>
      <c r="C21" s="2670" t="s">
        <v>2391</v>
      </c>
      <c r="D21" s="2671" t="s">
        <v>2392</v>
      </c>
      <c r="E21" s="2672" t="s">
        <v>2393</v>
      </c>
      <c r="F21" s="2668"/>
      <c r="G21" s="2640"/>
      <c r="H21" s="2596"/>
      <c r="I21" s="2597"/>
      <c r="J21" s="3420"/>
      <c r="K21" s="3422"/>
      <c r="L21" s="2631" t="s">
        <v>2394</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2395</v>
      </c>
      <c r="D22" s="2675" t="s">
        <v>2396</v>
      </c>
      <c r="E22" s="2676" t="s">
        <v>2397</v>
      </c>
      <c r="F22" s="2668"/>
      <c r="G22" s="2589"/>
      <c r="H22" s="2596"/>
      <c r="I22" s="2597"/>
      <c r="J22" s="3420"/>
      <c r="K22" s="3422"/>
      <c r="L22" s="2631" t="s">
        <v>2398</v>
      </c>
      <c r="M22" s="2632"/>
      <c r="N22" s="2632"/>
      <c r="O22" s="2633"/>
      <c r="P22" s="2634">
        <v>365</v>
      </c>
      <c r="Q22" s="2608"/>
      <c r="R22" s="2673">
        <f>ROUND(M22*N22*O22*P22/10000,0)</f>
        <v>0</v>
      </c>
      <c r="S22" s="2589"/>
      <c r="T22" s="2589"/>
      <c r="U22" s="2589"/>
      <c r="V22" s="2597"/>
    </row>
    <row r="23" spans="1:22" s="2601" customFormat="1" ht="13.15" customHeight="1">
      <c r="A23" s="2677">
        <v>1</v>
      </c>
      <c r="B23" s="2678" t="s">
        <v>2399</v>
      </c>
      <c r="C23" s="2679">
        <f>D6</f>
        <v>0</v>
      </c>
      <c r="D23" s="2680">
        <f>C23*(1+D24)</f>
        <v>0</v>
      </c>
      <c r="E23" s="2681">
        <f>D23*(1+E24)</f>
        <v>0</v>
      </c>
      <c r="F23" s="2682"/>
      <c r="G23" s="2683"/>
      <c r="H23" s="2596"/>
      <c r="I23" s="2597"/>
      <c r="J23" s="3420"/>
      <c r="K23" s="3422"/>
      <c r="L23" s="2631" t="s">
        <v>2400</v>
      </c>
      <c r="M23" s="2632"/>
      <c r="N23" s="2632"/>
      <c r="O23" s="2633"/>
      <c r="P23" s="2634">
        <v>365</v>
      </c>
      <c r="Q23" s="2608"/>
      <c r="R23" s="2673">
        <f>ROUND(M23*N23*O23*P23/10000,0)</f>
        <v>0</v>
      </c>
      <c r="S23" s="2589"/>
      <c r="T23" s="2589"/>
      <c r="U23" s="2589"/>
      <c r="V23" s="2597"/>
    </row>
    <row r="24" spans="1:22" s="2601" customFormat="1" ht="13.15" customHeight="1">
      <c r="A24" s="2684"/>
      <c r="B24" s="2685" t="s">
        <v>2401</v>
      </c>
      <c r="C24" s="2686"/>
      <c r="D24" s="2687"/>
      <c r="E24" s="2688"/>
      <c r="F24" s="2689"/>
      <c r="G24" s="2683"/>
      <c r="H24" s="2596"/>
      <c r="I24" s="2597"/>
      <c r="J24" s="3420"/>
      <c r="K24" s="3423"/>
      <c r="L24" s="2651" t="s">
        <v>2362</v>
      </c>
      <c r="M24" s="2652">
        <f>SUM(M21:M23)</f>
        <v>0</v>
      </c>
      <c r="N24" s="2652"/>
      <c r="O24" s="2653"/>
      <c r="P24" s="2666" t="s">
        <v>2426</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2402</v>
      </c>
      <c r="L25" s="2692"/>
      <c r="M25" s="2692"/>
      <c r="N25" s="2692"/>
      <c r="O25" s="2692"/>
      <c r="P25" s="2693"/>
      <c r="Q25" s="2694">
        <v>0</v>
      </c>
      <c r="R25" s="2667">
        <f>ROUND(R14*Q25,0)</f>
        <v>0</v>
      </c>
      <c r="S25" s="2589"/>
      <c r="T25" s="2589"/>
      <c r="U25" s="2589"/>
      <c r="V25" s="2695"/>
    </row>
    <row r="26" spans="1:22" s="2696" customFormat="1" ht="13.15" customHeight="1">
      <c r="A26" s="2677">
        <v>2</v>
      </c>
      <c r="B26" s="2678" t="s">
        <v>2403</v>
      </c>
      <c r="C26" s="2679">
        <f>D7</f>
        <v>0</v>
      </c>
      <c r="D26" s="2680">
        <f>D23*D27</f>
        <v>0</v>
      </c>
      <c r="E26" s="2681">
        <f>E23*E27</f>
        <v>0</v>
      </c>
      <c r="F26" s="2682"/>
      <c r="G26" s="2683"/>
      <c r="H26" s="2596"/>
      <c r="I26" s="2597"/>
      <c r="J26" s="3430">
        <v>5</v>
      </c>
      <c r="K26" s="2697" t="s">
        <v>2404</v>
      </c>
      <c r="L26" s="2698"/>
      <c r="M26" s="2699"/>
      <c r="N26" s="2700" t="s">
        <v>2405</v>
      </c>
      <c r="O26" s="2700" t="s">
        <v>2406</v>
      </c>
      <c r="P26" s="2701" t="s">
        <v>2407</v>
      </c>
      <c r="Q26" s="2701" t="s">
        <v>2408</v>
      </c>
      <c r="R26" s="2606" t="s">
        <v>2333</v>
      </c>
      <c r="S26" s="2640"/>
      <c r="T26" s="2640"/>
      <c r="U26" s="2640"/>
      <c r="V26" s="2695"/>
    </row>
    <row r="27" spans="1:22" s="2601" customFormat="1" ht="13.15" customHeight="1">
      <c r="A27" s="2684"/>
      <c r="B27" s="2685" t="s">
        <v>2409</v>
      </c>
      <c r="C27" s="2702" t="e">
        <f>E7</f>
        <v>#DIV/0!</v>
      </c>
      <c r="D27" s="2687"/>
      <c r="E27" s="2688"/>
      <c r="F27" s="2689"/>
      <c r="G27" s="2683"/>
      <c r="H27" s="2703"/>
      <c r="I27" s="2695"/>
      <c r="J27" s="3431"/>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2410</v>
      </c>
      <c r="F28" s="2689"/>
      <c r="G28" s="2589"/>
      <c r="H28" s="2703"/>
      <c r="I28" s="2695"/>
      <c r="J28" s="2709">
        <v>6</v>
      </c>
      <c r="K28" s="2710" t="s">
        <v>2411</v>
      </c>
      <c r="L28" s="2711" t="s">
        <v>2412</v>
      </c>
      <c r="M28" s="2712"/>
      <c r="N28" s="2711" t="s">
        <v>2413</v>
      </c>
      <c r="O28" s="2713"/>
      <c r="P28" s="2711" t="s">
        <v>2414</v>
      </c>
      <c r="Q28" s="2714">
        <v>1.4999999999999999E-2</v>
      </c>
      <c r="R28" s="2715"/>
      <c r="S28" s="2589"/>
      <c r="T28" s="2589"/>
      <c r="U28" s="2589"/>
      <c r="V28" s="2695"/>
    </row>
    <row r="29" spans="1:22" s="2696" customFormat="1" ht="13.15" customHeight="1">
      <c r="A29" s="2677">
        <v>3</v>
      </c>
      <c r="B29" s="2678" t="s">
        <v>2415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2416</v>
      </c>
      <c r="K31" s="2587"/>
      <c r="L31" s="2587"/>
      <c r="M31" s="2587"/>
      <c r="N31" s="2587"/>
      <c r="O31" s="2587"/>
      <c r="P31" s="2587"/>
      <c r="Q31" s="2587"/>
      <c r="R31" s="2588"/>
      <c r="S31" s="2589"/>
      <c r="T31" s="2589"/>
      <c r="U31" s="2589"/>
      <c r="V31" s="2695"/>
    </row>
    <row r="32" spans="1:22" s="2696" customFormat="1" ht="13.15" customHeight="1">
      <c r="A32" s="2677">
        <v>4</v>
      </c>
      <c r="B32" s="2678" t="s">
        <v>2417</v>
      </c>
      <c r="C32" s="2679">
        <f>C23-C26-C29</f>
        <v>0</v>
      </c>
      <c r="D32" s="2680">
        <f>D23-D26-D29</f>
        <v>0</v>
      </c>
      <c r="E32" s="2681">
        <f>E23-E26-E29</f>
        <v>0</v>
      </c>
      <c r="F32" s="2682"/>
      <c r="G32" s="2589"/>
      <c r="H32" s="2596"/>
      <c r="I32" s="2597"/>
      <c r="J32" s="3413" t="s">
        <v>2309</v>
      </c>
      <c r="K32" s="3414"/>
      <c r="L32" s="2598" t="s">
        <v>2310</v>
      </c>
      <c r="M32" s="2598" t="s">
        <v>2311</v>
      </c>
      <c r="N32" s="2598" t="s">
        <v>2312</v>
      </c>
      <c r="O32" s="2598" t="s">
        <v>2313</v>
      </c>
      <c r="P32" s="2598" t="s">
        <v>2314</v>
      </c>
      <c r="Q32" s="2599" t="s">
        <v>2315</v>
      </c>
      <c r="R32" s="2718" t="s">
        <v>2316</v>
      </c>
      <c r="S32" s="2589"/>
      <c r="T32" s="2589"/>
      <c r="U32" s="2589"/>
      <c r="V32" s="2695"/>
    </row>
    <row r="33" spans="1:23" s="2601" customFormat="1" ht="13.15" customHeight="1">
      <c r="A33" s="2677"/>
      <c r="B33" s="2678"/>
      <c r="C33" s="2679"/>
      <c r="D33" s="2719"/>
      <c r="E33" s="2720"/>
      <c r="F33" s="2682"/>
      <c r="G33" s="2589"/>
      <c r="H33" s="2703"/>
      <c r="I33" s="2695"/>
      <c r="J33" s="3415" t="s">
        <v>2319</v>
      </c>
      <c r="K33" s="3416"/>
      <c r="L33" s="2604"/>
      <c r="M33" s="2604"/>
      <c r="N33" s="2604"/>
      <c r="O33" s="2604"/>
      <c r="P33" s="2604"/>
      <c r="Q33" s="2605"/>
      <c r="R33" s="2721">
        <f>SUM(L33:Q33)</f>
        <v>0</v>
      </c>
      <c r="S33" s="2589"/>
      <c r="T33" s="2589"/>
      <c r="U33" s="2589"/>
      <c r="V33" s="2597"/>
    </row>
    <row r="34" spans="1:23" s="2601" customFormat="1" ht="13.15" customHeight="1">
      <c r="A34" s="2677">
        <v>5</v>
      </c>
      <c r="B34" s="2678" t="s">
        <v>2418</v>
      </c>
      <c r="C34" s="2722"/>
      <c r="D34" s="2723"/>
      <c r="E34" s="2724"/>
      <c r="F34" s="2682"/>
      <c r="G34" s="2589"/>
      <c r="H34" s="2703"/>
      <c r="I34" s="2695"/>
      <c r="J34" s="3415" t="s">
        <v>2321</v>
      </c>
      <c r="K34" s="3416"/>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2419</v>
      </c>
      <c r="C35" s="2726"/>
      <c r="D35" s="2727"/>
      <c r="E35" s="2728"/>
      <c r="F35" s="2682"/>
      <c r="G35" s="2729"/>
      <c r="H35" s="2596"/>
      <c r="I35" s="2695"/>
      <c r="J35" s="2615" t="s">
        <v>2323</v>
      </c>
      <c r="K35" s="2616"/>
      <c r="L35" s="2616"/>
      <c r="M35" s="2617"/>
      <c r="N35" s="2617"/>
      <c r="O35" s="2617"/>
      <c r="P35" s="2617"/>
      <c r="Q35" s="2617"/>
      <c r="R35" s="2730">
        <f>R40+R41+R43</f>
        <v>0</v>
      </c>
      <c r="S35" s="2589"/>
      <c r="T35" s="2589" t="s">
        <v>2324</v>
      </c>
      <c r="U35" s="2589"/>
      <c r="V35" s="2597"/>
    </row>
    <row r="36" spans="1:23" s="2601" customFormat="1" ht="13.15" customHeight="1" thickBot="1">
      <c r="A36" s="2677">
        <v>7</v>
      </c>
      <c r="B36" s="2731" t="s">
        <v>2420</v>
      </c>
      <c r="C36" s="2732"/>
      <c r="D36" s="2733"/>
      <c r="E36" s="2734"/>
      <c r="F36" s="2735">
        <f>C36+D36+E36</f>
        <v>0</v>
      </c>
      <c r="G36" s="2589"/>
      <c r="H36" s="2596"/>
      <c r="I36" s="2597"/>
      <c r="J36" s="3420">
        <v>1</v>
      </c>
      <c r="K36" s="3421" t="s">
        <v>2421</v>
      </c>
      <c r="L36" s="2622"/>
      <c r="M36" s="2623"/>
      <c r="N36" s="2623"/>
      <c r="O36" s="2623"/>
      <c r="P36" s="2623"/>
      <c r="Q36" s="2623"/>
      <c r="R36" s="2606" t="s">
        <v>2333</v>
      </c>
      <c r="S36" s="2589"/>
      <c r="T36" s="2589" t="s">
        <v>2334</v>
      </c>
      <c r="U36" s="2589"/>
      <c r="V36" s="2597"/>
    </row>
    <row r="37" spans="1:23" s="2601" customFormat="1" ht="13.15" customHeight="1">
      <c r="A37" s="2677"/>
      <c r="B37" s="2678"/>
      <c r="C37" s="2678"/>
      <c r="D37" s="2678"/>
      <c r="E37" s="2678"/>
      <c r="F37" s="2682"/>
      <c r="G37" s="2589"/>
      <c r="H37" s="2596"/>
      <c r="I37" s="2597"/>
      <c r="J37" s="3420"/>
      <c r="K37" s="3422"/>
      <c r="L37" s="2631"/>
      <c r="M37" s="2632"/>
      <c r="N37" s="2608"/>
      <c r="O37" s="2633"/>
      <c r="P37" s="2633"/>
      <c r="Q37" s="2634"/>
      <c r="R37" s="2635"/>
      <c r="S37" s="2589"/>
      <c r="T37" s="2589" t="s">
        <v>2337</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20"/>
      <c r="K38" s="3422"/>
      <c r="L38" s="2631"/>
      <c r="M38" s="2632"/>
      <c r="N38" s="2608"/>
      <c r="O38" s="2633"/>
      <c r="P38" s="2633"/>
      <c r="Q38" s="2634"/>
      <c r="R38" s="2635"/>
      <c r="S38" s="2589"/>
      <c r="T38" s="2589" t="s">
        <v>2344</v>
      </c>
      <c r="U38" s="2589"/>
      <c r="V38" s="2597"/>
    </row>
    <row r="39" spans="1:23" s="2601" customFormat="1" ht="13.15" customHeight="1">
      <c r="A39" s="2677">
        <v>9</v>
      </c>
      <c r="B39" s="2678" t="s">
        <v>2422</v>
      </c>
      <c r="C39" s="2645" t="e">
        <f>C38</f>
        <v>#DIV/0!</v>
      </c>
      <c r="D39" s="2678">
        <f>D38/(1+D34)^C36</f>
        <v>0</v>
      </c>
      <c r="E39" s="2678">
        <f>E38/(1+E34)^(C36+D36)</f>
        <v>0</v>
      </c>
      <c r="F39" s="2682"/>
      <c r="G39" s="2597"/>
      <c r="H39" s="2596"/>
      <c r="I39" s="2597"/>
      <c r="J39" s="3420"/>
      <c r="K39" s="3422"/>
      <c r="L39" s="2631"/>
      <c r="M39" s="2632"/>
      <c r="N39" s="2608"/>
      <c r="O39" s="2633"/>
      <c r="P39" s="2633"/>
      <c r="Q39" s="2634"/>
      <c r="R39" s="2635"/>
      <c r="S39" s="2589"/>
      <c r="T39" s="2589"/>
      <c r="U39" s="2589"/>
      <c r="V39" s="2597"/>
    </row>
    <row r="40" spans="1:23" s="2601" customFormat="1" ht="13.15" customHeight="1">
      <c r="A40" s="2736">
        <v>10</v>
      </c>
      <c r="B40" s="2678" t="s">
        <v>2423</v>
      </c>
      <c r="C40" s="2737" t="e">
        <f>C39+D39+E39</f>
        <v>#DIV/0!</v>
      </c>
      <c r="D40" s="2738"/>
      <c r="E40" s="2738"/>
      <c r="F40" s="2739"/>
      <c r="G40" s="2589"/>
      <c r="H40" s="2596"/>
      <c r="I40" s="2597"/>
      <c r="J40" s="3420"/>
      <c r="K40" s="3423"/>
      <c r="L40" s="2651" t="s">
        <v>2362</v>
      </c>
      <c r="M40" s="2652"/>
      <c r="N40" s="2652"/>
      <c r="O40" s="2653"/>
      <c r="P40" s="2653"/>
      <c r="Q40" s="2654"/>
      <c r="R40" s="2600">
        <f>SUM(R37:R39)</f>
        <v>0</v>
      </c>
      <c r="S40" s="2589"/>
      <c r="T40" s="2589"/>
      <c r="U40" s="2589"/>
      <c r="V40" s="2597"/>
    </row>
    <row r="41" spans="1:23" s="2601" customFormat="1" ht="13.15" customHeight="1" thickBot="1">
      <c r="A41" s="2740">
        <v>11</v>
      </c>
      <c r="B41" s="2741" t="s">
        <v>2424</v>
      </c>
      <c r="C41" s="2741" t="e">
        <f>ROUND(C40*10000/B4,0)</f>
        <v>#DIV/0!</v>
      </c>
      <c r="D41" s="2742"/>
      <c r="E41" s="2742"/>
      <c r="F41" s="2743"/>
      <c r="G41" s="2596"/>
      <c r="H41" s="2596"/>
      <c r="I41" s="2597"/>
      <c r="J41" s="2690">
        <v>2</v>
      </c>
      <c r="K41" s="2691" t="s">
        <v>2402</v>
      </c>
      <c r="L41" s="2692"/>
      <c r="M41" s="2692"/>
      <c r="N41" s="2692"/>
      <c r="O41" s="2692"/>
      <c r="P41" s="2693"/>
      <c r="Q41" s="2694"/>
      <c r="R41" s="2667">
        <f>ROUND(R40*Q41,0)</f>
        <v>0</v>
      </c>
      <c r="S41" s="2589"/>
      <c r="T41" s="2589"/>
      <c r="U41" s="2640"/>
      <c r="V41" s="2597"/>
    </row>
    <row r="42" spans="1:23" s="2601" customFormat="1" ht="13.15" customHeight="1">
      <c r="G42" s="2596"/>
      <c r="H42" s="2596"/>
      <c r="I42" s="2597"/>
      <c r="J42" s="3430">
        <v>3</v>
      </c>
      <c r="K42" s="2697" t="s">
        <v>2404</v>
      </c>
      <c r="L42" s="2698"/>
      <c r="M42" s="2699"/>
      <c r="N42" s="2700" t="s">
        <v>2405</v>
      </c>
      <c r="O42" s="2700" t="s">
        <v>2406</v>
      </c>
      <c r="P42" s="2701" t="s">
        <v>2407</v>
      </c>
      <c r="Q42" s="2701" t="s">
        <v>2408</v>
      </c>
      <c r="R42" s="2606" t="s">
        <v>2333</v>
      </c>
      <c r="S42" s="2640"/>
      <c r="T42" s="2640"/>
      <c r="U42" s="2589"/>
      <c r="V42" s="2597"/>
    </row>
    <row r="43" spans="1:23" ht="13.15" customHeight="1">
      <c r="A43" s="2601"/>
      <c r="B43" s="2601"/>
      <c r="C43" s="2601"/>
      <c r="D43" s="2601"/>
      <c r="E43" s="2601"/>
      <c r="F43" s="2601"/>
      <c r="I43" s="2584"/>
      <c r="J43" s="3431"/>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2411</v>
      </c>
      <c r="L44" s="2746" t="s">
        <v>2412</v>
      </c>
      <c r="M44" s="2712"/>
      <c r="N44" s="2746" t="s">
        <v>2413</v>
      </c>
      <c r="O44" s="2712"/>
      <c r="P44" s="2746" t="s">
        <v>2414</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85" zoomScaleNormal="60" zoomScaleSheetLayoutView="85" workbookViewId="0">
      <selection activeCell="E44" sqref="E44"/>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F61</f>
        <v>6190</v>
      </c>
      <c r="C2" s="853"/>
      <c r="D2" s="853"/>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743</v>
      </c>
      <c r="C3" s="195" t="s">
        <v>1869</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3"/>
      <c r="M4" s="2484"/>
      <c r="N4" s="2484"/>
      <c r="O4" s="2484"/>
      <c r="P4" s="3451" t="s">
        <v>1775</v>
      </c>
      <c r="Q4" s="3452"/>
      <c r="R4" s="3461" t="s">
        <v>1771</v>
      </c>
      <c r="S4" s="3462"/>
      <c r="T4" s="3461" t="s">
        <v>1772</v>
      </c>
      <c r="U4" s="3462"/>
      <c r="V4" s="3439" t="s">
        <v>1773</v>
      </c>
      <c r="W4" s="3439"/>
      <c r="X4" s="1263"/>
      <c r="Y4" s="3461" t="s">
        <v>1775</v>
      </c>
      <c r="Z4" s="3462"/>
      <c r="AA4" s="3444" t="s">
        <v>1771</v>
      </c>
      <c r="AB4" s="3445" t="s">
        <v>1772</v>
      </c>
      <c r="AC4" s="3444" t="s">
        <v>1773</v>
      </c>
    </row>
    <row r="5" spans="1:29" ht="31.5" customHeight="1">
      <c r="A5" s="348"/>
      <c r="B5" s="349"/>
      <c r="C5" s="3465" t="s">
        <v>1673</v>
      </c>
      <c r="D5" s="3466"/>
      <c r="E5" s="3457" t="str">
        <f>土地案例!A14</f>
        <v>亦庄新城0606街区YZ00-0606-0036地块工业项目</v>
      </c>
      <c r="F5" s="3458"/>
      <c r="G5" s="3465" t="str">
        <f>土地案例!A21</f>
        <v>亦庄新城0606街区YZ00-0606-0041地块工业项目</v>
      </c>
      <c r="H5" s="3466"/>
      <c r="I5" s="3465" t="str">
        <f>土地案例!A22</f>
        <v>亦庄新城0606街区YZ00-0606-0046地块工业项目</v>
      </c>
      <c r="J5" s="3466"/>
      <c r="K5" s="537"/>
      <c r="L5" s="2483"/>
      <c r="M5" s="2484"/>
      <c r="N5" s="2484"/>
      <c r="O5" s="2484"/>
      <c r="P5" s="3453"/>
      <c r="Q5" s="3454"/>
      <c r="R5" s="3463"/>
      <c r="S5" s="3464"/>
      <c r="T5" s="3463"/>
      <c r="U5" s="3464"/>
      <c r="V5" s="3439"/>
      <c r="W5" s="3439"/>
      <c r="X5" s="1263"/>
      <c r="Y5" s="3463"/>
      <c r="Z5" s="3464"/>
      <c r="AA5" s="3445"/>
      <c r="AB5" s="3445"/>
      <c r="AC5" s="3445"/>
    </row>
    <row r="6" spans="1:29" ht="15.75" thickBot="1">
      <c r="A6" s="350"/>
      <c r="B6" s="351"/>
      <c r="C6" s="3467" t="s">
        <v>1919</v>
      </c>
      <c r="D6" s="3468"/>
      <c r="E6" s="3470" t="s">
        <v>1919</v>
      </c>
      <c r="F6" s="3471"/>
      <c r="G6" s="3467" t="s">
        <v>1919</v>
      </c>
      <c r="H6" s="3468"/>
      <c r="I6" s="3467" t="s">
        <v>1919</v>
      </c>
      <c r="J6" s="3468"/>
      <c r="K6" s="537" t="s">
        <v>1678</v>
      </c>
      <c r="L6" s="2483"/>
      <c r="M6" s="2484"/>
      <c r="N6" s="2484"/>
      <c r="O6" s="2484"/>
      <c r="P6" s="3455"/>
      <c r="Q6" s="3456"/>
      <c r="R6" s="3463"/>
      <c r="S6" s="3464"/>
      <c r="T6" s="3472"/>
      <c r="U6" s="3473"/>
      <c r="V6" s="3439"/>
      <c r="W6" s="3439"/>
      <c r="X6" s="1263"/>
      <c r="Y6" s="3472"/>
      <c r="Z6" s="3473"/>
      <c r="AA6" s="3446"/>
      <c r="AB6" s="3446"/>
      <c r="AC6" s="3446"/>
    </row>
    <row r="7" spans="1:29" s="102" customFormat="1" ht="15.75" thickBot="1">
      <c r="A7" s="352" t="s">
        <v>1679</v>
      </c>
      <c r="B7" s="353"/>
      <c r="C7" s="354">
        <f>'数据-取费表'!B2</f>
        <v>45463</v>
      </c>
      <c r="D7" s="355">
        <v>100</v>
      </c>
      <c r="E7" s="356">
        <f>土地案例!G14</f>
        <v>45195.000497685185</v>
      </c>
      <c r="F7" s="357">
        <f>SUMIF(65:65,YEAR(E7)&amp;"-"&amp;INT((MONTH(E7)+2)/3),66:66)</f>
        <v>99.700000000000017</v>
      </c>
      <c r="G7" s="1818">
        <f>土地案例!G21</f>
        <v>45015.000497685185</v>
      </c>
      <c r="H7" s="355">
        <f>SUMIF(65:65,YEAR(G7)&amp;"-"&amp;INT((MONTH(G7)+2)/3),66:66)</f>
        <v>99.500000000000028</v>
      </c>
      <c r="I7" s="1818">
        <f>土地案例!G22</f>
        <v>45015.000497685185</v>
      </c>
      <c r="J7" s="355">
        <f>SUMIF(65:65,YEAR(I7)&amp;"-"&amp;INT((MONTH(I7)+2)/3),66:66)</f>
        <v>99.500000000000028</v>
      </c>
      <c r="K7" s="38"/>
      <c r="L7" s="2485"/>
      <c r="M7" s="2436"/>
      <c r="N7" s="2436"/>
      <c r="O7" s="2436"/>
      <c r="P7" s="3437" t="s">
        <v>1680</v>
      </c>
      <c r="Q7" s="3469"/>
      <c r="R7" s="664" t="s">
        <v>14</v>
      </c>
      <c r="S7" s="665">
        <f t="shared" ref="S7:S15" si="0">F7</f>
        <v>99.700000000000017</v>
      </c>
      <c r="T7" s="664" t="s">
        <v>14</v>
      </c>
      <c r="U7" s="665">
        <f t="shared" ref="U7:U15" si="1">H7</f>
        <v>99.500000000000028</v>
      </c>
      <c r="V7" s="664" t="s">
        <v>14</v>
      </c>
      <c r="W7" s="665">
        <f t="shared" ref="W7:W15" si="2">J7</f>
        <v>99.500000000000028</v>
      </c>
      <c r="X7" s="666"/>
      <c r="Y7" s="3437" t="s">
        <v>1680</v>
      </c>
      <c r="Z7" s="3438"/>
      <c r="AA7" s="50">
        <f>D7/F7</f>
        <v>1.0030090270812435</v>
      </c>
      <c r="AB7" s="50">
        <f>D7/H7</f>
        <v>1.0050251256281404</v>
      </c>
      <c r="AC7" s="50">
        <f>D7/J7</f>
        <v>1.0050251256281404</v>
      </c>
    </row>
    <row r="8" spans="1:29" s="102" customFormat="1" ht="15.75" thickBot="1">
      <c r="A8" s="352" t="s">
        <v>1681</v>
      </c>
      <c r="B8" s="353"/>
      <c r="C8" s="358" t="s">
        <v>1682</v>
      </c>
      <c r="D8" s="355">
        <v>100</v>
      </c>
      <c r="E8" s="358" t="s">
        <v>3671</v>
      </c>
      <c r="F8" s="357">
        <f>SUMIF(68:68,E8,69:69)-SUMIF(68:68,C8,69:69)+100</f>
        <v>100</v>
      </c>
      <c r="G8" s="358" t="s">
        <v>3671</v>
      </c>
      <c r="H8" s="355">
        <f>SUMIF(68:68,G8,69:69)-SUMIF(68:68,C8,69:69)+100</f>
        <v>100</v>
      </c>
      <c r="I8" s="358" t="s">
        <v>3671</v>
      </c>
      <c r="J8" s="355">
        <f>SUMIF(68:68,I8,69:69)-SUMIF(68:68,C8,69:69)+100</f>
        <v>100</v>
      </c>
      <c r="K8" s="38"/>
      <c r="L8" s="2485"/>
      <c r="M8" s="2436"/>
      <c r="N8" s="2436"/>
      <c r="O8" s="2436"/>
      <c r="P8" s="3437" t="s">
        <v>1683</v>
      </c>
      <c r="Q8" s="3438"/>
      <c r="R8" s="664" t="s">
        <v>14</v>
      </c>
      <c r="S8" s="665">
        <f t="shared" si="0"/>
        <v>100</v>
      </c>
      <c r="T8" s="664" t="s">
        <v>14</v>
      </c>
      <c r="U8" s="665">
        <f t="shared" si="1"/>
        <v>100</v>
      </c>
      <c r="V8" s="664" t="s">
        <v>14</v>
      </c>
      <c r="W8" s="665">
        <f t="shared" si="2"/>
        <v>100</v>
      </c>
      <c r="X8" s="666"/>
      <c r="Y8" s="3437" t="s">
        <v>1683</v>
      </c>
      <c r="Z8" s="3438"/>
      <c r="AA8" s="50">
        <f t="shared" ref="AA8:AA40" si="3">D8/F8</f>
        <v>1</v>
      </c>
      <c r="AB8" s="50">
        <f t="shared" ref="AB8:AB40" si="4">D8/H8</f>
        <v>1</v>
      </c>
      <c r="AC8" s="50">
        <f t="shared" ref="AC8:AC40" si="5">D8/J8</f>
        <v>1</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5"/>
      <c r="M9" s="2436"/>
      <c r="N9" s="2436"/>
      <c r="O9" s="2537"/>
      <c r="P9" s="3435"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116</v>
      </c>
      <c r="G10" s="371"/>
      <c r="H10" s="119">
        <f>ROUND(100/'数据-取费表'!G16,0)</f>
        <v>116</v>
      </c>
      <c r="I10" s="371"/>
      <c r="J10" s="119">
        <f>ROUND(100/'数据-取费表'!G16,0)</f>
        <v>116</v>
      </c>
      <c r="K10" s="592"/>
      <c r="L10" s="2486"/>
      <c r="M10" s="2487"/>
      <c r="N10" s="2487"/>
      <c r="O10" s="2538"/>
      <c r="P10" s="3435"/>
      <c r="Q10" s="530" t="str">
        <f t="shared" si="6"/>
        <v>土地使用年限（年）</v>
      </c>
      <c r="R10" s="664" t="s">
        <v>14</v>
      </c>
      <c r="S10" s="665">
        <f t="shared" si="0"/>
        <v>116</v>
      </c>
      <c r="T10" s="664" t="s">
        <v>14</v>
      </c>
      <c r="U10" s="665">
        <f t="shared" si="1"/>
        <v>116</v>
      </c>
      <c r="V10" s="664" t="s">
        <v>14</v>
      </c>
      <c r="W10" s="665">
        <f t="shared" si="2"/>
        <v>116</v>
      </c>
      <c r="X10" s="666"/>
      <c r="Y10" s="3381"/>
      <c r="Z10" s="50" t="str">
        <f t="shared" si="7"/>
        <v>土地使用年限（年）</v>
      </c>
      <c r="AA10" s="50">
        <f t="shared" si="3"/>
        <v>0.86206896551724133</v>
      </c>
      <c r="AB10" s="50">
        <f t="shared" si="4"/>
        <v>0.86206896551724133</v>
      </c>
      <c r="AC10" s="50">
        <f t="shared" si="5"/>
        <v>0.86206896551724133</v>
      </c>
    </row>
    <row r="11" spans="1:29" ht="15">
      <c r="A11" s="367"/>
      <c r="B11" s="364" t="s">
        <v>1689</v>
      </c>
      <c r="C11" s="368">
        <f>'数据-汇总表'!I7</f>
        <v>1.43</v>
      </c>
      <c r="D11" s="119">
        <v>100</v>
      </c>
      <c r="E11" s="368">
        <v>1.5</v>
      </c>
      <c r="F11" s="119">
        <f>LOOKUP(E11,75:75,76:76)-LOOKUP(C11,75:75,76:76)+100</f>
        <v>100</v>
      </c>
      <c r="G11" s="369">
        <v>1.5</v>
      </c>
      <c r="H11" s="119">
        <f>LOOKUP(G11,75:75,76:76)-LOOKUP(C11,75:75,76:76)+100</f>
        <v>100</v>
      </c>
      <c r="I11" s="368">
        <v>1.5</v>
      </c>
      <c r="J11" s="119">
        <f>LOOKUP(I11,75:75,76:76)-LOOKUP(C11,75:75,76:76)+100</f>
        <v>100</v>
      </c>
      <c r="K11" s="593">
        <v>2</v>
      </c>
      <c r="L11" s="2488"/>
      <c r="M11" s="2484"/>
      <c r="N11" s="2484"/>
      <c r="O11" s="2539"/>
      <c r="P11" s="3435"/>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50">
        <f t="shared" si="5"/>
        <v>1</v>
      </c>
    </row>
    <row r="12" spans="1:29" s="102" customFormat="1" ht="15.75" thickBot="1">
      <c r="A12" s="370"/>
      <c r="B12" s="3202" t="s">
        <v>3672</v>
      </c>
      <c r="C12" s="371" t="s">
        <v>3673</v>
      </c>
      <c r="D12" s="372">
        <v>100</v>
      </c>
      <c r="E12" s="480" t="s">
        <v>3674</v>
      </c>
      <c r="F12" s="119">
        <f>SUMIF(77:77,E12,78:78)-SUMIF(77:77,C12,78:78)+100</f>
        <v>100</v>
      </c>
      <c r="G12" s="594" t="s">
        <v>3674</v>
      </c>
      <c r="H12" s="119">
        <f>SUMIF(77:77,G12,78:78)-SUMIF(77:77,C12,78:78)+100</f>
        <v>100</v>
      </c>
      <c r="I12" s="480" t="s">
        <v>3674</v>
      </c>
      <c r="J12" s="119">
        <f>SUMIF(77:77,I12,78:78)-SUMIF(77:77,C12,78:78)+100</f>
        <v>100</v>
      </c>
      <c r="K12" s="592"/>
      <c r="L12" s="2485"/>
      <c r="M12" s="2436"/>
      <c r="N12" s="2436"/>
      <c r="O12" s="2537"/>
      <c r="P12" s="3435"/>
      <c r="Q12" s="530" t="str">
        <f t="shared" si="6"/>
        <v>出让年限</v>
      </c>
      <c r="R12" s="664" t="s">
        <v>14</v>
      </c>
      <c r="S12" s="665">
        <f t="shared" si="0"/>
        <v>100</v>
      </c>
      <c r="T12" s="664" t="s">
        <v>14</v>
      </c>
      <c r="U12" s="665">
        <f t="shared" si="1"/>
        <v>100</v>
      </c>
      <c r="V12" s="664" t="s">
        <v>14</v>
      </c>
      <c r="W12" s="665">
        <f t="shared" si="2"/>
        <v>100</v>
      </c>
      <c r="X12" s="666"/>
      <c r="Y12" s="3381"/>
      <c r="Z12" s="50" t="str">
        <f t="shared" si="7"/>
        <v>出让年限</v>
      </c>
      <c r="AA12" s="50">
        <f>D12/F12</f>
        <v>1</v>
      </c>
      <c r="AB12" s="50">
        <f>D12/H12</f>
        <v>1</v>
      </c>
      <c r="AC12" s="50">
        <f>D12/J12</f>
        <v>1</v>
      </c>
    </row>
    <row r="13" spans="1:29" ht="15" hidden="1">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35"/>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hidden="1"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35"/>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15">
      <c r="A15" s="379" t="s">
        <v>1690</v>
      </c>
      <c r="B15" s="554" t="s">
        <v>1920</v>
      </c>
      <c r="C15" s="1815">
        <f>估价对象房地状况!G15</f>
        <v>0</v>
      </c>
      <c r="D15" s="380">
        <v>100</v>
      </c>
      <c r="E15" s="381"/>
      <c r="F15" s="380">
        <f>SUMIF(83:83,E16,84:84)-SUMIF(83:83,C16,84:84)+100</f>
        <v>100</v>
      </c>
      <c r="G15" s="381"/>
      <c r="H15" s="380">
        <f>SUMIF(83:83,G16,84:84)-SUMIF(83:83,C16,84:84)+100</f>
        <v>100</v>
      </c>
      <c r="I15" s="383"/>
      <c r="J15" s="380">
        <f>SUMIF(83:83,I16,84:84)-SUMIF(83:83,C16,84:84)+100</f>
        <v>100</v>
      </c>
      <c r="K15" s="593">
        <v>2</v>
      </c>
      <c r="L15" s="2489"/>
      <c r="M15" s="2484"/>
      <c r="N15" s="2484"/>
      <c r="O15" s="2539"/>
      <c r="P15" s="3440" t="s">
        <v>1691</v>
      </c>
      <c r="Q15" s="1261" t="str">
        <f t="shared" si="6"/>
        <v>产业集聚程度</v>
      </c>
      <c r="R15" s="667" t="s">
        <v>14</v>
      </c>
      <c r="S15" s="668">
        <f t="shared" si="0"/>
        <v>100</v>
      </c>
      <c r="T15" s="667" t="s">
        <v>14</v>
      </c>
      <c r="U15" s="668">
        <f t="shared" si="1"/>
        <v>100</v>
      </c>
      <c r="V15" s="667" t="s">
        <v>14</v>
      </c>
      <c r="W15" s="668">
        <f t="shared" si="2"/>
        <v>100</v>
      </c>
      <c r="X15" s="1263"/>
      <c r="Y15" s="3440" t="s">
        <v>1691</v>
      </c>
      <c r="Z15" s="1262" t="str">
        <f t="shared" si="7"/>
        <v>产业集聚程度</v>
      </c>
      <c r="AA15" s="1262">
        <f t="shared" si="3"/>
        <v>1</v>
      </c>
      <c r="AB15" s="1262">
        <f t="shared" si="4"/>
        <v>1</v>
      </c>
      <c r="AC15" s="1262">
        <f t="shared" si="5"/>
        <v>1</v>
      </c>
    </row>
    <row r="16" spans="1:29" ht="15">
      <c r="A16" s="367"/>
      <c r="B16" s="555"/>
      <c r="C16" s="386" t="s">
        <v>3676</v>
      </c>
      <c r="D16" s="387"/>
      <c r="E16" s="1756" t="s">
        <v>3676</v>
      </c>
      <c r="F16" s="387"/>
      <c r="G16" s="1756" t="s">
        <v>3676</v>
      </c>
      <c r="H16" s="389"/>
      <c r="I16" s="1756" t="s">
        <v>3676</v>
      </c>
      <c r="J16" s="387"/>
      <c r="K16" s="592"/>
      <c r="L16" s="2489"/>
      <c r="M16" s="2484"/>
      <c r="N16" s="2484"/>
      <c r="O16" s="2539"/>
      <c r="P16" s="3441"/>
      <c r="Q16" s="1261"/>
      <c r="R16" s="667"/>
      <c r="S16" s="668"/>
      <c r="T16" s="667"/>
      <c r="U16" s="668"/>
      <c r="V16" s="667"/>
      <c r="W16" s="668"/>
      <c r="X16" s="1263"/>
      <c r="Y16" s="3441"/>
      <c r="Z16" s="1262"/>
      <c r="AA16" s="1262">
        <v>1</v>
      </c>
      <c r="AB16" s="1262">
        <v>1</v>
      </c>
      <c r="AC16" s="1262">
        <v>1</v>
      </c>
    </row>
    <row r="17" spans="1:29" ht="15">
      <c r="A17" s="367"/>
      <c r="B17" s="556"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3">
        <v>2</v>
      </c>
      <c r="L17" s="2489"/>
      <c r="M17" s="2484"/>
      <c r="N17" s="2484"/>
      <c r="O17" s="2539"/>
      <c r="P17" s="3441"/>
      <c r="Q17" s="1261" t="str">
        <f>B17</f>
        <v>交通便捷度</v>
      </c>
      <c r="R17" s="667" t="s">
        <v>14</v>
      </c>
      <c r="S17" s="668">
        <f>F17</f>
        <v>100</v>
      </c>
      <c r="T17" s="667" t="s">
        <v>14</v>
      </c>
      <c r="U17" s="668">
        <f>H17</f>
        <v>100</v>
      </c>
      <c r="V17" s="667" t="s">
        <v>14</v>
      </c>
      <c r="W17" s="668">
        <f>J17</f>
        <v>100</v>
      </c>
      <c r="X17" s="1263"/>
      <c r="Y17" s="3441"/>
      <c r="Z17" s="1262" t="str">
        <f>Q17</f>
        <v>交通便捷度</v>
      </c>
      <c r="AA17" s="1262">
        <f t="shared" si="3"/>
        <v>1</v>
      </c>
      <c r="AB17" s="1262">
        <f t="shared" si="4"/>
        <v>1</v>
      </c>
      <c r="AC17" s="1262">
        <f t="shared" si="5"/>
        <v>1</v>
      </c>
    </row>
    <row r="18" spans="1:29" ht="15">
      <c r="A18" s="367"/>
      <c r="B18" s="401"/>
      <c r="C18" s="386" t="s">
        <v>3677</v>
      </c>
      <c r="D18" s="387"/>
      <c r="E18" s="1750" t="s">
        <v>3677</v>
      </c>
      <c r="F18" s="387"/>
      <c r="G18" s="1750" t="s">
        <v>3677</v>
      </c>
      <c r="H18" s="387"/>
      <c r="I18" s="1749" t="s">
        <v>3677</v>
      </c>
      <c r="J18" s="387"/>
      <c r="K18" s="592"/>
      <c r="L18" s="2489"/>
      <c r="M18" s="2484"/>
      <c r="N18" s="2484"/>
      <c r="O18" s="2539"/>
      <c r="P18" s="3441"/>
      <c r="Q18" s="1261"/>
      <c r="R18" s="667"/>
      <c r="S18" s="668"/>
      <c r="T18" s="667"/>
      <c r="U18" s="668"/>
      <c r="V18" s="667"/>
      <c r="W18" s="668"/>
      <c r="X18" s="1263"/>
      <c r="Y18" s="3441"/>
      <c r="Z18" s="1262"/>
      <c r="AA18" s="1262">
        <v>1</v>
      </c>
      <c r="AB18" s="1262">
        <v>1</v>
      </c>
      <c r="AC18" s="1262">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v>2</v>
      </c>
      <c r="L19" s="2489"/>
      <c r="M19" s="2484"/>
      <c r="N19" s="2484"/>
      <c r="O19" s="2539"/>
      <c r="P19" s="3441"/>
      <c r="Q19" s="1261" t="str">
        <f t="shared" ref="Q19:Q33" si="8">B19</f>
        <v>区域土地利用方向</v>
      </c>
      <c r="R19" s="667" t="s">
        <v>14</v>
      </c>
      <c r="S19" s="668">
        <f>F19</f>
        <v>100</v>
      </c>
      <c r="T19" s="667" t="s">
        <v>14</v>
      </c>
      <c r="U19" s="668">
        <f>H19</f>
        <v>100</v>
      </c>
      <c r="V19" s="667" t="s">
        <v>14</v>
      </c>
      <c r="W19" s="668">
        <f>J19</f>
        <v>100</v>
      </c>
      <c r="X19" s="1263"/>
      <c r="Y19" s="3441"/>
      <c r="Z19" s="1262" t="str">
        <f>Q19</f>
        <v>区域土地利用方向</v>
      </c>
      <c r="AA19" s="1262">
        <f t="shared" si="3"/>
        <v>1</v>
      </c>
      <c r="AB19" s="1262">
        <f t="shared" si="4"/>
        <v>1</v>
      </c>
      <c r="AC19" s="1262">
        <f t="shared" si="5"/>
        <v>1</v>
      </c>
    </row>
    <row r="20" spans="1:29" ht="15">
      <c r="A20" s="348"/>
      <c r="B20" s="401"/>
      <c r="C20" s="386" t="s">
        <v>3676</v>
      </c>
      <c r="D20" s="387"/>
      <c r="E20" s="1750" t="s">
        <v>3676</v>
      </c>
      <c r="F20" s="387"/>
      <c r="G20" s="1750" t="s">
        <v>3676</v>
      </c>
      <c r="H20" s="387"/>
      <c r="I20" s="1750" t="s">
        <v>3676</v>
      </c>
      <c r="J20" s="387"/>
      <c r="K20" s="696"/>
      <c r="L20" s="2489"/>
      <c r="M20" s="2484"/>
      <c r="N20" s="2484"/>
      <c r="O20" s="2539"/>
      <c r="P20" s="3441"/>
      <c r="Q20" s="1261"/>
      <c r="R20" s="667"/>
      <c r="S20" s="668"/>
      <c r="T20" s="667"/>
      <c r="U20" s="668"/>
      <c r="V20" s="667"/>
      <c r="W20" s="668"/>
      <c r="X20" s="1263"/>
      <c r="Y20" s="3441"/>
      <c r="Z20" s="1262"/>
      <c r="AA20" s="1262"/>
      <c r="AB20" s="1262"/>
      <c r="AC20" s="1262"/>
    </row>
    <row r="21" spans="1:29" ht="15">
      <c r="A21" s="348"/>
      <c r="B21" s="556" t="s">
        <v>1921</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3">
        <v>2</v>
      </c>
      <c r="L21" s="2489"/>
      <c r="M21" s="2484"/>
      <c r="N21" s="2484"/>
      <c r="O21" s="2539"/>
      <c r="P21" s="3441"/>
      <c r="Q21" s="1261" t="str">
        <f t="shared" si="8"/>
        <v>环境状况</v>
      </c>
      <c r="R21" s="667" t="s">
        <v>14</v>
      </c>
      <c r="S21" s="668">
        <f>F21</f>
        <v>100</v>
      </c>
      <c r="T21" s="667" t="s">
        <v>14</v>
      </c>
      <c r="U21" s="668">
        <f>H21</f>
        <v>100</v>
      </c>
      <c r="V21" s="667" t="s">
        <v>14</v>
      </c>
      <c r="W21" s="668">
        <f>J21</f>
        <v>100</v>
      </c>
      <c r="X21" s="1263"/>
      <c r="Y21" s="3441"/>
      <c r="Z21" s="1262" t="str">
        <f>Q21</f>
        <v>环境状况</v>
      </c>
      <c r="AA21" s="1262">
        <f t="shared" si="3"/>
        <v>1</v>
      </c>
      <c r="AB21" s="1262">
        <f t="shared" si="4"/>
        <v>1</v>
      </c>
      <c r="AC21" s="1262">
        <f t="shared" si="5"/>
        <v>1</v>
      </c>
    </row>
    <row r="22" spans="1:29" ht="15">
      <c r="A22" s="348"/>
      <c r="B22" s="401"/>
      <c r="C22" s="386" t="s">
        <v>3677</v>
      </c>
      <c r="D22" s="387"/>
      <c r="E22" s="1756" t="s">
        <v>3677</v>
      </c>
      <c r="F22" s="387"/>
      <c r="G22" s="1756" t="s">
        <v>3677</v>
      </c>
      <c r="H22" s="387"/>
      <c r="I22" s="386" t="s">
        <v>3677</v>
      </c>
      <c r="J22" s="387"/>
      <c r="K22" s="592"/>
      <c r="L22" s="2489"/>
      <c r="M22" s="2484"/>
      <c r="N22" s="2484"/>
      <c r="O22" s="2539"/>
      <c r="P22" s="3441"/>
      <c r="Q22" s="1261"/>
      <c r="R22" s="667"/>
      <c r="S22" s="668"/>
      <c r="T22" s="667"/>
      <c r="U22" s="668"/>
      <c r="V22" s="667"/>
      <c r="W22" s="668"/>
      <c r="X22" s="1263"/>
      <c r="Y22" s="3441"/>
      <c r="Z22" s="1262"/>
      <c r="AA22" s="1262">
        <v>1</v>
      </c>
      <c r="AB22" s="1262">
        <v>1</v>
      </c>
      <c r="AC22" s="1262">
        <v>1</v>
      </c>
    </row>
    <row r="23" spans="1:29" s="102" customFormat="1" ht="15">
      <c r="A23" s="443"/>
      <c r="B23" s="557"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3">
        <v>2</v>
      </c>
      <c r="L23" s="2485"/>
      <c r="M23" s="2436"/>
      <c r="N23" s="2436"/>
      <c r="O23" s="2537"/>
      <c r="P23" s="3441"/>
      <c r="Q23" s="530" t="str">
        <f t="shared" si="8"/>
        <v>公共配套设施</v>
      </c>
      <c r="R23" s="664" t="s">
        <v>14</v>
      </c>
      <c r="S23" s="665">
        <f>F23</f>
        <v>100</v>
      </c>
      <c r="T23" s="664" t="s">
        <v>14</v>
      </c>
      <c r="U23" s="665">
        <f>H23</f>
        <v>100</v>
      </c>
      <c r="V23" s="664" t="s">
        <v>14</v>
      </c>
      <c r="W23" s="665">
        <f>J23</f>
        <v>100</v>
      </c>
      <c r="X23" s="666"/>
      <c r="Y23" s="3441"/>
      <c r="Z23" s="50" t="str">
        <f>Q23</f>
        <v>公共配套设施</v>
      </c>
      <c r="AA23" s="1262">
        <f>D23/F23</f>
        <v>1</v>
      </c>
      <c r="AB23" s="1262">
        <f>D23/H23</f>
        <v>1</v>
      </c>
      <c r="AC23" s="1262">
        <f>D23/J23</f>
        <v>1</v>
      </c>
    </row>
    <row r="24" spans="1:29" s="102" customFormat="1" ht="15">
      <c r="A24" s="443"/>
      <c r="B24" s="401"/>
      <c r="C24" s="1822" t="s">
        <v>3677</v>
      </c>
      <c r="D24" s="387"/>
      <c r="E24" s="1756" t="s">
        <v>3677</v>
      </c>
      <c r="F24" s="387"/>
      <c r="G24" s="1756" t="s">
        <v>3677</v>
      </c>
      <c r="H24" s="387"/>
      <c r="I24" s="386" t="s">
        <v>3677</v>
      </c>
      <c r="J24" s="387"/>
      <c r="K24" s="592"/>
      <c r="L24" s="2485"/>
      <c r="M24" s="2436"/>
      <c r="N24" s="2436"/>
      <c r="O24" s="2537"/>
      <c r="P24" s="3441"/>
      <c r="Q24" s="530"/>
      <c r="R24" s="664"/>
      <c r="S24" s="665"/>
      <c r="T24" s="664"/>
      <c r="U24" s="665"/>
      <c r="V24" s="664"/>
      <c r="W24" s="665"/>
      <c r="X24" s="666"/>
      <c r="Y24" s="3441"/>
      <c r="Z24" s="50"/>
      <c r="AA24" s="50">
        <v>1</v>
      </c>
      <c r="AB24" s="50">
        <v>1</v>
      </c>
      <c r="AC24" s="50">
        <v>1</v>
      </c>
    </row>
    <row r="25" spans="1:29" s="102" customFormat="1" ht="15">
      <c r="A25" s="443"/>
      <c r="B25" s="557"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3">
        <v>2</v>
      </c>
      <c r="L25" s="2485"/>
      <c r="M25" s="2436"/>
      <c r="N25" s="2436"/>
      <c r="O25" s="2537"/>
      <c r="P25" s="3441"/>
      <c r="Q25" s="530" t="str">
        <f t="shared" ref="Q25" si="9">B25</f>
        <v>基础设施水平</v>
      </c>
      <c r="R25" s="664" t="s">
        <v>14</v>
      </c>
      <c r="S25" s="665">
        <f>F25</f>
        <v>100</v>
      </c>
      <c r="T25" s="664" t="s">
        <v>14</v>
      </c>
      <c r="U25" s="665">
        <f>H25</f>
        <v>100</v>
      </c>
      <c r="V25" s="664" t="s">
        <v>14</v>
      </c>
      <c r="W25" s="665">
        <f>J25</f>
        <v>100</v>
      </c>
      <c r="X25" s="666"/>
      <c r="Y25" s="3441"/>
      <c r="Z25" s="50" t="str">
        <f>Q25</f>
        <v>基础设施水平</v>
      </c>
      <c r="AA25" s="1262">
        <f>D25/F25</f>
        <v>1</v>
      </c>
      <c r="AB25" s="1262">
        <f>D25/H25</f>
        <v>1</v>
      </c>
      <c r="AC25" s="1262">
        <f>D25/J25</f>
        <v>1</v>
      </c>
    </row>
    <row r="26" spans="1:29" s="102" customFormat="1" ht="15.75" thickBot="1">
      <c r="A26" s="443"/>
      <c r="B26" s="401"/>
      <c r="C26" s="1822" t="s">
        <v>3678</v>
      </c>
      <c r="D26" s="387"/>
      <c r="E26" s="1822" t="s">
        <v>3678</v>
      </c>
      <c r="F26" s="387"/>
      <c r="G26" s="1822" t="s">
        <v>3678</v>
      </c>
      <c r="H26" s="387"/>
      <c r="I26" s="1822" t="s">
        <v>3678</v>
      </c>
      <c r="J26" s="387"/>
      <c r="K26" s="592"/>
      <c r="L26" s="2485"/>
      <c r="M26" s="2436"/>
      <c r="N26" s="2436"/>
      <c r="O26" s="2537"/>
      <c r="P26" s="3441"/>
      <c r="Q26" s="530"/>
      <c r="R26" s="664"/>
      <c r="S26" s="665"/>
      <c r="T26" s="664"/>
      <c r="U26" s="665"/>
      <c r="V26" s="664"/>
      <c r="W26" s="665"/>
      <c r="X26" s="666"/>
      <c r="Y26" s="3441"/>
      <c r="Z26" s="50"/>
      <c r="AA26" s="50">
        <v>1</v>
      </c>
      <c r="AB26" s="50">
        <v>1</v>
      </c>
      <c r="AC26" s="50">
        <v>1</v>
      </c>
    </row>
    <row r="27" spans="1:29" ht="15" hidden="1">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41"/>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41"/>
      <c r="Z27" s="1262" t="str">
        <f t="shared" ref="Z27:Z40" si="13">Q27</f>
        <v>临街状况</v>
      </c>
      <c r="AA27" s="1262">
        <f t="shared" si="3"/>
        <v>1</v>
      </c>
      <c r="AB27" s="1262">
        <f t="shared" si="4"/>
        <v>1</v>
      </c>
      <c r="AC27" s="1262">
        <f t="shared" si="5"/>
        <v>1</v>
      </c>
    </row>
    <row r="28" spans="1:29" ht="27" hidden="1">
      <c r="A28" s="367"/>
      <c r="B28" s="557"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41"/>
      <c r="Q28" s="1261" t="str">
        <f t="shared" si="8"/>
        <v>毗邻道路的类型与等级</v>
      </c>
      <c r="R28" s="667" t="s">
        <v>14</v>
      </c>
      <c r="S28" s="668">
        <f t="shared" si="10"/>
        <v>100</v>
      </c>
      <c r="T28" s="667" t="s">
        <v>14</v>
      </c>
      <c r="U28" s="668">
        <f t="shared" si="11"/>
        <v>100</v>
      </c>
      <c r="V28" s="667" t="s">
        <v>14</v>
      </c>
      <c r="W28" s="668">
        <f t="shared" si="12"/>
        <v>100</v>
      </c>
      <c r="X28" s="1263"/>
      <c r="Y28" s="3441"/>
      <c r="Z28" s="1262" t="str">
        <f t="shared" si="13"/>
        <v>毗邻道路的类型与等级</v>
      </c>
      <c r="AA28" s="1262">
        <f t="shared" si="3"/>
        <v>1</v>
      </c>
      <c r="AB28" s="1262">
        <f t="shared" si="4"/>
        <v>1</v>
      </c>
      <c r="AC28" s="1262">
        <f t="shared" si="5"/>
        <v>1</v>
      </c>
    </row>
    <row r="29" spans="1:29" ht="15" hidden="1">
      <c r="A29" s="367"/>
      <c r="B29" s="401"/>
      <c r="C29" s="386"/>
      <c r="D29" s="387"/>
      <c r="E29" s="1756"/>
      <c r="F29" s="387"/>
      <c r="G29" s="1756"/>
      <c r="H29" s="387"/>
      <c r="I29" s="1756"/>
      <c r="J29" s="387"/>
      <c r="K29" s="539"/>
      <c r="L29" s="2489"/>
      <c r="M29" s="2484"/>
      <c r="N29" s="2484"/>
      <c r="O29" s="2539"/>
      <c r="P29" s="3441"/>
      <c r="Q29" s="1261"/>
      <c r="R29" s="667"/>
      <c r="S29" s="668"/>
      <c r="T29" s="667"/>
      <c r="U29" s="668"/>
      <c r="V29" s="667"/>
      <c r="W29" s="668"/>
      <c r="X29" s="1263"/>
      <c r="Y29" s="3441"/>
      <c r="Z29" s="1262"/>
      <c r="AA29" s="1262">
        <v>1</v>
      </c>
      <c r="AB29" s="1262">
        <v>1</v>
      </c>
      <c r="AC29" s="1262">
        <v>1</v>
      </c>
    </row>
    <row r="30" spans="1:29" ht="15" hidden="1">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41"/>
      <c r="Q30" s="1261" t="str">
        <f t="shared" si="8"/>
        <v>土地级别</v>
      </c>
      <c r="R30" s="667" t="s">
        <v>14</v>
      </c>
      <c r="S30" s="668">
        <f t="shared" si="10"/>
        <v>100</v>
      </c>
      <c r="T30" s="667" t="s">
        <v>14</v>
      </c>
      <c r="U30" s="668">
        <f t="shared" si="11"/>
        <v>100</v>
      </c>
      <c r="V30" s="667" t="s">
        <v>14</v>
      </c>
      <c r="W30" s="668">
        <f t="shared" si="12"/>
        <v>100</v>
      </c>
      <c r="X30" s="1263"/>
      <c r="Y30" s="3441"/>
      <c r="Z30" s="1262" t="str">
        <f t="shared" si="13"/>
        <v>土地级别</v>
      </c>
      <c r="AA30" s="1262">
        <f t="shared" si="3"/>
        <v>1</v>
      </c>
      <c r="AB30" s="1262">
        <f t="shared" si="4"/>
        <v>1</v>
      </c>
      <c r="AC30" s="1262">
        <f t="shared" si="5"/>
        <v>1</v>
      </c>
    </row>
    <row r="31" spans="1:29" ht="15" hidden="1">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41"/>
      <c r="Q31" s="1261">
        <f t="shared" si="8"/>
        <v>111</v>
      </c>
      <c r="R31" s="667" t="s">
        <v>14</v>
      </c>
      <c r="S31" s="668">
        <f t="shared" si="10"/>
        <v>100</v>
      </c>
      <c r="T31" s="667" t="s">
        <v>14</v>
      </c>
      <c r="U31" s="668">
        <f t="shared" si="11"/>
        <v>100</v>
      </c>
      <c r="V31" s="667" t="s">
        <v>14</v>
      </c>
      <c r="W31" s="668">
        <f t="shared" si="12"/>
        <v>100</v>
      </c>
      <c r="X31" s="1263"/>
      <c r="Y31" s="3441"/>
      <c r="Z31" s="1262">
        <f t="shared" si="13"/>
        <v>111</v>
      </c>
      <c r="AA31" s="1262">
        <f t="shared" si="3"/>
        <v>1</v>
      </c>
      <c r="AB31" s="1262">
        <f t="shared" si="4"/>
        <v>1</v>
      </c>
      <c r="AC31" s="1262">
        <f t="shared" si="5"/>
        <v>1</v>
      </c>
    </row>
    <row r="32" spans="1:29" ht="15" hidden="1">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42" t="s">
        <v>1696</v>
      </c>
      <c r="Q32" s="1261">
        <f t="shared" si="8"/>
        <v>111</v>
      </c>
      <c r="R32" s="667" t="s">
        <v>14</v>
      </c>
      <c r="S32" s="668">
        <f t="shared" si="10"/>
        <v>100</v>
      </c>
      <c r="T32" s="667" t="s">
        <v>14</v>
      </c>
      <c r="U32" s="668">
        <f t="shared" si="11"/>
        <v>100</v>
      </c>
      <c r="V32" s="667" t="s">
        <v>14</v>
      </c>
      <c r="W32" s="668">
        <f t="shared" si="12"/>
        <v>100</v>
      </c>
      <c r="X32" s="1263"/>
      <c r="Y32" s="3443" t="s">
        <v>1696</v>
      </c>
      <c r="Z32" s="1262">
        <f t="shared" si="13"/>
        <v>111</v>
      </c>
      <c r="AA32" s="1262">
        <f t="shared" si="3"/>
        <v>1</v>
      </c>
      <c r="AB32" s="1262">
        <f t="shared" si="4"/>
        <v>1</v>
      </c>
      <c r="AC32" s="1262">
        <f t="shared" si="5"/>
        <v>1</v>
      </c>
    </row>
    <row r="33" spans="1:31" s="408" customFormat="1" ht="15.75" hidden="1"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43"/>
      <c r="Q33" s="1261">
        <f t="shared" si="8"/>
        <v>111</v>
      </c>
      <c r="R33" s="669" t="s">
        <v>14</v>
      </c>
      <c r="S33" s="670">
        <f t="shared" si="10"/>
        <v>100</v>
      </c>
      <c r="T33" s="669" t="s">
        <v>14</v>
      </c>
      <c r="U33" s="670">
        <f t="shared" si="11"/>
        <v>100</v>
      </c>
      <c r="V33" s="669" t="s">
        <v>14</v>
      </c>
      <c r="W33" s="670">
        <f t="shared" si="12"/>
        <v>100</v>
      </c>
      <c r="X33" s="671"/>
      <c r="Y33" s="3443"/>
      <c r="Z33" s="672">
        <f t="shared" si="13"/>
        <v>111</v>
      </c>
      <c r="AA33" s="1262">
        <f t="shared" si="3"/>
        <v>1</v>
      </c>
      <c r="AB33" s="1262">
        <f t="shared" si="4"/>
        <v>1</v>
      </c>
      <c r="AC33" s="1262">
        <f t="shared" si="5"/>
        <v>1</v>
      </c>
    </row>
    <row r="34" spans="1:31" ht="15">
      <c r="A34" s="379" t="s">
        <v>1694</v>
      </c>
      <c r="B34" s="395" t="s">
        <v>1874</v>
      </c>
      <c r="C34" s="599">
        <f>'数据-基础表'!A3</f>
        <v>55606.63</v>
      </c>
      <c r="D34" s="405">
        <v>100</v>
      </c>
      <c r="E34" s="599">
        <f>土地案例!C14</f>
        <v>14975.1</v>
      </c>
      <c r="F34" s="405">
        <f>LOOKUP(E34,108:108,109:109)-LOOKUP(C34,108:108,109:109)+100</f>
        <v>98</v>
      </c>
      <c r="G34" s="599">
        <f>土地案例!C21</f>
        <v>24855</v>
      </c>
      <c r="H34" s="405">
        <f>LOOKUP(G34,108:108,109:109)-LOOKUP(C34,108:108,109:109)+100</f>
        <v>99</v>
      </c>
      <c r="I34" s="462">
        <f>土地案例!C22</f>
        <v>25945.1</v>
      </c>
      <c r="J34" s="405">
        <f>LOOKUP(I34,108:108,109:109)-LOOKUP(C34,108:108,109:109)+100</f>
        <v>99</v>
      </c>
      <c r="K34" s="539"/>
      <c r="L34" s="2489"/>
      <c r="M34" s="2484"/>
      <c r="N34" s="2484"/>
      <c r="O34" s="2539"/>
      <c r="P34" s="3443"/>
      <c r="Q34" s="1261" t="str">
        <f>B34</f>
        <v>宗地面积</v>
      </c>
      <c r="R34" s="667" t="s">
        <v>14</v>
      </c>
      <c r="S34" s="668">
        <f t="shared" si="10"/>
        <v>98</v>
      </c>
      <c r="T34" s="667" t="s">
        <v>14</v>
      </c>
      <c r="U34" s="668">
        <f t="shared" si="11"/>
        <v>99</v>
      </c>
      <c r="V34" s="667" t="s">
        <v>14</v>
      </c>
      <c r="W34" s="668">
        <f t="shared" si="12"/>
        <v>99</v>
      </c>
      <c r="X34" s="1263"/>
      <c r="Y34" s="3443"/>
      <c r="Z34" s="1262" t="str">
        <f t="shared" si="13"/>
        <v>宗地面积</v>
      </c>
      <c r="AA34" s="1262">
        <f t="shared" si="3"/>
        <v>1.0204081632653061</v>
      </c>
      <c r="AB34" s="1262">
        <f t="shared" si="4"/>
        <v>1.0101010101010102</v>
      </c>
      <c r="AC34" s="1262">
        <f t="shared" si="5"/>
        <v>1.0101010101010102</v>
      </c>
    </row>
    <row r="35" spans="1:31" ht="15">
      <c r="A35" s="409"/>
      <c r="B35" s="364" t="s">
        <v>1875</v>
      </c>
      <c r="C35" s="1758" t="s">
        <v>3679</v>
      </c>
      <c r="D35" s="374">
        <v>100</v>
      </c>
      <c r="E35" s="1758" t="s">
        <v>3679</v>
      </c>
      <c r="F35" s="374">
        <f>SUMIF(110:110,E35,111:111)-SUMIF(110:110,C35,111:111)+100</f>
        <v>100</v>
      </c>
      <c r="G35" s="1758" t="s">
        <v>3679</v>
      </c>
      <c r="H35" s="374">
        <f>SUMIF(110:110,G35,111:111)-SUMIF(110:110,C35,111:111)+100</f>
        <v>100</v>
      </c>
      <c r="I35" s="1758" t="s">
        <v>3679</v>
      </c>
      <c r="J35" s="374">
        <f>SUMIF(110:110,I35,111:111)-SUMIF(110:110,C35,111:111)+100</f>
        <v>100</v>
      </c>
      <c r="K35" s="538">
        <v>2</v>
      </c>
      <c r="L35" s="2489"/>
      <c r="M35" s="2484"/>
      <c r="N35" s="2484"/>
      <c r="O35" s="2539"/>
      <c r="P35" s="3443"/>
      <c r="Q35" s="1261" t="str">
        <f t="shared" ref="Q35:Q40" si="14">B35</f>
        <v>宗地形状</v>
      </c>
      <c r="R35" s="667" t="s">
        <v>14</v>
      </c>
      <c r="S35" s="668">
        <f t="shared" si="10"/>
        <v>100</v>
      </c>
      <c r="T35" s="667" t="s">
        <v>14</v>
      </c>
      <c r="U35" s="668">
        <f t="shared" si="11"/>
        <v>100</v>
      </c>
      <c r="V35" s="667" t="s">
        <v>14</v>
      </c>
      <c r="W35" s="668">
        <f t="shared" si="12"/>
        <v>100</v>
      </c>
      <c r="X35" s="1263"/>
      <c r="Y35" s="3443"/>
      <c r="Z35" s="1262" t="str">
        <f t="shared" si="13"/>
        <v>宗地形状</v>
      </c>
      <c r="AA35" s="1262">
        <f t="shared" si="3"/>
        <v>1</v>
      </c>
      <c r="AB35" s="1262">
        <f t="shared" si="4"/>
        <v>1</v>
      </c>
      <c r="AC35" s="1262">
        <f t="shared" si="5"/>
        <v>1</v>
      </c>
    </row>
    <row r="36" spans="1:31" s="102" customFormat="1" ht="15">
      <c r="A36" s="410"/>
      <c r="B36" s="364" t="s">
        <v>1877</v>
      </c>
      <c r="C36" s="1824" t="s">
        <v>3680</v>
      </c>
      <c r="D36" s="119">
        <v>100</v>
      </c>
      <c r="E36" s="1824" t="s">
        <v>3678</v>
      </c>
      <c r="F36" s="374">
        <f>SUMIF(112:112,E36,113:113)-SUMIF(112:112,C36,113:113)+100</f>
        <v>102</v>
      </c>
      <c r="G36" s="1824" t="s">
        <v>3678</v>
      </c>
      <c r="H36" s="374">
        <f>SUMIF(112:112,G36,113:113)-SUMIF(112:112,C36,113:113)+100</f>
        <v>102</v>
      </c>
      <c r="I36" s="1824" t="s">
        <v>3678</v>
      </c>
      <c r="J36" s="374">
        <f>SUMIF(112:112,I36,113:113)-SUMIF(112:112,C36,113:113)+100</f>
        <v>102</v>
      </c>
      <c r="K36" s="538">
        <v>1</v>
      </c>
      <c r="L36" s="2485"/>
      <c r="M36" s="2436"/>
      <c r="N36" s="2436"/>
      <c r="O36" s="2537"/>
      <c r="P36" s="3443"/>
      <c r="Q36" s="1261" t="str">
        <f t="shared" si="14"/>
        <v>宗地开发程度</v>
      </c>
      <c r="R36" s="664" t="s">
        <v>14</v>
      </c>
      <c r="S36" s="665">
        <f t="shared" si="10"/>
        <v>102</v>
      </c>
      <c r="T36" s="664" t="s">
        <v>14</v>
      </c>
      <c r="U36" s="665">
        <f t="shared" si="11"/>
        <v>102</v>
      </c>
      <c r="V36" s="664" t="s">
        <v>14</v>
      </c>
      <c r="W36" s="665">
        <f t="shared" si="12"/>
        <v>102</v>
      </c>
      <c r="X36" s="666"/>
      <c r="Y36" s="3443"/>
      <c r="Z36" s="50" t="str">
        <f t="shared" si="13"/>
        <v>宗地开发程度</v>
      </c>
      <c r="AA36" s="50">
        <f t="shared" si="3"/>
        <v>0.98039215686274506</v>
      </c>
      <c r="AB36" s="50">
        <f t="shared" si="4"/>
        <v>0.98039215686274506</v>
      </c>
      <c r="AC36" s="50">
        <f t="shared" si="5"/>
        <v>0.98039215686274506</v>
      </c>
    </row>
    <row r="37" spans="1:31" ht="15.75" thickBot="1">
      <c r="A37" s="409"/>
      <c r="B37" s="364" t="s">
        <v>1878</v>
      </c>
      <c r="C37" s="1758" t="s">
        <v>3676</v>
      </c>
      <c r="D37" s="374">
        <v>100</v>
      </c>
      <c r="E37" s="1758" t="s">
        <v>3676</v>
      </c>
      <c r="F37" s="374">
        <f>SUMIF(114:114,E37,115:115)-SUMIF(114:114,C37,115:115)+100</f>
        <v>100</v>
      </c>
      <c r="G37" s="1758" t="s">
        <v>3676</v>
      </c>
      <c r="H37" s="374">
        <f>SUMIF(114:114,G37,115:115)-SUMIF(114:114,C37,115:115)+100</f>
        <v>100</v>
      </c>
      <c r="I37" s="1758" t="s">
        <v>3676</v>
      </c>
      <c r="J37" s="374">
        <f>SUMIF(114:114,I37,115:115)-SUMIF(114:114,C37,115:115)+100</f>
        <v>100</v>
      </c>
      <c r="K37" s="538">
        <v>2</v>
      </c>
      <c r="L37" s="2489"/>
      <c r="M37" s="2484"/>
      <c r="N37" s="2484"/>
      <c r="O37" s="2539"/>
      <c r="P37" s="3443" t="s">
        <v>1696</v>
      </c>
      <c r="Q37" s="1261" t="str">
        <f t="shared" si="14"/>
        <v>工程地质条件</v>
      </c>
      <c r="R37" s="667" t="s">
        <v>14</v>
      </c>
      <c r="S37" s="668">
        <f t="shared" si="10"/>
        <v>100</v>
      </c>
      <c r="T37" s="667" t="s">
        <v>14</v>
      </c>
      <c r="U37" s="668">
        <f t="shared" si="11"/>
        <v>100</v>
      </c>
      <c r="V37" s="667" t="s">
        <v>14</v>
      </c>
      <c r="W37" s="668">
        <f t="shared" si="12"/>
        <v>100</v>
      </c>
      <c r="X37" s="1263"/>
      <c r="Y37" s="3443" t="s">
        <v>1696</v>
      </c>
      <c r="Z37" s="1262" t="str">
        <f t="shared" si="13"/>
        <v>工程地质条件</v>
      </c>
      <c r="AA37" s="1262">
        <f t="shared" si="3"/>
        <v>1</v>
      </c>
      <c r="AB37" s="1262">
        <f t="shared" si="4"/>
        <v>1</v>
      </c>
      <c r="AC37" s="1262">
        <f t="shared" si="5"/>
        <v>1</v>
      </c>
    </row>
    <row r="38" spans="1:31" ht="15" hidden="1">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43"/>
      <c r="Q38" s="1261">
        <f t="shared" si="14"/>
        <v>111</v>
      </c>
      <c r="R38" s="667" t="s">
        <v>14</v>
      </c>
      <c r="S38" s="668">
        <f t="shared" si="10"/>
        <v>100</v>
      </c>
      <c r="T38" s="667" t="s">
        <v>14</v>
      </c>
      <c r="U38" s="668">
        <f t="shared" si="11"/>
        <v>100</v>
      </c>
      <c r="V38" s="667" t="s">
        <v>14</v>
      </c>
      <c r="W38" s="668">
        <f t="shared" si="12"/>
        <v>100</v>
      </c>
      <c r="X38" s="1263"/>
      <c r="Y38" s="3443"/>
      <c r="Z38" s="1262">
        <f t="shared" si="13"/>
        <v>111</v>
      </c>
      <c r="AA38" s="1262">
        <f t="shared" si="3"/>
        <v>1</v>
      </c>
      <c r="AB38" s="1262">
        <f t="shared" si="4"/>
        <v>1</v>
      </c>
      <c r="AC38" s="1262">
        <f t="shared" si="5"/>
        <v>1</v>
      </c>
    </row>
    <row r="39" spans="1:31" ht="15" hidden="1">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43"/>
      <c r="Q39" s="1261">
        <f t="shared" si="14"/>
        <v>111</v>
      </c>
      <c r="R39" s="667" t="s">
        <v>14</v>
      </c>
      <c r="S39" s="668">
        <f t="shared" si="10"/>
        <v>100</v>
      </c>
      <c r="T39" s="667" t="s">
        <v>14</v>
      </c>
      <c r="U39" s="668">
        <f t="shared" si="11"/>
        <v>100</v>
      </c>
      <c r="V39" s="667" t="s">
        <v>14</v>
      </c>
      <c r="W39" s="668">
        <f t="shared" si="12"/>
        <v>100</v>
      </c>
      <c r="X39" s="1263"/>
      <c r="Y39" s="3443"/>
      <c r="Z39" s="1262">
        <f t="shared" si="13"/>
        <v>111</v>
      </c>
      <c r="AA39" s="1262">
        <f t="shared" si="3"/>
        <v>1</v>
      </c>
      <c r="AB39" s="1262">
        <f t="shared" si="4"/>
        <v>1</v>
      </c>
      <c r="AC39" s="1262">
        <f t="shared" si="5"/>
        <v>1</v>
      </c>
    </row>
    <row r="40" spans="1:31" s="408" customFormat="1" ht="15.75" hidden="1" thickBot="1">
      <c r="A40" s="406"/>
      <c r="B40" s="1065">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43"/>
      <c r="Q40" s="1261">
        <f t="shared" si="14"/>
        <v>111</v>
      </c>
      <c r="R40" s="669" t="s">
        <v>14</v>
      </c>
      <c r="S40" s="670">
        <f t="shared" si="10"/>
        <v>100</v>
      </c>
      <c r="T40" s="669" t="s">
        <v>14</v>
      </c>
      <c r="U40" s="670">
        <f t="shared" si="11"/>
        <v>100</v>
      </c>
      <c r="V40" s="669" t="s">
        <v>14</v>
      </c>
      <c r="W40" s="670">
        <f t="shared" si="12"/>
        <v>100</v>
      </c>
      <c r="X40" s="671"/>
      <c r="Y40" s="3443"/>
      <c r="Z40" s="672">
        <f t="shared" si="13"/>
        <v>111</v>
      </c>
      <c r="AA40" s="1262">
        <f t="shared" si="3"/>
        <v>1</v>
      </c>
      <c r="AB40" s="1262">
        <f t="shared" si="4"/>
        <v>1</v>
      </c>
      <c r="AC40" s="1262">
        <f t="shared" si="5"/>
        <v>1</v>
      </c>
    </row>
    <row r="41" spans="1:31" ht="15">
      <c r="A41" s="416" t="s">
        <v>1844</v>
      </c>
      <c r="B41" s="1826" t="s">
        <v>3681</v>
      </c>
      <c r="C41" s="602" t="s">
        <v>0</v>
      </c>
      <c r="D41" s="418"/>
      <c r="E41" s="419">
        <f>ROUND(土地案例!J14*E44,0)</f>
        <v>1097</v>
      </c>
      <c r="F41" s="420"/>
      <c r="G41" s="421">
        <f>ROUND(土地案例!J21*E44,0)</f>
        <v>836</v>
      </c>
      <c r="H41" s="422"/>
      <c r="I41" s="419">
        <f>ROUND(土地案例!J22*E44,0)</f>
        <v>836</v>
      </c>
      <c r="J41" s="422"/>
      <c r="K41" s="674"/>
      <c r="L41" s="2491"/>
      <c r="M41" s="2484"/>
      <c r="N41" s="2484"/>
      <c r="O41" s="2484"/>
      <c r="P41" s="3435" t="str">
        <f>A41</f>
        <v>成交单价</v>
      </c>
      <c r="Q41" s="3435"/>
      <c r="R41" s="3439">
        <f>E41</f>
        <v>1097</v>
      </c>
      <c r="S41" s="3439"/>
      <c r="T41" s="3439">
        <f>G41</f>
        <v>836</v>
      </c>
      <c r="U41" s="3439"/>
      <c r="V41" s="3439">
        <f>I41</f>
        <v>836</v>
      </c>
      <c r="W41" s="3439"/>
      <c r="X41" s="385"/>
      <c r="Y41" s="673"/>
      <c r="Z41" s="385"/>
      <c r="AA41" s="385"/>
      <c r="AB41" s="385"/>
      <c r="AC41" s="385"/>
    </row>
    <row r="42" spans="1:31" ht="15.75" thickBot="1">
      <c r="A42" s="423" t="s">
        <v>1793</v>
      </c>
      <c r="B42" s="603"/>
      <c r="C42" s="426">
        <f>R43</f>
        <v>794</v>
      </c>
      <c r="D42" s="2137" t="s">
        <v>2137</v>
      </c>
      <c r="E42" s="426">
        <f>R42</f>
        <v>949</v>
      </c>
      <c r="F42" s="2138"/>
      <c r="G42" s="425">
        <f>T42</f>
        <v>717</v>
      </c>
      <c r="H42" s="2138"/>
      <c r="I42" s="426">
        <f>V42</f>
        <v>717</v>
      </c>
      <c r="J42" s="2138"/>
      <c r="K42" s="2140">
        <f>F42+H42+J42</f>
        <v>0</v>
      </c>
      <c r="L42" s="2491"/>
      <c r="M42" s="2484"/>
      <c r="N42" s="2484"/>
      <c r="O42" s="2484"/>
      <c r="P42" s="3435" t="str">
        <f>A42</f>
        <v>比较价值（元/平方米）</v>
      </c>
      <c r="Q42" s="3435"/>
      <c r="R42" s="3436">
        <f>ROUND(PRODUCT(R41,AA7:AA40),0)</f>
        <v>949</v>
      </c>
      <c r="S42" s="3436"/>
      <c r="T42" s="3436">
        <f>ROUND(PRODUCT(T41,AB7:AB40),0)</f>
        <v>717</v>
      </c>
      <c r="U42" s="3436"/>
      <c r="V42" s="3436">
        <f>ROUND(PRODUCT(V41,AC7:AC40),0)</f>
        <v>717</v>
      </c>
      <c r="W42" s="3436"/>
      <c r="X42" s="385"/>
      <c r="Y42" s="385"/>
      <c r="Z42" s="385"/>
      <c r="AA42" s="385"/>
      <c r="AB42" s="385"/>
      <c r="AC42" s="385"/>
    </row>
    <row r="43" spans="1:31" ht="15.75" thickBot="1">
      <c r="A43" s="427" t="s">
        <v>1794</v>
      </c>
      <c r="B43" s="428"/>
      <c r="C43" s="429">
        <f>R43</f>
        <v>794</v>
      </c>
      <c r="D43" s="429"/>
      <c r="E43" s="429"/>
      <c r="F43" s="429"/>
      <c r="G43" s="429"/>
      <c r="H43" s="429"/>
      <c r="I43" s="429"/>
      <c r="J43" s="429"/>
      <c r="K43" s="675"/>
      <c r="L43" s="2491"/>
      <c r="M43" s="2484"/>
      <c r="N43" s="2484"/>
      <c r="O43" s="2484"/>
      <c r="P43" s="3432" t="str">
        <f>A43</f>
        <v>估价对象XX用房的比较价值（楼面单价，元/平方米）</v>
      </c>
      <c r="Q43" s="3433"/>
      <c r="R43" s="3434">
        <f>ROUND(IF(D42="简单平均",AVERAGE(R42:W42),R42*F42+T42*H42+V42*J42),0)</f>
        <v>794</v>
      </c>
      <c r="S43" s="3434"/>
      <c r="T43" s="3434"/>
      <c r="U43" s="3434"/>
      <c r="V43" s="3434"/>
      <c r="W43" s="3434"/>
      <c r="X43" s="385"/>
      <c r="Y43" s="385"/>
      <c r="Z43" s="385"/>
      <c r="AA43" s="385"/>
      <c r="AB43" s="385"/>
      <c r="AC43" s="385"/>
    </row>
    <row r="44" spans="1:31">
      <c r="A44" s="2484"/>
      <c r="B44" s="2484"/>
      <c r="C44" s="2484"/>
      <c r="D44" s="3203" t="s">
        <v>3682</v>
      </c>
      <c r="E44" s="3204">
        <f>ROUND((1-1/(1+'数据-取费表'!H6)^50)/(1-1/(1+'数据-取费表'!H6)^20),4)</f>
        <v>1.4649000000000001</v>
      </c>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f>IF(E41&lt;E42,E42/E41-1,E41/E42-1)</f>
        <v>0.15595363540569029</v>
      </c>
      <c r="F46" s="435" t="str">
        <f>IF(OR(E46&gt;=0.3,E46&lt;=-0.3),"超过30%","")</f>
        <v/>
      </c>
      <c r="G46" s="434">
        <f>IF(G41&lt;G42,G42/G41-1,G41/G42-1)</f>
        <v>0.16596931659693159</v>
      </c>
      <c r="H46" s="435" t="str">
        <f>IF(OR(G46&gt;=0.3,G46&lt;=-0.3),"超过30%","")</f>
        <v/>
      </c>
      <c r="I46" s="434">
        <f>IF(I41&lt;I42,I42/I41-1,I41/I42-1)</f>
        <v>0.16596931659693159</v>
      </c>
      <c r="J46" s="435" t="str">
        <f>IF(OR(I46&gt;=0.3,I46&lt;=-0.3),"超过30%","")</f>
        <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f>IF(E42&lt;G42,G42/E42-1,E42/G42-1)</f>
        <v>0.32357043235704319</v>
      </c>
      <c r="F47" s="435" t="str">
        <f>IF(OR(E47&gt;=0.2,E47&lt;=-0.2),"超过20%","")</f>
        <v>超过20%</v>
      </c>
      <c r="G47" s="434">
        <f>IF(G42&lt;I42,I42/G42-1,G42/I42-1)</f>
        <v>0</v>
      </c>
      <c r="H47" s="435" t="str">
        <f>IF(OR(G47&gt;=0.2,G47&lt;=-0.2),"超过20%","")</f>
        <v/>
      </c>
      <c r="I47" s="434">
        <f>IF(I42&lt;E42,E42/I42-1,I42/E42-1)</f>
        <v>0.32357043235704319</v>
      </c>
      <c r="J47" s="435" t="str">
        <f>IF(OR(I47&gt;=0.2,I47&lt;=-0.2),"超过20%","")</f>
        <v>超过20%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f>IF(E41&lt;G41,G41/E41-1,E41/G41-1)</f>
        <v>0.31220095693779903</v>
      </c>
      <c r="F48" s="435" t="str">
        <f>IF(OR(E48&gt;=0.3,E48&lt;=-0.3),"超过30%","")</f>
        <v>超过30%</v>
      </c>
      <c r="G48" s="434">
        <f>IF(G41&lt;I41,I41/G41-1,G41/I41-1)</f>
        <v>0</v>
      </c>
      <c r="H48" s="435" t="str">
        <f>IF(OR(G48&gt;=0.3,G48&lt;=-0.3),"超过30%","")</f>
        <v/>
      </c>
      <c r="I48" s="434">
        <f>IF(I41&lt;E41,E41/I41-1,I41/E41-1)</f>
        <v>0.31220095693779903</v>
      </c>
      <c r="J48" s="435" t="str">
        <f>IF(OR(I48&gt;=0.3,I48&lt;=-0.3),"超过30%","")</f>
        <v>超过30%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27" t="s">
        <v>1883</v>
      </c>
      <c r="D50" s="1828" t="s">
        <v>1884</v>
      </c>
      <c r="E50" s="606" t="s">
        <v>1885</v>
      </c>
      <c r="F50" s="607" t="s">
        <v>1886</v>
      </c>
      <c r="G50" s="3447" t="s">
        <v>1887</v>
      </c>
      <c r="H50" s="3459"/>
      <c r="I50" s="1262" t="s">
        <v>1922</v>
      </c>
      <c r="J50" s="1262">
        <f>项目基本情况!F35</f>
        <v>0</v>
      </c>
      <c r="K50" s="1830"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f>C43</f>
        <v>794</v>
      </c>
      <c r="C51" s="610">
        <v>1</v>
      </c>
      <c r="D51" s="888">
        <v>1</v>
      </c>
      <c r="E51" s="610">
        <f>'数据-汇总表'!E8+'数据-汇总表'!E9</f>
        <v>77960.160000000003</v>
      </c>
      <c r="F51" s="611">
        <f t="shared" ref="F51:F60" si="15">ROUND(B51*E51/10000,0)</f>
        <v>6190</v>
      </c>
      <c r="G51" s="3460"/>
      <c r="H51" s="3435"/>
      <c r="I51" s="725">
        <v>1</v>
      </c>
      <c r="J51" s="725">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f>ROUND($C$43*C52*D52,0)</f>
        <v>0</v>
      </c>
      <c r="C52" s="163">
        <f t="shared" ref="C52:C60" si="16">IF($C$50="北京市系数",I52,J52)</f>
        <v>0</v>
      </c>
      <c r="D52" s="889">
        <v>0.25</v>
      </c>
      <c r="E52" s="614"/>
      <c r="F52" s="611">
        <f t="shared" si="15"/>
        <v>0</v>
      </c>
      <c r="G52" s="2747" t="s">
        <v>1892</v>
      </c>
      <c r="H52" s="832">
        <f>项目基本情况!B37</f>
        <v>0</v>
      </c>
      <c r="I52" s="725">
        <f>SUMIF(修正!A57:A68,H52,修正!B57:B68)</f>
        <v>0</v>
      </c>
      <c r="J52" s="726"/>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f t="shared" ref="B53:B60" si="17">ROUND($C$43*C53*D53,0)</f>
        <v>0</v>
      </c>
      <c r="C53" s="163">
        <f t="shared" si="16"/>
        <v>0</v>
      </c>
      <c r="D53" s="889">
        <v>0.25</v>
      </c>
      <c r="E53" s="614"/>
      <c r="F53" s="611">
        <f t="shared" si="15"/>
        <v>0</v>
      </c>
      <c r="G53" s="2748"/>
      <c r="H53" s="832">
        <f>项目基本情况!B37</f>
        <v>0</v>
      </c>
      <c r="I53" s="725">
        <f>SUMIF(修正!A57:A68,H53,修正!C57:C68)</f>
        <v>0</v>
      </c>
      <c r="J53" s="726"/>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f t="shared" si="17"/>
        <v>0</v>
      </c>
      <c r="C54" s="163">
        <f t="shared" si="16"/>
        <v>0</v>
      </c>
      <c r="D54" s="889">
        <v>0.25</v>
      </c>
      <c r="E54" s="614"/>
      <c r="F54" s="611">
        <f t="shared" si="15"/>
        <v>0</v>
      </c>
      <c r="G54" s="2748"/>
      <c r="H54" s="832">
        <f>项目基本情况!B37</f>
        <v>0</v>
      </c>
      <c r="I54" s="725">
        <f>SUMIF(修正!A57:A68,H54,修正!D57:D68)</f>
        <v>0</v>
      </c>
      <c r="J54" s="726"/>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89"/>
      <c r="E55" s="614"/>
      <c r="F55" s="611"/>
      <c r="G55" s="2749"/>
      <c r="H55" s="832"/>
      <c r="I55" s="725"/>
      <c r="J55" s="726"/>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f t="shared" si="17"/>
        <v>0</v>
      </c>
      <c r="C56" s="163">
        <f t="shared" si="16"/>
        <v>0</v>
      </c>
      <c r="D56" s="889">
        <v>0.25</v>
      </c>
      <c r="E56" s="209">
        <f>'数据-汇总表'!E11</f>
        <v>0</v>
      </c>
      <c r="F56" s="611">
        <f t="shared" si="15"/>
        <v>0</v>
      </c>
      <c r="G56" s="1831" t="s">
        <v>1896</v>
      </c>
      <c r="H56" s="832">
        <f>项目基本情况!C37</f>
        <v>0</v>
      </c>
      <c r="I56" s="725">
        <f>SUMIF(修正!A57:A68,H56,修正!E57:E68)</f>
        <v>0</v>
      </c>
      <c r="J56" s="726"/>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f t="shared" si="17"/>
        <v>0</v>
      </c>
      <c r="C57" s="163">
        <f t="shared" si="16"/>
        <v>0</v>
      </c>
      <c r="D57" s="889">
        <v>0.25</v>
      </c>
      <c r="E57" s="209">
        <f>'数据-汇总表'!E12</f>
        <v>0</v>
      </c>
      <c r="F57" s="611">
        <f t="shared" si="15"/>
        <v>0</v>
      </c>
      <c r="G57" s="837" t="s">
        <v>1898</v>
      </c>
      <c r="H57" s="832">
        <f>IF(G57="商业",项目基本情况!B37,IF(G57="办公",项目基本情况!C37,IF(G57="住宅",项目基本情况!D37,项目基本情况!E37)))</f>
        <v>0</v>
      </c>
      <c r="I57" s="725">
        <f>SUMIF(修正!A57:A68,H57,修正!F57:F68)</f>
        <v>0</v>
      </c>
      <c r="J57" s="726"/>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f t="shared" si="17"/>
        <v>0</v>
      </c>
      <c r="C58" s="163">
        <f t="shared" si="16"/>
        <v>0</v>
      </c>
      <c r="D58" s="889">
        <v>0.25</v>
      </c>
      <c r="E58" s="209">
        <f>'数据-汇总表'!E13</f>
        <v>4407.28</v>
      </c>
      <c r="F58" s="611">
        <f t="shared" si="15"/>
        <v>0</v>
      </c>
      <c r="G58" s="837" t="s">
        <v>1900</v>
      </c>
      <c r="H58" s="832">
        <f>IF(G58="商业",项目基本情况!B37,IF(G58="办公",项目基本情况!C37,IF(G58="住宅",项目基本情况!D37,项目基本情况!E37)))</f>
        <v>0</v>
      </c>
      <c r="I58" s="725">
        <f>SUMIF(修正!A57:A68,H58,修正!G57:G68)</f>
        <v>0</v>
      </c>
      <c r="J58" s="726"/>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f t="shared" si="17"/>
        <v>0</v>
      </c>
      <c r="C59" s="163">
        <f t="shared" si="16"/>
        <v>0</v>
      </c>
      <c r="D59" s="889">
        <v>0.25</v>
      </c>
      <c r="E59" s="209">
        <f>'数据-汇总表'!E14</f>
        <v>0</v>
      </c>
      <c r="F59" s="611">
        <f t="shared" si="15"/>
        <v>0</v>
      </c>
      <c r="G59" s="1831" t="s">
        <v>1892</v>
      </c>
      <c r="H59" s="832">
        <f>项目基本情况!B37</f>
        <v>0</v>
      </c>
      <c r="I59" s="725">
        <f>SUMIF(修正!A57:A68,H59,修正!G57:G68)</f>
        <v>0</v>
      </c>
      <c r="J59" s="726"/>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f t="shared" si="17"/>
        <v>0</v>
      </c>
      <c r="C60" s="163">
        <f t="shared" si="16"/>
        <v>0</v>
      </c>
      <c r="D60" s="889">
        <v>0.25</v>
      </c>
      <c r="E60" s="209">
        <f>'数据-汇总表'!E15</f>
        <v>0</v>
      </c>
      <c r="F60" s="611">
        <f t="shared" si="15"/>
        <v>0</v>
      </c>
      <c r="G60" s="1832" t="s">
        <v>1896</v>
      </c>
      <c r="H60" s="842">
        <f>项目基本情况!C37</f>
        <v>0</v>
      </c>
      <c r="I60" s="725">
        <f>SUMIF(修正!A57:A68,H60,修正!G57:G68)</f>
        <v>0</v>
      </c>
      <c r="J60" s="726"/>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82367.44</v>
      </c>
      <c r="F61" s="617">
        <f>IF(B41="楼面地价",SUM(F51:F60),ROUND(C43*E61/10000,0))</f>
        <v>6190</v>
      </c>
      <c r="G61" s="883"/>
      <c r="H61" s="883"/>
      <c r="I61" s="883"/>
      <c r="J61" s="883"/>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9"/>
      <c r="B62" s="873"/>
      <c r="C62" s="875"/>
      <c r="D62" s="859"/>
      <c r="E62" s="859"/>
      <c r="F62" s="859"/>
      <c r="G62" s="859"/>
      <c r="H62" s="859"/>
      <c r="I62" s="859"/>
      <c r="J62" s="859"/>
      <c r="K62" s="833"/>
      <c r="L62" s="834"/>
      <c r="M62" s="859"/>
      <c r="N62" s="859"/>
      <c r="O62" s="859"/>
      <c r="P62" s="2484"/>
      <c r="Q62" s="2484"/>
      <c r="R62" s="2484"/>
      <c r="S62" s="2484"/>
      <c r="T62" s="2484"/>
      <c r="U62" s="2484"/>
      <c r="V62" s="2484"/>
      <c r="W62" s="2484"/>
      <c r="X62" s="2484"/>
      <c r="Y62" s="2484"/>
      <c r="Z62" s="2484"/>
      <c r="AA62" s="2484"/>
      <c r="AB62" s="2484"/>
      <c r="AC62" s="2484"/>
      <c r="AD62" s="2484"/>
      <c r="AE62" s="2484"/>
    </row>
    <row r="63" spans="1:31">
      <c r="A63" s="859"/>
      <c r="B63" s="873"/>
      <c r="C63" s="656" t="str">
        <f>YEAR(C7)&amp;"-"&amp;MONTH(C7)&amp;"-1"</f>
        <v>2024-6-1</v>
      </c>
      <c r="D63" s="656">
        <f>EDATE(C63,-3)</f>
        <v>45352</v>
      </c>
      <c r="E63" s="656">
        <f>EDATE(D63,-3)</f>
        <v>45261</v>
      </c>
      <c r="F63" s="656">
        <f t="shared" ref="F63:O63" si="18">EDATE(E63,-3)</f>
        <v>45170</v>
      </c>
      <c r="G63" s="656">
        <f t="shared" si="18"/>
        <v>45078</v>
      </c>
      <c r="H63" s="656">
        <f t="shared" si="18"/>
        <v>44986</v>
      </c>
      <c r="I63" s="656">
        <f t="shared" si="18"/>
        <v>44896</v>
      </c>
      <c r="J63" s="656">
        <f t="shared" si="18"/>
        <v>44805</v>
      </c>
      <c r="K63" s="656">
        <f t="shared" si="18"/>
        <v>44713</v>
      </c>
      <c r="L63" s="656">
        <f t="shared" si="18"/>
        <v>44621</v>
      </c>
      <c r="M63" s="656">
        <f t="shared" si="18"/>
        <v>44531</v>
      </c>
      <c r="N63" s="656">
        <f t="shared" si="18"/>
        <v>44440</v>
      </c>
      <c r="O63" s="656">
        <f t="shared" si="18"/>
        <v>44348</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4"/>
      <c r="P64" s="2534"/>
      <c r="Q64" s="2505"/>
      <c r="R64" s="2484"/>
      <c r="S64" s="2484"/>
      <c r="T64" s="2484"/>
      <c r="U64" s="2484"/>
      <c r="V64" s="2484"/>
      <c r="W64" s="2484"/>
      <c r="X64" s="2484"/>
      <c r="Y64" s="2484"/>
      <c r="Z64" s="2484"/>
      <c r="AA64" s="2484"/>
      <c r="AB64" s="2484"/>
      <c r="AC64" s="2484"/>
      <c r="AD64" s="2484"/>
      <c r="AE64" s="2484"/>
    </row>
    <row r="65" spans="1:31" s="442" customFormat="1" ht="15">
      <c r="A65" s="1628" t="s">
        <v>1904</v>
      </c>
      <c r="B65" s="1044"/>
      <c r="C65" s="1099" t="str">
        <f>YEAR(C63)&amp;"-"&amp;ROUNDUP(MONTH(C63)/3,0)</f>
        <v>2024-2</v>
      </c>
      <c r="D65" s="1099" t="str">
        <f t="shared" ref="D65:O65" si="19">YEAR(D63)&amp;"-"&amp;ROUNDUP(MONTH(D63)/3,0)</f>
        <v>2024-1</v>
      </c>
      <c r="E65" s="1099" t="str">
        <f t="shared" si="19"/>
        <v>2023-4</v>
      </c>
      <c r="F65" s="1099" t="str">
        <f t="shared" si="19"/>
        <v>2023-3</v>
      </c>
      <c r="G65" s="1099" t="str">
        <f t="shared" si="19"/>
        <v>2023-2</v>
      </c>
      <c r="H65" s="1099" t="str">
        <f t="shared" si="19"/>
        <v>2023-1</v>
      </c>
      <c r="I65" s="1099" t="str">
        <f t="shared" si="19"/>
        <v>2022-4</v>
      </c>
      <c r="J65" s="1099" t="str">
        <f t="shared" si="19"/>
        <v>2022-3</v>
      </c>
      <c r="K65" s="1099" t="str">
        <f t="shared" si="19"/>
        <v>2022-2</v>
      </c>
      <c r="L65" s="1099" t="str">
        <f t="shared" si="19"/>
        <v>2022-1</v>
      </c>
      <c r="M65" s="1099" t="str">
        <f t="shared" si="19"/>
        <v>2021-4</v>
      </c>
      <c r="N65" s="1099" t="str">
        <f t="shared" si="19"/>
        <v>2021-3</v>
      </c>
      <c r="O65" s="1099" t="str">
        <f t="shared" si="19"/>
        <v>2021-2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7" t="s">
        <v>1923</v>
      </c>
      <c r="B66" s="280" t="str">
        <f>"北京市平均增长率"&amp;TEXT(基准地价修正!P28,"0.00%")</f>
        <v>北京市平均增长率0.00%</v>
      </c>
      <c r="C66" s="530">
        <v>100</v>
      </c>
      <c r="D66" s="6">
        <f>C66-$C$67</f>
        <v>99.9</v>
      </c>
      <c r="E66" s="6">
        <f t="shared" ref="E66:O66" si="20">D66-$C$67</f>
        <v>99.800000000000011</v>
      </c>
      <c r="F66" s="6">
        <f t="shared" si="20"/>
        <v>99.700000000000017</v>
      </c>
      <c r="G66" s="6">
        <f t="shared" si="20"/>
        <v>99.600000000000023</v>
      </c>
      <c r="H66" s="6">
        <f t="shared" si="20"/>
        <v>99.500000000000028</v>
      </c>
      <c r="I66" s="6">
        <f t="shared" si="20"/>
        <v>99.400000000000034</v>
      </c>
      <c r="J66" s="6">
        <f t="shared" si="20"/>
        <v>99.30000000000004</v>
      </c>
      <c r="K66" s="6">
        <f t="shared" si="20"/>
        <v>99.200000000000045</v>
      </c>
      <c r="L66" s="6">
        <f t="shared" si="20"/>
        <v>99.100000000000051</v>
      </c>
      <c r="M66" s="6">
        <f t="shared" si="20"/>
        <v>99.000000000000057</v>
      </c>
      <c r="N66" s="6">
        <f t="shared" si="20"/>
        <v>98.900000000000063</v>
      </c>
      <c r="O66" s="6">
        <f t="shared" si="20"/>
        <v>98.800000000000068</v>
      </c>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v>0.1</v>
      </c>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ht="27.75">
      <c r="A70" s="379" t="s">
        <v>1719</v>
      </c>
      <c r="B70" s="460" t="s">
        <v>1685</v>
      </c>
      <c r="C70" s="462" t="s">
        <v>3662</v>
      </c>
      <c r="D70" s="462" t="s">
        <v>3663</v>
      </c>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v>100</v>
      </c>
      <c r="D71" s="467">
        <v>98</v>
      </c>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0（含）-1</v>
      </c>
      <c r="D74" s="478" t="str">
        <f t="shared" ref="D74:L74" si="21">D75&amp;"（含）"&amp;"-"&amp;E75</f>
        <v>1（含）-2</v>
      </c>
      <c r="E74" s="478" t="str">
        <f t="shared" si="21"/>
        <v>2（含）-3</v>
      </c>
      <c r="F74" s="478" t="str">
        <f t="shared" si="21"/>
        <v>3（含）-4</v>
      </c>
      <c r="G74" s="478" t="str">
        <f t="shared" si="21"/>
        <v>4（含）-5</v>
      </c>
      <c r="H74" s="478" t="str">
        <f t="shared" si="21"/>
        <v>5（含）-6</v>
      </c>
      <c r="I74" s="478" t="str">
        <f t="shared" si="21"/>
        <v>6（含）-7</v>
      </c>
      <c r="J74" s="478" t="str">
        <f t="shared" si="21"/>
        <v>7（含）-8</v>
      </c>
      <c r="K74" s="478" t="str">
        <f t="shared" si="21"/>
        <v>8（含）-9</v>
      </c>
      <c r="L74" s="478" t="str">
        <f t="shared" si="21"/>
        <v>9（含）-10</v>
      </c>
      <c r="M74" s="387" t="str">
        <f>M75&amp;"（含）"&amp;"-"&amp;P75</f>
        <v>10（含）-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v>0</v>
      </c>
      <c r="D75" s="480">
        <v>1</v>
      </c>
      <c r="E75" s="480">
        <v>2</v>
      </c>
      <c r="F75" s="480">
        <v>3</v>
      </c>
      <c r="G75" s="480">
        <v>4</v>
      </c>
      <c r="H75" s="480">
        <v>5</v>
      </c>
      <c r="I75" s="480">
        <v>6</v>
      </c>
      <c r="J75" s="480">
        <v>7</v>
      </c>
      <c r="K75" s="480">
        <v>8</v>
      </c>
      <c r="L75" s="480">
        <v>9</v>
      </c>
      <c r="M75" s="480">
        <v>10</v>
      </c>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98</v>
      </c>
      <c r="E76" s="475">
        <f t="shared" ref="E76:M76" si="22">IF($B$41="单位面积地价",D76+$K11,D76-$K11)</f>
        <v>96</v>
      </c>
      <c r="F76" s="475">
        <f t="shared" si="22"/>
        <v>94</v>
      </c>
      <c r="G76" s="475">
        <f t="shared" si="22"/>
        <v>92</v>
      </c>
      <c r="H76" s="475">
        <f t="shared" si="22"/>
        <v>90</v>
      </c>
      <c r="I76" s="475">
        <f t="shared" si="22"/>
        <v>88</v>
      </c>
      <c r="J76" s="475">
        <f t="shared" si="22"/>
        <v>86</v>
      </c>
      <c r="K76" s="475">
        <f t="shared" si="22"/>
        <v>84</v>
      </c>
      <c r="L76" s="475">
        <f t="shared" si="22"/>
        <v>82</v>
      </c>
      <c r="M76" s="475">
        <f t="shared" si="22"/>
        <v>80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t="str">
        <f>B12</f>
        <v>出让年限</v>
      </c>
      <c r="C77" s="3200" t="s">
        <v>3664</v>
      </c>
      <c r="D77" s="3200" t="s">
        <v>3665</v>
      </c>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v>100</v>
      </c>
      <c r="D78" s="491">
        <v>95</v>
      </c>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98</v>
      </c>
      <c r="E84" s="475">
        <f>D84-$K15</f>
        <v>96</v>
      </c>
      <c r="F84" s="475">
        <f>E84-$K15</f>
        <v>94</v>
      </c>
      <c r="G84" s="475">
        <f>F84-$K15</f>
        <v>92</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98</v>
      </c>
      <c r="E86" s="475">
        <f>D86-$K17</f>
        <v>96</v>
      </c>
      <c r="F86" s="475">
        <f>E86-$K17</f>
        <v>94</v>
      </c>
      <c r="G86" s="475">
        <f>F86-$K17</f>
        <v>92</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98</v>
      </c>
      <c r="E88" s="475">
        <f>D88-$K19</f>
        <v>96</v>
      </c>
      <c r="F88" s="475">
        <f>E88-$K19</f>
        <v>94</v>
      </c>
      <c r="G88" s="475">
        <f>F88-$K19</f>
        <v>92</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98</v>
      </c>
      <c r="E90" s="475">
        <f>D90-$K21</f>
        <v>96</v>
      </c>
      <c r="F90" s="475">
        <f>E90-$K21</f>
        <v>94</v>
      </c>
      <c r="G90" s="475">
        <f>F90-$K21</f>
        <v>92</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98</v>
      </c>
      <c r="E92" s="475">
        <f>D92-$K23</f>
        <v>96</v>
      </c>
      <c r="F92" s="475">
        <f>E92-$K23</f>
        <v>94</v>
      </c>
      <c r="G92" s="475">
        <f>F92-$K23</f>
        <v>92</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1924</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98</v>
      </c>
      <c r="E94" s="475">
        <f>D94-$K25</f>
        <v>96</v>
      </c>
      <c r="F94" s="475">
        <f>E94-$K25</f>
        <v>94</v>
      </c>
      <c r="G94" s="475">
        <f>F94-$K25</f>
        <v>92</v>
      </c>
      <c r="H94" s="479"/>
      <c r="I94" s="479"/>
      <c r="J94" s="479"/>
      <c r="K94" s="479"/>
      <c r="L94" s="479"/>
      <c r="M94" s="1063"/>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3">C96-$K27</f>
        <v>100</v>
      </c>
      <c r="E96" s="475">
        <f t="shared" si="23"/>
        <v>100</v>
      </c>
      <c r="F96" s="475">
        <f t="shared" si="23"/>
        <v>100</v>
      </c>
      <c r="G96" s="475">
        <f t="shared" si="23"/>
        <v>100</v>
      </c>
      <c r="H96" s="475">
        <f t="shared" si="23"/>
        <v>100</v>
      </c>
      <c r="I96" s="475">
        <f t="shared" si="23"/>
        <v>100</v>
      </c>
      <c r="J96" s="475">
        <f t="shared" si="23"/>
        <v>100</v>
      </c>
      <c r="K96" s="475">
        <f t="shared" si="23"/>
        <v>100</v>
      </c>
      <c r="L96" s="475">
        <f t="shared" si="23"/>
        <v>100</v>
      </c>
      <c r="M96" s="475">
        <f t="shared" si="23"/>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4">C98-$K28</f>
        <v>100</v>
      </c>
      <c r="E98" s="475">
        <f t="shared" si="24"/>
        <v>100</v>
      </c>
      <c r="F98" s="475">
        <f t="shared" si="24"/>
        <v>100</v>
      </c>
      <c r="G98" s="475">
        <f t="shared" si="24"/>
        <v>100</v>
      </c>
      <c r="H98" s="475">
        <f t="shared" si="24"/>
        <v>100</v>
      </c>
      <c r="I98" s="475">
        <f t="shared" si="24"/>
        <v>100</v>
      </c>
      <c r="J98" s="475">
        <f t="shared" si="24"/>
        <v>100</v>
      </c>
      <c r="K98" s="475">
        <f t="shared" si="24"/>
        <v>100</v>
      </c>
      <c r="L98" s="475">
        <f t="shared" si="24"/>
        <v>100</v>
      </c>
      <c r="M98" s="475">
        <f t="shared" si="24"/>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5">C100-$K30</f>
        <v>100</v>
      </c>
      <c r="E100" s="475">
        <f t="shared" si="25"/>
        <v>100</v>
      </c>
      <c r="F100" s="475">
        <f t="shared" si="25"/>
        <v>100</v>
      </c>
      <c r="G100" s="475">
        <f t="shared" si="25"/>
        <v>100</v>
      </c>
      <c r="H100" s="475">
        <f t="shared" si="25"/>
        <v>100</v>
      </c>
      <c r="I100" s="475">
        <f t="shared" si="25"/>
        <v>100</v>
      </c>
      <c r="J100" s="475">
        <f t="shared" si="25"/>
        <v>100</v>
      </c>
      <c r="K100" s="475">
        <f t="shared" si="25"/>
        <v>100</v>
      </c>
      <c r="L100" s="475">
        <f t="shared" si="25"/>
        <v>100</v>
      </c>
      <c r="M100" s="475">
        <f t="shared" si="25"/>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28.5">
      <c r="A107" s="379" t="s">
        <v>1694</v>
      </c>
      <c r="B107" s="460" t="s">
        <v>1913</v>
      </c>
      <c r="C107" s="461" t="str">
        <f t="shared" ref="C107:L107" si="26">C108&amp;"(含)"&amp;"-"&amp;D108</f>
        <v>0(含)-10000</v>
      </c>
      <c r="D107" s="461" t="str">
        <f t="shared" si="26"/>
        <v>10000(含)-20000</v>
      </c>
      <c r="E107" s="461" t="str">
        <f t="shared" si="26"/>
        <v>20000(含)-50000</v>
      </c>
      <c r="F107" s="461" t="str">
        <f t="shared" si="26"/>
        <v>50000(含)-100000</v>
      </c>
      <c r="G107" s="461" t="str">
        <f t="shared" si="26"/>
        <v>100000(含)-150000</v>
      </c>
      <c r="H107" s="461" t="str">
        <f t="shared" si="26"/>
        <v>150000(含)-200000</v>
      </c>
      <c r="I107" s="461" t="str">
        <f t="shared" si="26"/>
        <v>200000(含)-300000</v>
      </c>
      <c r="J107" s="461" t="str">
        <f t="shared" si="26"/>
        <v>300000(含)-</v>
      </c>
      <c r="K107" s="1244" t="str">
        <f t="shared" si="26"/>
        <v>(含)-</v>
      </c>
      <c r="L107" s="1244" t="str">
        <f t="shared" si="26"/>
        <v>(含)-</v>
      </c>
      <c r="M107" s="1245"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v>0</v>
      </c>
      <c r="D108" s="6">
        <v>10000</v>
      </c>
      <c r="E108" s="6">
        <v>20000</v>
      </c>
      <c r="F108" s="6">
        <v>50000</v>
      </c>
      <c r="G108" s="6">
        <v>100000</v>
      </c>
      <c r="H108" s="6">
        <v>150000</v>
      </c>
      <c r="I108" s="6">
        <v>200000</v>
      </c>
      <c r="J108" s="6">
        <v>300000</v>
      </c>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v>100</v>
      </c>
      <c r="D109" s="521">
        <v>101</v>
      </c>
      <c r="E109" s="501">
        <v>102</v>
      </c>
      <c r="F109" s="521">
        <v>103</v>
      </c>
      <c r="G109" s="501">
        <v>104</v>
      </c>
      <c r="H109" s="521">
        <v>105</v>
      </c>
      <c r="I109" s="501">
        <v>106</v>
      </c>
      <c r="J109" s="521">
        <v>107</v>
      </c>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3201" t="s">
        <v>3666</v>
      </c>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7">C111-$K35</f>
        <v>98</v>
      </c>
      <c r="E111" s="475">
        <f t="shared" si="27"/>
        <v>96</v>
      </c>
      <c r="F111" s="475">
        <f t="shared" si="27"/>
        <v>94</v>
      </c>
      <c r="G111" s="475">
        <f t="shared" si="27"/>
        <v>92</v>
      </c>
      <c r="H111" s="475">
        <f t="shared" si="27"/>
        <v>90</v>
      </c>
      <c r="I111" s="475">
        <f t="shared" si="27"/>
        <v>88</v>
      </c>
      <c r="J111" s="475">
        <f t="shared" si="27"/>
        <v>86</v>
      </c>
      <c r="K111" s="475">
        <f t="shared" si="27"/>
        <v>84</v>
      </c>
      <c r="L111" s="475">
        <f t="shared" si="27"/>
        <v>82</v>
      </c>
      <c r="M111" s="476">
        <f t="shared" si="27"/>
        <v>80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3200" t="s">
        <v>3667</v>
      </c>
      <c r="D112" s="3200" t="s">
        <v>3668</v>
      </c>
      <c r="E112" s="3200" t="s">
        <v>3669</v>
      </c>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8">C113-$K36</f>
        <v>99</v>
      </c>
      <c r="E113" s="475">
        <f t="shared" si="28"/>
        <v>98</v>
      </c>
      <c r="F113" s="475">
        <f t="shared" si="28"/>
        <v>97</v>
      </c>
      <c r="G113" s="475">
        <f t="shared" si="28"/>
        <v>96</v>
      </c>
      <c r="H113" s="475">
        <f t="shared" si="28"/>
        <v>95</v>
      </c>
      <c r="I113" s="475">
        <f t="shared" si="28"/>
        <v>94</v>
      </c>
      <c r="J113" s="475">
        <f t="shared" si="28"/>
        <v>93</v>
      </c>
      <c r="K113" s="475">
        <f t="shared" si="28"/>
        <v>92</v>
      </c>
      <c r="L113" s="475">
        <f t="shared" si="28"/>
        <v>91</v>
      </c>
      <c r="M113" s="476">
        <f t="shared" si="28"/>
        <v>90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3200" t="s">
        <v>3670</v>
      </c>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9">C115-$K37</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6" priority="13" stopIfTrue="1">
      <formula>$F$46="超过30%"</formula>
    </cfRule>
  </conditionalFormatting>
  <conditionalFormatting sqref="E47">
    <cfRule type="expression" dxfId="145" priority="53" stopIfTrue="1">
      <formula>#REF!+$F$47="超过20%"</formula>
    </cfRule>
  </conditionalFormatting>
  <conditionalFormatting sqref="E48">
    <cfRule type="expression" dxfId="144" priority="10" stopIfTrue="1">
      <formula>$F$48="超过30%"</formula>
    </cfRule>
  </conditionalFormatting>
  <conditionalFormatting sqref="F7:F40 H7:H40 J7:J40">
    <cfRule type="cellIs" dxfId="143" priority="1" operator="notEqual">
      <formula>100</formula>
    </cfRule>
  </conditionalFormatting>
  <conditionalFormatting sqref="F42">
    <cfRule type="expression" dxfId="142" priority="4">
      <formula>$D$42="简单平均"</formula>
    </cfRule>
  </conditionalFormatting>
  <conditionalFormatting sqref="F46:F48 H46:H48 J46:J48">
    <cfRule type="containsText" dxfId="141" priority="14" stopIfTrue="1" operator="containsText" text="超过">
      <formula>NOT(ISERROR(SEARCH("超过",F46)))</formula>
    </cfRule>
  </conditionalFormatting>
  <conditionalFormatting sqref="G46">
    <cfRule type="expression" dxfId="140" priority="9" stopIfTrue="1">
      <formula>$H$46="超过30%"</formula>
    </cfRule>
  </conditionalFormatting>
  <conditionalFormatting sqref="G47">
    <cfRule type="expression" dxfId="139" priority="8" stopIfTrue="1">
      <formula>$H$47="超过20%"</formula>
    </cfRule>
  </conditionalFormatting>
  <conditionalFormatting sqref="G48">
    <cfRule type="expression" dxfId="138" priority="12" stopIfTrue="1">
      <formula>$H$48="超过30%"</formula>
    </cfRule>
  </conditionalFormatting>
  <conditionalFormatting sqref="H42">
    <cfRule type="expression" dxfId="137" priority="3">
      <formula>$D$42="简单平均"</formula>
    </cfRule>
  </conditionalFormatting>
  <conditionalFormatting sqref="I46">
    <cfRule type="expression" dxfId="136" priority="7" stopIfTrue="1">
      <formula>$J$46="超过30%"</formula>
    </cfRule>
  </conditionalFormatting>
  <conditionalFormatting sqref="I47">
    <cfRule type="expression" dxfId="135" priority="6" stopIfTrue="1">
      <formula>$J$47="超过20%"</formula>
    </cfRule>
  </conditionalFormatting>
  <conditionalFormatting sqref="I48">
    <cfRule type="expression" dxfId="134" priority="5" stopIfTrue="1">
      <formula>$J$48="超过30%"</formula>
    </cfRule>
  </conditionalFormatting>
  <conditionalFormatting sqref="J42">
    <cfRule type="expression" dxfId="13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G19" sqref="G1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3" t="s">
        <v>1658</v>
      </c>
      <c r="B1" s="1724"/>
      <c r="C1" s="1724"/>
      <c r="D1" s="1724"/>
      <c r="E1" s="1725"/>
      <c r="F1" s="2476"/>
      <c r="G1" s="459"/>
      <c r="H1" s="459"/>
      <c r="I1" s="459"/>
      <c r="J1" s="459"/>
      <c r="K1" s="459"/>
      <c r="L1" s="459"/>
      <c r="M1" s="459"/>
      <c r="N1" s="459"/>
      <c r="O1" s="459"/>
      <c r="P1" s="459"/>
      <c r="Q1" s="459"/>
      <c r="R1" s="459"/>
      <c r="S1" s="459"/>
    </row>
    <row r="2" spans="1:22" ht="15.75">
      <c r="A2" s="1726" t="s">
        <v>1462</v>
      </c>
      <c r="B2" s="809">
        <f ca="1">SUMIF(B6:B13,"&lt;&gt;#ref!",B6:B13)</f>
        <v>40657</v>
      </c>
      <c r="C2" s="1727" t="s">
        <v>1651</v>
      </c>
      <c r="D2" s="1728" t="s">
        <v>1652</v>
      </c>
      <c r="E2" s="2389">
        <f>SUM(E6:E13)</f>
        <v>83292.239999999991</v>
      </c>
      <c r="F2" s="2476"/>
      <c r="G2" s="459"/>
      <c r="H2" s="459"/>
      <c r="I2" s="459"/>
      <c r="J2" s="459"/>
      <c r="K2" s="459"/>
      <c r="L2" s="459"/>
      <c r="M2" s="459"/>
      <c r="N2" s="459"/>
      <c r="O2" s="459"/>
      <c r="P2" s="459"/>
      <c r="Q2" s="459"/>
      <c r="R2" s="459"/>
      <c r="S2" s="459"/>
    </row>
    <row r="3" spans="1:22" ht="15.75">
      <c r="A3" s="1726" t="s">
        <v>686</v>
      </c>
      <c r="B3" s="2383">
        <f ca="1">ROUND(B2*10000/E2,0)</f>
        <v>4881</v>
      </c>
      <c r="C3" s="1727"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1653</v>
      </c>
      <c r="B5" s="3474" t="s">
        <v>1654</v>
      </c>
      <c r="C5" s="3475"/>
      <c r="D5" s="2477"/>
      <c r="E5" s="1729" t="s">
        <v>1655</v>
      </c>
      <c r="F5" s="129" t="s">
        <v>1656</v>
      </c>
      <c r="G5" s="459"/>
      <c r="H5" s="459"/>
      <c r="I5" s="459"/>
      <c r="J5" s="459"/>
      <c r="K5" s="459"/>
      <c r="L5" s="459"/>
      <c r="M5" s="459"/>
      <c r="N5" s="459"/>
      <c r="O5" s="459"/>
      <c r="P5" s="459"/>
      <c r="Q5" s="459"/>
      <c r="R5" s="459"/>
      <c r="S5" s="459"/>
    </row>
    <row r="6" spans="1:22">
      <c r="A6" s="2386" t="str">
        <f>'数据-取费表'!AN6</f>
        <v>1、2厂房收益法</v>
      </c>
      <c r="B6" s="2384">
        <f ca="1">IF(F6="是",'数据-取费表'!AO6,0)</f>
        <v>10752</v>
      </c>
      <c r="C6" s="1727" t="s">
        <v>1651</v>
      </c>
      <c r="D6" s="2476"/>
      <c r="E6" s="2388">
        <f>IF(OR(A6=0,F6="否"),0,'数据-取费表'!K6+'数据-取费表'!S6)</f>
        <v>24063.21</v>
      </c>
      <c r="F6" s="1730" t="s">
        <v>1657</v>
      </c>
      <c r="G6" s="459"/>
      <c r="H6" s="459"/>
      <c r="I6" s="459"/>
      <c r="J6" s="459"/>
      <c r="K6" s="459"/>
      <c r="L6" s="459"/>
      <c r="M6" s="459"/>
      <c r="N6" s="459"/>
      <c r="O6" s="459"/>
      <c r="P6" s="459"/>
      <c r="Q6" s="459"/>
      <c r="R6" s="459"/>
      <c r="S6" s="459"/>
    </row>
    <row r="7" spans="1:22">
      <c r="A7" s="2386" t="str">
        <f>'数据-取费表'!AN7</f>
        <v>3、4宿舍收益法</v>
      </c>
      <c r="B7" s="2384">
        <f ca="1">IF(F7="是",'数据-取费表'!AO7,0)</f>
        <v>4409</v>
      </c>
      <c r="C7" s="1727" t="s">
        <v>1651</v>
      </c>
      <c r="D7" s="2476"/>
      <c r="E7" s="2388">
        <f>IF(OR(A7=0,F7="否"),0,'数据-取费表'!K7+'数据-取费表'!S7)</f>
        <v>8407.68</v>
      </c>
      <c r="F7" s="1730" t="s">
        <v>1657</v>
      </c>
      <c r="G7" s="459"/>
      <c r="H7" s="459"/>
      <c r="I7" s="459"/>
      <c r="J7" s="459"/>
      <c r="K7" s="459"/>
      <c r="L7" s="459"/>
      <c r="M7" s="459"/>
      <c r="N7" s="459"/>
      <c r="O7" s="459"/>
      <c r="P7" s="459"/>
      <c r="Q7" s="459"/>
      <c r="R7" s="459"/>
      <c r="S7" s="459"/>
    </row>
    <row r="8" spans="1:22">
      <c r="A8" s="2386" t="str">
        <f>'数据-取费表'!AN8</f>
        <v>5-9实验楼收益法</v>
      </c>
      <c r="B8" s="2384">
        <f ca="1">IF(F8="是",'数据-取费表'!AO8,0)</f>
        <v>2560</v>
      </c>
      <c r="C8" s="1727" t="s">
        <v>1651</v>
      </c>
      <c r="D8" s="2476"/>
      <c r="E8" s="2388">
        <f>IF(OR(A8=0,F8="否"),0,'数据-取费表'!K8+'数据-取费表'!S8)</f>
        <v>4491.3300000000008</v>
      </c>
      <c r="F8" s="1730" t="s">
        <v>1657</v>
      </c>
      <c r="G8" s="459"/>
      <c r="H8" s="459"/>
      <c r="I8" s="459"/>
      <c r="J8" s="459"/>
      <c r="K8" s="459"/>
      <c r="L8" s="459"/>
      <c r="M8" s="459"/>
      <c r="N8" s="459"/>
      <c r="O8" s="459"/>
      <c r="P8" s="459"/>
      <c r="Q8" s="459"/>
      <c r="R8" s="459"/>
      <c r="S8" s="459"/>
    </row>
    <row r="9" spans="1:22">
      <c r="A9" s="2386" t="str">
        <f>'数据-取费表'!AN9</f>
        <v>10、11办公收益法</v>
      </c>
      <c r="B9" s="2384">
        <f ca="1">IF(F9="是",'数据-取费表'!AO9,0)</f>
        <v>22738</v>
      </c>
      <c r="C9" s="1727" t="s">
        <v>1651</v>
      </c>
      <c r="D9" s="2476"/>
      <c r="E9" s="2388">
        <f>IF(OR(A9=0,F9="否"),0,'数据-取费表'!K9+'数据-取费表'!S9)</f>
        <v>41922.74</v>
      </c>
      <c r="F9" s="1730" t="s">
        <v>1657</v>
      </c>
      <c r="G9" s="459"/>
      <c r="H9" s="459"/>
      <c r="I9" s="459"/>
      <c r="J9" s="459"/>
      <c r="K9" s="459"/>
      <c r="L9" s="459"/>
      <c r="M9" s="459"/>
      <c r="N9" s="459"/>
      <c r="O9" s="459"/>
      <c r="P9" s="459"/>
      <c r="Q9" s="459"/>
      <c r="R9" s="459"/>
      <c r="S9" s="459"/>
    </row>
    <row r="10" spans="1:22">
      <c r="A10" s="2386" t="str">
        <f>'数据-取费表'!AN10</f>
        <v>地下车库收益法</v>
      </c>
      <c r="B10" s="2384">
        <f ca="1">IF(F10="是",'数据-取费表'!AO10,0)</f>
        <v>198</v>
      </c>
      <c r="C10" s="1727" t="s">
        <v>1651</v>
      </c>
      <c r="D10" s="2476"/>
      <c r="E10" s="2388">
        <f>IF(OR(A10=0,F10="否"),0,'数据-取费表'!K10+'数据-取费表'!S10)</f>
        <v>4407.28</v>
      </c>
      <c r="F10" s="1730"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7" t="s">
        <v>1651</v>
      </c>
      <c r="D11" s="2476"/>
      <c r="E11" s="2388">
        <f>IF(OR(A11=0,F11="否"),0,'数据-取费表'!K11+'数据-取费表'!S11)</f>
        <v>0</v>
      </c>
      <c r="F11" s="1730"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7" t="s">
        <v>1651</v>
      </c>
      <c r="D12" s="2476"/>
      <c r="E12" s="2388">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1" t="s">
        <v>1651</v>
      </c>
      <c r="D13" s="2478"/>
      <c r="E13" s="2388">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1"/>
      <c r="F1" s="1733"/>
      <c r="G1" s="1150" t="s">
        <v>1767</v>
      </c>
      <c r="H1" s="1149"/>
      <c r="I1" s="1149"/>
      <c r="J1" s="1149"/>
      <c r="K1" s="1151"/>
      <c r="L1" s="1152"/>
      <c r="M1" s="1153"/>
      <c r="N1" s="1153"/>
      <c r="O1" s="1153"/>
      <c r="P1" s="1797"/>
      <c r="Q1" s="1798"/>
      <c r="R1" s="1798"/>
      <c r="S1" s="1798"/>
      <c r="T1" s="1798"/>
      <c r="U1" s="1798"/>
      <c r="V1" s="1798"/>
      <c r="W1" s="1798"/>
      <c r="X1" s="1798"/>
      <c r="Y1" s="1798"/>
      <c r="Z1" s="1798"/>
      <c r="AA1" s="1798"/>
      <c r="AB1" s="1798"/>
      <c r="AC1" s="1799"/>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1800"/>
      <c r="Q2" s="857"/>
      <c r="R2" s="857"/>
      <c r="S2" s="857"/>
      <c r="T2" s="857"/>
      <c r="U2" s="857"/>
      <c r="V2" s="857"/>
      <c r="W2" s="857"/>
      <c r="X2" s="857"/>
      <c r="Y2" s="857"/>
      <c r="Z2" s="857"/>
      <c r="AA2" s="857"/>
      <c r="AB2" s="857"/>
      <c r="AC2" s="1801"/>
    </row>
    <row r="3" spans="1:29" s="342" customFormat="1" ht="28.5" customHeight="1" thickBot="1">
      <c r="A3" s="195" t="s">
        <v>1464</v>
      </c>
      <c r="B3" s="536">
        <f>IF(C2="——",C49,ROUND(B2*10000/D3,0))</f>
        <v>0</v>
      </c>
      <c r="C3" s="344" t="s">
        <v>1768</v>
      </c>
      <c r="D3" s="343">
        <f>IF(D1="",'数据-汇总表'!E3,SUMIF('数据-汇总表'!$C19:$C33,D1,'数据-汇总表'!$E19:$E33))</f>
        <v>83292.240000000005</v>
      </c>
      <c r="E3" s="1801"/>
      <c r="F3" s="854"/>
      <c r="G3" s="853"/>
      <c r="H3" s="853"/>
      <c r="I3" s="853"/>
      <c r="J3" s="853"/>
      <c r="K3" s="855"/>
      <c r="L3" s="2500"/>
      <c r="M3" s="2501"/>
      <c r="N3" s="2501"/>
      <c r="O3" s="2501"/>
      <c r="P3" s="1800"/>
      <c r="Q3" s="857"/>
      <c r="R3" s="857"/>
      <c r="S3" s="857"/>
      <c r="T3" s="857"/>
      <c r="U3" s="857"/>
      <c r="V3" s="857"/>
      <c r="W3" s="857"/>
      <c r="X3" s="857"/>
      <c r="Y3" s="857"/>
      <c r="Z3" s="857"/>
      <c r="AA3" s="857"/>
      <c r="AB3" s="857"/>
      <c r="AC3" s="1801"/>
    </row>
    <row r="4" spans="1:29" ht="15">
      <c r="A4" s="345" t="s">
        <v>1769</v>
      </c>
      <c r="B4" s="346"/>
      <c r="C4" s="3447" t="s">
        <v>1770</v>
      </c>
      <c r="D4" s="3448"/>
      <c r="E4" s="3449" t="s">
        <v>1771</v>
      </c>
      <c r="F4" s="3450"/>
      <c r="G4" s="3447" t="s">
        <v>1772</v>
      </c>
      <c r="H4" s="3448"/>
      <c r="I4" s="3447" t="s">
        <v>1773</v>
      </c>
      <c r="J4" s="3448"/>
      <c r="K4" s="537" t="s">
        <v>1774</v>
      </c>
      <c r="L4" s="2483"/>
      <c r="M4" s="2484"/>
      <c r="N4" s="2484"/>
      <c r="O4" s="2484"/>
      <c r="P4" s="3451" t="s">
        <v>1775</v>
      </c>
      <c r="Q4" s="3452"/>
      <c r="R4" s="3461" t="s">
        <v>1771</v>
      </c>
      <c r="S4" s="3462"/>
      <c r="T4" s="3461" t="s">
        <v>1772</v>
      </c>
      <c r="U4" s="3462"/>
      <c r="V4" s="3439" t="s">
        <v>1773</v>
      </c>
      <c r="W4" s="3439"/>
      <c r="X4" s="1263"/>
      <c r="Y4" s="3461" t="s">
        <v>1775</v>
      </c>
      <c r="Z4" s="3462"/>
      <c r="AA4" s="3444" t="s">
        <v>1771</v>
      </c>
      <c r="AB4" s="3439" t="s">
        <v>1772</v>
      </c>
      <c r="AC4" s="3444" t="s">
        <v>1773</v>
      </c>
    </row>
    <row r="5" spans="1:29" ht="15">
      <c r="A5" s="348"/>
      <c r="B5" s="349"/>
      <c r="C5" s="3465" t="s">
        <v>1673</v>
      </c>
      <c r="D5" s="3466"/>
      <c r="E5" s="3457" t="s">
        <v>1674</v>
      </c>
      <c r="F5" s="3458"/>
      <c r="G5" s="3465" t="s">
        <v>1675</v>
      </c>
      <c r="H5" s="3466"/>
      <c r="I5" s="3465" t="s">
        <v>1676</v>
      </c>
      <c r="J5" s="3466"/>
      <c r="K5" s="537"/>
      <c r="L5" s="2483"/>
      <c r="M5" s="2484"/>
      <c r="N5" s="2484"/>
      <c r="O5" s="2484"/>
      <c r="P5" s="3453"/>
      <c r="Q5" s="3454"/>
      <c r="R5" s="3463"/>
      <c r="S5" s="3464"/>
      <c r="T5" s="3463"/>
      <c r="U5" s="3464"/>
      <c r="V5" s="3439"/>
      <c r="W5" s="3439"/>
      <c r="X5" s="1263"/>
      <c r="Y5" s="3463"/>
      <c r="Z5" s="3464"/>
      <c r="AA5" s="3445"/>
      <c r="AB5" s="3439"/>
      <c r="AC5" s="3445"/>
    </row>
    <row r="6" spans="1:29" ht="15.75" thickBot="1">
      <c r="A6" s="350"/>
      <c r="B6" s="351"/>
      <c r="C6" s="3476" t="s">
        <v>1677</v>
      </c>
      <c r="D6" s="3477"/>
      <c r="E6" s="3478" t="s">
        <v>1677</v>
      </c>
      <c r="F6" s="3479"/>
      <c r="G6" s="3476" t="s">
        <v>1677</v>
      </c>
      <c r="H6" s="3477"/>
      <c r="I6" s="3476" t="s">
        <v>1677</v>
      </c>
      <c r="J6" s="3477"/>
      <c r="K6" s="537" t="s">
        <v>1678</v>
      </c>
      <c r="L6" s="2483"/>
      <c r="M6" s="2484"/>
      <c r="N6" s="2484"/>
      <c r="O6" s="2484"/>
      <c r="P6" s="3455"/>
      <c r="Q6" s="3456"/>
      <c r="R6" s="3463"/>
      <c r="S6" s="3464"/>
      <c r="T6" s="3472"/>
      <c r="U6" s="3473"/>
      <c r="V6" s="3439"/>
      <c r="W6" s="3439"/>
      <c r="X6" s="1263"/>
      <c r="Y6" s="3472"/>
      <c r="Z6" s="3473"/>
      <c r="AA6" s="3446"/>
      <c r="AB6" s="3439"/>
      <c r="AC6" s="3446"/>
    </row>
    <row r="7" spans="1:29" s="102" customFormat="1" ht="15.75" thickBot="1">
      <c r="A7" s="352" t="s">
        <v>1679</v>
      </c>
      <c r="B7" s="353"/>
      <c r="C7" s="354">
        <f>'数据-取费表'!B2</f>
        <v>45463</v>
      </c>
      <c r="D7" s="355">
        <v>100</v>
      </c>
      <c r="E7" s="356"/>
      <c r="F7" s="357">
        <f>SUMIF(58:58,YEAR(E7)&amp;"-"&amp;MONTH(E7),59:59)</f>
        <v>0</v>
      </c>
      <c r="G7" s="356"/>
      <c r="H7" s="355">
        <f>SUMIF(58:58,YEAR(G7)&amp;"-"&amp;MONTH(G7),59:59)</f>
        <v>0</v>
      </c>
      <c r="I7" s="356"/>
      <c r="J7" s="355">
        <f>SUMIF(58:58,YEAR(I7)&amp;"-"&amp;MONTH(I7),59:59)</f>
        <v>0</v>
      </c>
      <c r="K7" s="38"/>
      <c r="L7" s="2485"/>
      <c r="M7" s="2436"/>
      <c r="N7" s="2436"/>
      <c r="O7" s="2436"/>
      <c r="P7" s="3437" t="s">
        <v>1680</v>
      </c>
      <c r="Q7" s="346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437" t="s">
        <v>1683</v>
      </c>
      <c r="Q8" s="3438"/>
      <c r="R8" s="664" t="s">
        <v>14</v>
      </c>
      <c r="S8" s="665">
        <f t="shared" si="0"/>
        <v>100</v>
      </c>
      <c r="T8" s="664" t="s">
        <v>14</v>
      </c>
      <c r="U8" s="665">
        <f t="shared" si="1"/>
        <v>100</v>
      </c>
      <c r="V8" s="664" t="s">
        <v>14</v>
      </c>
      <c r="W8" s="665">
        <f t="shared" si="2"/>
        <v>100</v>
      </c>
      <c r="X8" s="666"/>
      <c r="Y8" s="3437" t="s">
        <v>1683</v>
      </c>
      <c r="Z8" s="343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460"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60"/>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460"/>
      <c r="Q11" s="530" t="str">
        <f t="shared" si="6"/>
        <v>容积率</v>
      </c>
      <c r="R11" s="664" t="s">
        <v>14</v>
      </c>
      <c r="S11" s="665" t="e">
        <f t="shared" si="0"/>
        <v>#N/A</v>
      </c>
      <c r="T11" s="664" t="s">
        <v>14</v>
      </c>
      <c r="U11" s="665" t="e">
        <f t="shared" si="1"/>
        <v>#N/A</v>
      </c>
      <c r="V11" s="664" t="s">
        <v>14</v>
      </c>
      <c r="W11" s="665" t="e">
        <f t="shared" si="2"/>
        <v>#N/A</v>
      </c>
      <c r="X11" s="666"/>
      <c r="Y11" s="338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460"/>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60"/>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60"/>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80" t="s">
        <v>1691</v>
      </c>
      <c r="Q15" s="1261" t="str">
        <f t="shared" si="6"/>
        <v>商业繁华度</v>
      </c>
      <c r="R15" s="667" t="s">
        <v>14</v>
      </c>
      <c r="S15" s="668">
        <f t="shared" si="0"/>
        <v>100</v>
      </c>
      <c r="T15" s="667" t="s">
        <v>14</v>
      </c>
      <c r="U15" s="668">
        <f t="shared" si="1"/>
        <v>100</v>
      </c>
      <c r="V15" s="667" t="s">
        <v>14</v>
      </c>
      <c r="W15" s="668">
        <f t="shared" si="2"/>
        <v>100</v>
      </c>
      <c r="X15" s="1263"/>
      <c r="Y15" s="3440" t="s">
        <v>1691</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89"/>
      <c r="M16" s="2484"/>
      <c r="N16" s="2484"/>
      <c r="O16" s="2484"/>
      <c r="P16" s="3481"/>
      <c r="Q16" s="1261"/>
      <c r="R16" s="667"/>
      <c r="S16" s="668"/>
      <c r="T16" s="667"/>
      <c r="U16" s="668"/>
      <c r="V16" s="667"/>
      <c r="W16" s="668"/>
      <c r="X16" s="1263"/>
      <c r="Y16" s="3441"/>
      <c r="Z16" s="1262"/>
      <c r="AA16" s="1262">
        <v>1</v>
      </c>
      <c r="AB16" s="1262">
        <v>1</v>
      </c>
      <c r="AC16" s="1262">
        <v>1</v>
      </c>
    </row>
    <row r="17" spans="1:29" ht="15">
      <c r="A17" s="367"/>
      <c r="B17" s="390" t="s">
        <v>1259</v>
      </c>
      <c r="C17" s="1752">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81"/>
      <c r="Q17" s="1261" t="str">
        <f>B17</f>
        <v>交通便捷度</v>
      </c>
      <c r="R17" s="667" t="s">
        <v>14</v>
      </c>
      <c r="S17" s="668">
        <f>F17</f>
        <v>100</v>
      </c>
      <c r="T17" s="667" t="s">
        <v>14</v>
      </c>
      <c r="U17" s="668">
        <f>H17</f>
        <v>100</v>
      </c>
      <c r="V17" s="667" t="s">
        <v>14</v>
      </c>
      <c r="W17" s="668">
        <f>J17</f>
        <v>100</v>
      </c>
      <c r="X17" s="1263"/>
      <c r="Y17" s="3441"/>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2489"/>
      <c r="M18" s="2484"/>
      <c r="N18" s="2484"/>
      <c r="O18" s="2484"/>
      <c r="P18" s="3481"/>
      <c r="Q18" s="1261"/>
      <c r="R18" s="667"/>
      <c r="S18" s="668"/>
      <c r="T18" s="667"/>
      <c r="U18" s="668"/>
      <c r="V18" s="667"/>
      <c r="W18" s="668"/>
      <c r="X18" s="1263"/>
      <c r="Y18" s="3441"/>
      <c r="Z18" s="1262"/>
      <c r="AA18" s="1262">
        <v>1</v>
      </c>
      <c r="AB18" s="1262">
        <v>1</v>
      </c>
      <c r="AC18" s="1262">
        <v>1</v>
      </c>
    </row>
    <row r="19" spans="1:29" ht="15">
      <c r="A19" s="367"/>
      <c r="B19" s="390" t="s">
        <v>1778</v>
      </c>
      <c r="C19" s="1752">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81"/>
      <c r="Q19" s="1261" t="str">
        <f>B19</f>
        <v>公共配套设施</v>
      </c>
      <c r="R19" s="667" t="s">
        <v>14</v>
      </c>
      <c r="S19" s="668">
        <f>F19</f>
        <v>100</v>
      </c>
      <c r="T19" s="667" t="s">
        <v>14</v>
      </c>
      <c r="U19" s="668">
        <f>H19</f>
        <v>100</v>
      </c>
      <c r="V19" s="667" t="s">
        <v>14</v>
      </c>
      <c r="W19" s="668">
        <f>J19</f>
        <v>100</v>
      </c>
      <c r="X19" s="1263"/>
      <c r="Y19" s="3441"/>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2489"/>
      <c r="M20" s="2484"/>
      <c r="N20" s="2484"/>
      <c r="O20" s="2484"/>
      <c r="P20" s="3481"/>
      <c r="Q20" s="1261"/>
      <c r="R20" s="667"/>
      <c r="S20" s="668"/>
      <c r="T20" s="667"/>
      <c r="U20" s="668"/>
      <c r="V20" s="667"/>
      <c r="W20" s="668"/>
      <c r="X20" s="1263"/>
      <c r="Y20" s="3441"/>
      <c r="Z20" s="1262"/>
      <c r="AA20" s="1262">
        <v>1</v>
      </c>
      <c r="AB20" s="1262">
        <v>1</v>
      </c>
      <c r="AC20" s="1262">
        <v>1</v>
      </c>
    </row>
    <row r="21" spans="1:29" ht="15">
      <c r="A21" s="367"/>
      <c r="B21" s="586" t="s">
        <v>1779</v>
      </c>
      <c r="C21" s="1752">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81"/>
      <c r="Q21" s="1261" t="str">
        <f>B21</f>
        <v>基础设施水平</v>
      </c>
      <c r="R21" s="667" t="s">
        <v>14</v>
      </c>
      <c r="S21" s="668">
        <f>F21</f>
        <v>100</v>
      </c>
      <c r="T21" s="667" t="s">
        <v>14</v>
      </c>
      <c r="U21" s="668">
        <f>H21</f>
        <v>100</v>
      </c>
      <c r="V21" s="667" t="s">
        <v>14</v>
      </c>
      <c r="W21" s="668">
        <f>J21</f>
        <v>100</v>
      </c>
      <c r="X21" s="1263"/>
      <c r="Y21" s="3441"/>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2489"/>
      <c r="M22" s="2484"/>
      <c r="N22" s="2484"/>
      <c r="O22" s="2484"/>
      <c r="P22" s="3481"/>
      <c r="Q22" s="1261"/>
      <c r="R22" s="667"/>
      <c r="S22" s="668"/>
      <c r="T22" s="667"/>
      <c r="U22" s="668"/>
      <c r="V22" s="667"/>
      <c r="W22" s="668"/>
      <c r="X22" s="1263"/>
      <c r="Y22" s="3441"/>
      <c r="Z22" s="1262"/>
      <c r="AA22" s="1262">
        <v>1</v>
      </c>
      <c r="AB22" s="1262">
        <v>1</v>
      </c>
      <c r="AC22" s="1262">
        <v>1</v>
      </c>
    </row>
    <row r="23" spans="1:29" ht="15">
      <c r="A23" s="367"/>
      <c r="B23" s="390" t="s">
        <v>1261</v>
      </c>
      <c r="C23" s="1802">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81"/>
      <c r="Q23" s="1261" t="str">
        <f>B23</f>
        <v>自然及人文环境</v>
      </c>
      <c r="R23" s="667" t="s">
        <v>14</v>
      </c>
      <c r="S23" s="668">
        <f>F23</f>
        <v>100</v>
      </c>
      <c r="T23" s="667" t="s">
        <v>14</v>
      </c>
      <c r="U23" s="668">
        <f>H23</f>
        <v>100</v>
      </c>
      <c r="V23" s="667" t="s">
        <v>14</v>
      </c>
      <c r="W23" s="668">
        <f>J23</f>
        <v>100</v>
      </c>
      <c r="X23" s="1263"/>
      <c r="Y23" s="3441"/>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41"/>
      <c r="L24" s="2489"/>
      <c r="M24" s="2484"/>
      <c r="N24" s="2484"/>
      <c r="O24" s="2484"/>
      <c r="P24" s="3481"/>
      <c r="Q24" s="1261"/>
      <c r="R24" s="667"/>
      <c r="S24" s="668"/>
      <c r="T24" s="667"/>
      <c r="U24" s="668"/>
      <c r="V24" s="667"/>
      <c r="W24" s="668"/>
      <c r="X24" s="1263"/>
      <c r="Y24" s="3441"/>
      <c r="Z24" s="1262"/>
      <c r="AA24" s="1262">
        <v>1</v>
      </c>
      <c r="AB24" s="1262">
        <v>1</v>
      </c>
      <c r="AC24" s="1262">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81"/>
      <c r="Q25" s="1261" t="str">
        <f t="shared" ref="Q25:Q46" si="11">B25</f>
        <v>临街状况</v>
      </c>
      <c r="R25" s="667" t="s">
        <v>14</v>
      </c>
      <c r="S25" s="668">
        <f>F25</f>
        <v>100</v>
      </c>
      <c r="T25" s="667" t="s">
        <v>14</v>
      </c>
      <c r="U25" s="668">
        <f>H25</f>
        <v>100</v>
      </c>
      <c r="V25" s="667" t="s">
        <v>14</v>
      </c>
      <c r="W25" s="668">
        <f>J25</f>
        <v>100</v>
      </c>
      <c r="X25" s="1263"/>
      <c r="Y25" s="3441"/>
      <c r="Z25" s="1262" t="str">
        <f>Q25</f>
        <v>临街状况</v>
      </c>
      <c r="AA25" s="1262">
        <f t="shared" si="3"/>
        <v>1</v>
      </c>
      <c r="AB25" s="1262">
        <f t="shared" si="4"/>
        <v>1</v>
      </c>
      <c r="AC25" s="1262">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81"/>
      <c r="Q26" s="1261" t="str">
        <f t="shared" si="11"/>
        <v>平面位置/可视性</v>
      </c>
      <c r="R26" s="667" t="s">
        <v>14</v>
      </c>
      <c r="S26" s="668">
        <f>F26</f>
        <v>100</v>
      </c>
      <c r="T26" s="667" t="s">
        <v>14</v>
      </c>
      <c r="U26" s="668">
        <f>H26</f>
        <v>100</v>
      </c>
      <c r="V26" s="667" t="s">
        <v>14</v>
      </c>
      <c r="W26" s="668">
        <f>J26</f>
        <v>100</v>
      </c>
      <c r="X26" s="1263"/>
      <c r="Y26" s="3441"/>
      <c r="Z26" s="1262" t="str">
        <f>Q26</f>
        <v>平面位置/可视性</v>
      </c>
      <c r="AA26" s="1262">
        <f t="shared" si="3"/>
        <v>1</v>
      </c>
      <c r="AB26" s="1262">
        <f t="shared" si="4"/>
        <v>1</v>
      </c>
      <c r="AC26" s="1262">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8"/>
      <c r="L27" s="2485"/>
      <c r="M27" s="2436"/>
      <c r="N27" s="2436"/>
      <c r="O27" s="2436"/>
      <c r="P27" s="3481"/>
      <c r="Q27" s="530" t="str">
        <f t="shared" si="11"/>
        <v>人流量</v>
      </c>
      <c r="R27" s="664" t="s">
        <v>14</v>
      </c>
      <c r="S27" s="665">
        <f>F27</f>
        <v>100</v>
      </c>
      <c r="T27" s="664" t="s">
        <v>14</v>
      </c>
      <c r="U27" s="665">
        <f>H27</f>
        <v>100</v>
      </c>
      <c r="V27" s="664" t="s">
        <v>14</v>
      </c>
      <c r="W27" s="665">
        <f>J27</f>
        <v>100</v>
      </c>
      <c r="X27" s="666"/>
      <c r="Y27" s="3441"/>
      <c r="Z27" s="50" t="str">
        <f>Q27</f>
        <v>人流量</v>
      </c>
      <c r="AA27" s="1262">
        <f>D27/F27</f>
        <v>1</v>
      </c>
      <c r="AB27" s="1262">
        <f>D27/H27</f>
        <v>1</v>
      </c>
      <c r="AC27" s="1262">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81"/>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41"/>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81"/>
      <c r="Q29" s="1261">
        <f t="shared" si="11"/>
        <v>111</v>
      </c>
      <c r="R29" s="667" t="s">
        <v>14</v>
      </c>
      <c r="S29" s="668">
        <f t="shared" si="12"/>
        <v>100</v>
      </c>
      <c r="T29" s="667" t="s">
        <v>14</v>
      </c>
      <c r="U29" s="668">
        <f t="shared" si="13"/>
        <v>100</v>
      </c>
      <c r="V29" s="667" t="s">
        <v>14</v>
      </c>
      <c r="W29" s="668">
        <f t="shared" si="14"/>
        <v>100</v>
      </c>
      <c r="X29" s="1263"/>
      <c r="Y29" s="3441"/>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81"/>
      <c r="Q30" s="1261">
        <f t="shared" si="11"/>
        <v>111</v>
      </c>
      <c r="R30" s="667" t="s">
        <v>14</v>
      </c>
      <c r="S30" s="668">
        <f t="shared" si="12"/>
        <v>100</v>
      </c>
      <c r="T30" s="667" t="s">
        <v>14</v>
      </c>
      <c r="U30" s="668">
        <f t="shared" si="13"/>
        <v>100</v>
      </c>
      <c r="V30" s="667" t="s">
        <v>14</v>
      </c>
      <c r="W30" s="668">
        <f t="shared" si="14"/>
        <v>100</v>
      </c>
      <c r="X30" s="1263"/>
      <c r="Y30" s="3441"/>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81"/>
      <c r="Q31" s="1261">
        <f t="shared" si="11"/>
        <v>111</v>
      </c>
      <c r="R31" s="667" t="s">
        <v>14</v>
      </c>
      <c r="S31" s="668">
        <f t="shared" si="12"/>
        <v>100</v>
      </c>
      <c r="T31" s="667" t="s">
        <v>14</v>
      </c>
      <c r="U31" s="668">
        <f t="shared" si="13"/>
        <v>100</v>
      </c>
      <c r="V31" s="667" t="s">
        <v>14</v>
      </c>
      <c r="W31" s="668">
        <f t="shared" si="14"/>
        <v>100</v>
      </c>
      <c r="X31" s="1263"/>
      <c r="Y31" s="3441"/>
      <c r="Z31" s="1262">
        <f t="shared" si="15"/>
        <v>111</v>
      </c>
      <c r="AA31" s="1262">
        <f t="shared" si="3"/>
        <v>1</v>
      </c>
      <c r="AB31" s="1262">
        <f t="shared" si="4"/>
        <v>1</v>
      </c>
      <c r="AC31" s="1262">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9"/>
      <c r="M32" s="2484"/>
      <c r="N32" s="2484"/>
      <c r="O32" s="2484"/>
      <c r="P32" s="3482" t="s">
        <v>1696</v>
      </c>
      <c r="Q32" s="1261" t="str">
        <f t="shared" si="11"/>
        <v>商业类型</v>
      </c>
      <c r="R32" s="667" t="s">
        <v>14</v>
      </c>
      <c r="S32" s="668">
        <f t="shared" si="12"/>
        <v>100</v>
      </c>
      <c r="T32" s="667" t="s">
        <v>14</v>
      </c>
      <c r="U32" s="668">
        <f t="shared" si="13"/>
        <v>100</v>
      </c>
      <c r="V32" s="667" t="s">
        <v>14</v>
      </c>
      <c r="W32" s="668">
        <f t="shared" si="14"/>
        <v>100</v>
      </c>
      <c r="X32" s="1263"/>
      <c r="Y32" s="3443" t="s">
        <v>1696</v>
      </c>
      <c r="Z32" s="1262" t="str">
        <f t="shared" si="15"/>
        <v>商业类型</v>
      </c>
      <c r="AA32" s="1262">
        <f t="shared" si="3"/>
        <v>1</v>
      </c>
      <c r="AB32" s="1262">
        <f t="shared" si="4"/>
        <v>1</v>
      </c>
      <c r="AC32" s="1262">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83"/>
      <c r="Q33" s="531" t="str">
        <f t="shared" si="11"/>
        <v>项目建筑规模</v>
      </c>
      <c r="R33" s="669" t="s">
        <v>14</v>
      </c>
      <c r="S33" s="670" t="e">
        <f t="shared" si="12"/>
        <v>#N/A</v>
      </c>
      <c r="T33" s="669" t="s">
        <v>14</v>
      </c>
      <c r="U33" s="670" t="e">
        <f t="shared" si="13"/>
        <v>#N/A</v>
      </c>
      <c r="V33" s="669" t="s">
        <v>14</v>
      </c>
      <c r="W33" s="670" t="e">
        <f t="shared" si="14"/>
        <v>#N/A</v>
      </c>
      <c r="X33" s="671"/>
      <c r="Y33" s="3443"/>
      <c r="Z33" s="672" t="str">
        <f t="shared" si="15"/>
        <v>项目建筑规模</v>
      </c>
      <c r="AA33" s="1262" t="e">
        <f t="shared" si="3"/>
        <v>#N/A</v>
      </c>
      <c r="AB33" s="1262" t="e">
        <f t="shared" si="4"/>
        <v>#N/A</v>
      </c>
      <c r="AC33" s="1262"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83"/>
      <c r="Q34" s="1261" t="str">
        <f t="shared" si="11"/>
        <v>建筑结构</v>
      </c>
      <c r="R34" s="667" t="s">
        <v>14</v>
      </c>
      <c r="S34" s="668">
        <f t="shared" si="12"/>
        <v>100</v>
      </c>
      <c r="T34" s="667" t="s">
        <v>14</v>
      </c>
      <c r="U34" s="668">
        <f t="shared" si="13"/>
        <v>100</v>
      </c>
      <c r="V34" s="667" t="s">
        <v>14</v>
      </c>
      <c r="W34" s="668">
        <f t="shared" si="14"/>
        <v>100</v>
      </c>
      <c r="X34" s="1263"/>
      <c r="Y34" s="3443"/>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9"/>
      <c r="M35" s="2484"/>
      <c r="N35" s="2484"/>
      <c r="O35" s="2484"/>
      <c r="P35" s="3483"/>
      <c r="Q35" s="1261" t="str">
        <f t="shared" si="11"/>
        <v>公共部分装修</v>
      </c>
      <c r="R35" s="667" t="s">
        <v>14</v>
      </c>
      <c r="S35" s="668">
        <f t="shared" si="12"/>
        <v>100</v>
      </c>
      <c r="T35" s="667" t="s">
        <v>14</v>
      </c>
      <c r="U35" s="668">
        <f t="shared" si="13"/>
        <v>100</v>
      </c>
      <c r="V35" s="667" t="s">
        <v>14</v>
      </c>
      <c r="W35" s="668">
        <f t="shared" si="14"/>
        <v>100</v>
      </c>
      <c r="X35" s="1263"/>
      <c r="Y35" s="3443"/>
      <c r="Z35" s="1262" t="str">
        <f t="shared" si="15"/>
        <v>公共部分装修</v>
      </c>
      <c r="AA35" s="1262">
        <f t="shared" si="3"/>
        <v>1</v>
      </c>
      <c r="AB35" s="1262">
        <f t="shared" si="4"/>
        <v>1</v>
      </c>
      <c r="AC35" s="1262">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83"/>
      <c r="Q36" s="1261" t="str">
        <f t="shared" si="11"/>
        <v>成新度</v>
      </c>
      <c r="R36" s="667" t="s">
        <v>14</v>
      </c>
      <c r="S36" s="668" t="e">
        <f t="shared" si="12"/>
        <v>#N/A</v>
      </c>
      <c r="T36" s="667" t="s">
        <v>14</v>
      </c>
      <c r="U36" s="668" t="e">
        <f t="shared" si="13"/>
        <v>#N/A</v>
      </c>
      <c r="V36" s="667" t="s">
        <v>14</v>
      </c>
      <c r="W36" s="668" t="e">
        <f t="shared" si="14"/>
        <v>#N/A</v>
      </c>
      <c r="X36" s="1263"/>
      <c r="Y36" s="3443"/>
      <c r="Z36" s="1262" t="str">
        <f t="shared" si="15"/>
        <v>成新度</v>
      </c>
      <c r="AA36" s="1262" t="e">
        <f t="shared" si="3"/>
        <v>#N/A</v>
      </c>
      <c r="AB36" s="1262" t="e">
        <f t="shared" si="4"/>
        <v>#N/A</v>
      </c>
      <c r="AC36" s="1262"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5"/>
      <c r="M37" s="2436"/>
      <c r="N37" s="2436"/>
      <c r="O37" s="2436"/>
      <c r="P37" s="3483"/>
      <c r="Q37" s="530" t="str">
        <f t="shared" si="11"/>
        <v>市政基础设施</v>
      </c>
      <c r="R37" s="664" t="s">
        <v>14</v>
      </c>
      <c r="S37" s="665">
        <f t="shared" si="12"/>
        <v>100</v>
      </c>
      <c r="T37" s="664" t="s">
        <v>14</v>
      </c>
      <c r="U37" s="665">
        <f t="shared" si="13"/>
        <v>100</v>
      </c>
      <c r="V37" s="664" t="s">
        <v>14</v>
      </c>
      <c r="W37" s="665">
        <f t="shared" si="14"/>
        <v>100</v>
      </c>
      <c r="X37" s="666"/>
      <c r="Y37" s="3443"/>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9"/>
      <c r="M38" s="2484"/>
      <c r="N38" s="2484"/>
      <c r="O38" s="2484"/>
      <c r="P38" s="3483" t="s">
        <v>1696</v>
      </c>
      <c r="Q38" s="1261" t="str">
        <f t="shared" si="11"/>
        <v>业态</v>
      </c>
      <c r="R38" s="667" t="s">
        <v>14</v>
      </c>
      <c r="S38" s="668">
        <f t="shared" si="12"/>
        <v>100</v>
      </c>
      <c r="T38" s="667" t="s">
        <v>14</v>
      </c>
      <c r="U38" s="668">
        <f t="shared" si="13"/>
        <v>100</v>
      </c>
      <c r="V38" s="667" t="s">
        <v>14</v>
      </c>
      <c r="W38" s="668">
        <f t="shared" si="14"/>
        <v>100</v>
      </c>
      <c r="X38" s="1263"/>
      <c r="Y38" s="3443" t="s">
        <v>1696</v>
      </c>
      <c r="Z38" s="1262" t="str">
        <f t="shared" si="15"/>
        <v>业态</v>
      </c>
      <c r="AA38" s="1262">
        <f t="shared" si="3"/>
        <v>1</v>
      </c>
      <c r="AB38" s="1262">
        <f t="shared" si="4"/>
        <v>1</v>
      </c>
      <c r="AC38" s="1262">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9"/>
      <c r="M39" s="2484"/>
      <c r="N39" s="2484"/>
      <c r="O39" s="2484"/>
      <c r="P39" s="3483"/>
      <c r="Q39" s="1261" t="str">
        <f t="shared" si="11"/>
        <v>层高</v>
      </c>
      <c r="R39" s="667" t="s">
        <v>14</v>
      </c>
      <c r="S39" s="668">
        <f t="shared" si="12"/>
        <v>100</v>
      </c>
      <c r="T39" s="667" t="s">
        <v>14</v>
      </c>
      <c r="U39" s="668">
        <f t="shared" si="13"/>
        <v>100</v>
      </c>
      <c r="V39" s="667" t="s">
        <v>14</v>
      </c>
      <c r="W39" s="668">
        <f t="shared" si="14"/>
        <v>100</v>
      </c>
      <c r="X39" s="1263"/>
      <c r="Y39" s="3443"/>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83"/>
      <c r="Q40" s="1261" t="str">
        <f t="shared" si="11"/>
        <v>单套建筑面积</v>
      </c>
      <c r="R40" s="667" t="s">
        <v>14</v>
      </c>
      <c r="S40" s="668">
        <f t="shared" si="12"/>
        <v>100</v>
      </c>
      <c r="T40" s="667" t="s">
        <v>14</v>
      </c>
      <c r="U40" s="668">
        <f t="shared" si="13"/>
        <v>100</v>
      </c>
      <c r="V40" s="667" t="s">
        <v>14</v>
      </c>
      <c r="W40" s="668">
        <f t="shared" si="14"/>
        <v>100</v>
      </c>
      <c r="X40" s="1263"/>
      <c r="Y40" s="3443"/>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83"/>
      <c r="Q41" s="531" t="str">
        <f t="shared" si="11"/>
        <v>进深比</v>
      </c>
      <c r="R41" s="669" t="s">
        <v>14</v>
      </c>
      <c r="S41" s="670">
        <f t="shared" si="12"/>
        <v>100</v>
      </c>
      <c r="T41" s="669" t="s">
        <v>14</v>
      </c>
      <c r="U41" s="670">
        <f t="shared" si="13"/>
        <v>100</v>
      </c>
      <c r="V41" s="669" t="s">
        <v>14</v>
      </c>
      <c r="W41" s="670">
        <f t="shared" si="14"/>
        <v>100</v>
      </c>
      <c r="X41" s="671"/>
      <c r="Y41" s="3443"/>
      <c r="Z41" s="672"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9"/>
      <c r="M42" s="2484"/>
      <c r="N42" s="2484"/>
      <c r="O42" s="2484"/>
      <c r="P42" s="3483"/>
      <c r="Q42" s="1261" t="str">
        <f t="shared" si="11"/>
        <v>内部装修</v>
      </c>
      <c r="R42" s="667" t="s">
        <v>14</v>
      </c>
      <c r="S42" s="668">
        <f t="shared" si="12"/>
        <v>100</v>
      </c>
      <c r="T42" s="667" t="s">
        <v>14</v>
      </c>
      <c r="U42" s="668">
        <f t="shared" si="13"/>
        <v>100</v>
      </c>
      <c r="V42" s="667" t="s">
        <v>14</v>
      </c>
      <c r="W42" s="668">
        <f t="shared" si="14"/>
        <v>100</v>
      </c>
      <c r="X42" s="1263"/>
      <c r="Y42" s="3443"/>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9"/>
      <c r="M43" s="2484"/>
      <c r="N43" s="2484"/>
      <c r="O43" s="2484"/>
      <c r="P43" s="3483"/>
      <c r="Q43" s="1261" t="str">
        <f t="shared" si="11"/>
        <v>内部装修维护情况</v>
      </c>
      <c r="R43" s="667" t="s">
        <v>14</v>
      </c>
      <c r="S43" s="668">
        <f t="shared" si="12"/>
        <v>100</v>
      </c>
      <c r="T43" s="667" t="s">
        <v>14</v>
      </c>
      <c r="U43" s="668">
        <f t="shared" si="13"/>
        <v>100</v>
      </c>
      <c r="V43" s="667" t="s">
        <v>14</v>
      </c>
      <c r="W43" s="668">
        <f t="shared" si="14"/>
        <v>100</v>
      </c>
      <c r="X43" s="1263"/>
      <c r="Y43" s="3443"/>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483"/>
      <c r="Q44" s="530">
        <f t="shared" si="11"/>
        <v>111</v>
      </c>
      <c r="R44" s="664" t="s">
        <v>14</v>
      </c>
      <c r="S44" s="665">
        <f t="shared" si="12"/>
        <v>100</v>
      </c>
      <c r="T44" s="664" t="s">
        <v>14</v>
      </c>
      <c r="U44" s="665">
        <f t="shared" si="13"/>
        <v>100</v>
      </c>
      <c r="V44" s="664" t="s">
        <v>14</v>
      </c>
      <c r="W44" s="665">
        <f t="shared" si="14"/>
        <v>100</v>
      </c>
      <c r="X44" s="666"/>
      <c r="Y44" s="3443"/>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83"/>
      <c r="Q45" s="1261">
        <f t="shared" si="11"/>
        <v>111</v>
      </c>
      <c r="R45" s="667" t="s">
        <v>14</v>
      </c>
      <c r="S45" s="668">
        <f t="shared" si="12"/>
        <v>100</v>
      </c>
      <c r="T45" s="667" t="s">
        <v>14</v>
      </c>
      <c r="U45" s="668">
        <f t="shared" si="13"/>
        <v>100</v>
      </c>
      <c r="V45" s="667" t="s">
        <v>14</v>
      </c>
      <c r="W45" s="668">
        <f t="shared" si="14"/>
        <v>100</v>
      </c>
      <c r="X45" s="1263"/>
      <c r="Y45" s="3443"/>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84"/>
      <c r="Q46" s="1261">
        <f t="shared" si="11"/>
        <v>111</v>
      </c>
      <c r="R46" s="667" t="s">
        <v>14</v>
      </c>
      <c r="S46" s="668">
        <f t="shared" si="12"/>
        <v>100</v>
      </c>
      <c r="T46" s="667" t="s">
        <v>14</v>
      </c>
      <c r="U46" s="668">
        <f t="shared" si="13"/>
        <v>100</v>
      </c>
      <c r="V46" s="667" t="s">
        <v>14</v>
      </c>
      <c r="W46" s="668">
        <f t="shared" si="14"/>
        <v>100</v>
      </c>
      <c r="X46" s="1263"/>
      <c r="Y46" s="3485"/>
      <c r="Z46" s="1262">
        <f t="shared" si="15"/>
        <v>111</v>
      </c>
      <c r="AA46" s="1262">
        <f t="shared" si="3"/>
        <v>1</v>
      </c>
      <c r="AB46" s="1262">
        <f t="shared" si="4"/>
        <v>1</v>
      </c>
      <c r="AC46" s="1262">
        <f t="shared" si="5"/>
        <v>1</v>
      </c>
    </row>
    <row r="47" spans="1:29" ht="15">
      <c r="A47" s="416" t="s">
        <v>1708</v>
      </c>
      <c r="B47" s="417"/>
      <c r="C47" s="1079" t="s">
        <v>0</v>
      </c>
      <c r="D47" s="418"/>
      <c r="E47" s="419"/>
      <c r="F47" s="420"/>
      <c r="G47" s="421"/>
      <c r="H47" s="422"/>
      <c r="I47" s="419"/>
      <c r="J47" s="422"/>
      <c r="K47" s="674"/>
      <c r="L47" s="2491"/>
      <c r="M47" s="2484"/>
      <c r="N47" s="2484"/>
      <c r="O47" s="2484"/>
      <c r="P47" s="3435" t="str">
        <f>A47</f>
        <v>成交单价（元/平方米）</v>
      </c>
      <c r="Q47" s="3435"/>
      <c r="R47" s="3439">
        <f>E47</f>
        <v>0</v>
      </c>
      <c r="S47" s="3439"/>
      <c r="T47" s="3439">
        <f>G47</f>
        <v>0</v>
      </c>
      <c r="U47" s="3439"/>
      <c r="V47" s="3439">
        <f>I47</f>
        <v>0</v>
      </c>
      <c r="W47" s="3439"/>
      <c r="X47" s="385"/>
      <c r="Y47" s="673"/>
      <c r="Z47" s="385"/>
      <c r="AA47" s="385"/>
      <c r="AB47" s="385"/>
      <c r="AC47" s="385"/>
    </row>
    <row r="48" spans="1:29" ht="15.75" thickBot="1">
      <c r="A48" s="423" t="s">
        <v>1793</v>
      </c>
      <c r="B48" s="424"/>
      <c r="C48" s="1080" t="e">
        <f>R49</f>
        <v>#DIV/0!</v>
      </c>
      <c r="D48" s="2137" t="s">
        <v>2137</v>
      </c>
      <c r="E48" s="1081" t="e">
        <f>R48</f>
        <v>#DIV/0!</v>
      </c>
      <c r="F48" s="2138"/>
      <c r="G48" s="1080" t="e">
        <f>T48</f>
        <v>#DIV/0!</v>
      </c>
      <c r="H48" s="2138"/>
      <c r="I48" s="1081" t="e">
        <f>V48</f>
        <v>#DIV/0!</v>
      </c>
      <c r="J48" s="2138"/>
      <c r="K48" s="2140">
        <f>F48+H48+J48</f>
        <v>0</v>
      </c>
      <c r="L48" s="2491"/>
      <c r="M48" s="2484"/>
      <c r="N48" s="2484"/>
      <c r="O48" s="2484"/>
      <c r="P48" s="3435" t="str">
        <f>A48</f>
        <v>比较价值（元/平方米）</v>
      </c>
      <c r="Q48" s="3435"/>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432" t="str">
        <f>A49</f>
        <v>估价对象XX用房的比较价值（楼面单价，元/平方米）</v>
      </c>
      <c r="Q49" s="3433"/>
      <c r="R49" s="3486" t="e">
        <f>IF(F1="售价",ROUND(IF(D48="简单平均",AVERAGE(R48:V48),R48*F48+T48*H48+V48*J48),0),ROUND(IF(D48="简单平均",AVERAGE(R48:V48),R48*F48+T48*H48+V48*J48),1))</f>
        <v>#DIV/0!</v>
      </c>
      <c r="S49" s="3486"/>
      <c r="T49" s="3486"/>
      <c r="U49" s="3486"/>
      <c r="V49" s="3486"/>
      <c r="W49" s="348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6"/>
      <c r="M57" s="884"/>
      <c r="N57" s="884"/>
      <c r="O57" s="884"/>
      <c r="P57" s="2504"/>
      <c r="Q57" s="2505"/>
      <c r="R57" s="2484"/>
      <c r="S57" s="2484"/>
      <c r="T57" s="2484"/>
      <c r="U57" s="2484"/>
      <c r="V57" s="2484"/>
      <c r="W57" s="2484"/>
      <c r="X57" s="2484"/>
      <c r="Y57" s="2484"/>
      <c r="Z57" s="2484"/>
      <c r="AA57" s="2484"/>
      <c r="AB57" s="2484"/>
      <c r="AC57" s="2484"/>
    </row>
    <row r="58" spans="1:29" s="442" customFormat="1" ht="15">
      <c r="A58" s="440" t="s">
        <v>1679</v>
      </c>
      <c r="B58" s="441"/>
      <c r="C58" s="1101" t="str">
        <f>YEAR(C7)&amp;"-"&amp;MONTH(C7)</f>
        <v>2024-6</v>
      </c>
      <c r="D58" s="1102">
        <f>EDATE(C58,-1)</f>
        <v>45413</v>
      </c>
      <c r="E58" s="1102">
        <f t="shared" ref="E58:N58" si="16">EDATE(D58,-1)</f>
        <v>45383</v>
      </c>
      <c r="F58" s="1102">
        <f t="shared" si="16"/>
        <v>45352</v>
      </c>
      <c r="G58" s="1102">
        <f t="shared" si="16"/>
        <v>45323</v>
      </c>
      <c r="H58" s="1102">
        <f t="shared" si="16"/>
        <v>45292</v>
      </c>
      <c r="I58" s="1102">
        <f t="shared" si="16"/>
        <v>45261</v>
      </c>
      <c r="J58" s="1102">
        <f t="shared" si="16"/>
        <v>45231</v>
      </c>
      <c r="K58" s="1102">
        <f t="shared" si="16"/>
        <v>45200</v>
      </c>
      <c r="L58" s="1102">
        <f t="shared" si="16"/>
        <v>45170</v>
      </c>
      <c r="M58" s="1102">
        <f t="shared" si="16"/>
        <v>45139</v>
      </c>
      <c r="N58" s="1102">
        <f t="shared" si="16"/>
        <v>45108</v>
      </c>
      <c r="O58" s="1102">
        <f>EDATE(N58,-1)</f>
        <v>45078</v>
      </c>
      <c r="P58" s="2506"/>
      <c r="Q58" s="2507"/>
      <c r="R58" s="2507"/>
      <c r="S58" s="2507"/>
      <c r="T58" s="2507"/>
      <c r="U58" s="2507"/>
      <c r="V58" s="2507"/>
      <c r="W58" s="2507"/>
      <c r="X58" s="2507"/>
      <c r="Y58" s="2507"/>
      <c r="Z58" s="2507"/>
      <c r="AA58" s="2507"/>
      <c r="AB58" s="2507"/>
      <c r="AC58" s="2507"/>
    </row>
    <row r="59" spans="1:29" s="102" customFormat="1" ht="15">
      <c r="A59" s="443"/>
      <c r="B59" s="444"/>
      <c r="C59" s="1100">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1"/>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6"/>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cfRule type="containsText" dxfId="127" priority="17" stopIfTrue="1" operator="containsText" text="超过">
      <formula>NOT(ISERROR(SEARCH("超过",F52)))</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G54">
    <cfRule type="expression" dxfId="124" priority="13"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conditionalFormatting sqref="J52:J54">
    <cfRule type="containsText" dxfId="11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估价对象为北京市房地产，为所有。根据《国有土地使用证》[]，估价对象（分摊）出让国有建设用地使用权面积为55606.63平方米，建筑面积为83292.24平方米。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估价对象为北京市房地产,为开发建设的，该项目尚在开发建设中。根据《国有土地使用证》[]，估价对象（分摊）出让国有建设用地使用权面积为55606.63平方米，规划建筑面积为83292.24平方米。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2024年6月20日（评估专业人员实地查勘之日）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896</v>
      </c>
    </row>
    <row r="24" spans="1:1" ht="18">
      <c r="A24" s="1385" t="str">
        <f>"本次评估采用的主估价方法为"&amp;结果表!K4&amp;"和"&amp;结果表!L4&amp;"。"</f>
        <v>本次评估采用的主估价方法为成本法和收益法。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3325</v>
      </c>
      <c r="C1" s="1139" t="s">
        <v>1662</v>
      </c>
      <c r="D1" s="1140"/>
      <c r="E1" s="3128"/>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0"/>
      <c r="M3" s="2501" t="e">
        <f ca="1">IF(C2="——",IF(B37="元/平方米",ROUND(C39*D3/10000,0),ROUND(F3*C39/10000,0)),IF(B37="元/平方米",ROUND(C39*D3/10000,0),ROUND(F3*C39/10000,0))-D2)</f>
        <v>#DIV/0!</v>
      </c>
      <c r="N3" s="2501"/>
      <c r="O3" s="2501"/>
      <c r="P3" s="1084"/>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3"/>
      <c r="M4" s="2484"/>
      <c r="N4" s="2484"/>
      <c r="O4" s="2484"/>
      <c r="P4" s="3451" t="s">
        <v>1775</v>
      </c>
      <c r="Q4" s="3452"/>
      <c r="R4" s="3461" t="s">
        <v>1771</v>
      </c>
      <c r="S4" s="3462"/>
      <c r="T4" s="3461" t="s">
        <v>1772</v>
      </c>
      <c r="U4" s="3462"/>
      <c r="V4" s="3439" t="s">
        <v>1773</v>
      </c>
      <c r="W4" s="3439"/>
      <c r="X4" s="1263"/>
      <c r="Y4" s="3461" t="s">
        <v>1775</v>
      </c>
      <c r="Z4" s="3462"/>
      <c r="AA4" s="3444" t="s">
        <v>1771</v>
      </c>
      <c r="AB4" s="3445" t="s">
        <v>1772</v>
      </c>
      <c r="AC4" s="3444" t="s">
        <v>1773</v>
      </c>
    </row>
    <row r="5" spans="1:29" ht="15">
      <c r="A5" s="348"/>
      <c r="B5" s="349"/>
      <c r="C5" s="3465" t="s">
        <v>1673</v>
      </c>
      <c r="D5" s="3466"/>
      <c r="E5" s="3457" t="s">
        <v>1674</v>
      </c>
      <c r="F5" s="3458"/>
      <c r="G5" s="3465" t="s">
        <v>1675</v>
      </c>
      <c r="H5" s="3466"/>
      <c r="I5" s="3465" t="s">
        <v>1676</v>
      </c>
      <c r="J5" s="3466"/>
      <c r="K5" s="537"/>
      <c r="L5" s="2483"/>
      <c r="M5" s="2484"/>
      <c r="N5" s="2484"/>
      <c r="O5" s="2484"/>
      <c r="P5" s="3453"/>
      <c r="Q5" s="3454"/>
      <c r="R5" s="3463"/>
      <c r="S5" s="3464"/>
      <c r="T5" s="3463"/>
      <c r="U5" s="3464"/>
      <c r="V5" s="3439"/>
      <c r="W5" s="3439"/>
      <c r="X5" s="1263"/>
      <c r="Y5" s="3463"/>
      <c r="Z5" s="3464"/>
      <c r="AA5" s="3445"/>
      <c r="AB5" s="3445"/>
      <c r="AC5" s="3445"/>
    </row>
    <row r="6" spans="1:29" ht="15.75" thickBot="1">
      <c r="A6" s="350"/>
      <c r="B6" s="351"/>
      <c r="C6" s="3476" t="s">
        <v>1677</v>
      </c>
      <c r="D6" s="3477"/>
      <c r="E6" s="3478" t="s">
        <v>1677</v>
      </c>
      <c r="F6" s="3479"/>
      <c r="G6" s="3476" t="s">
        <v>1677</v>
      </c>
      <c r="H6" s="3477"/>
      <c r="I6" s="3476" t="s">
        <v>1677</v>
      </c>
      <c r="J6" s="3477"/>
      <c r="K6" s="537" t="s">
        <v>1678</v>
      </c>
      <c r="L6" s="2483"/>
      <c r="M6" s="2484"/>
      <c r="N6" s="2484"/>
      <c r="O6" s="2484"/>
      <c r="P6" s="3455"/>
      <c r="Q6" s="3456"/>
      <c r="R6" s="3463"/>
      <c r="S6" s="3464"/>
      <c r="T6" s="3472"/>
      <c r="U6" s="3473"/>
      <c r="V6" s="3439"/>
      <c r="W6" s="3439"/>
      <c r="X6" s="1263"/>
      <c r="Y6" s="3472"/>
      <c r="Z6" s="3473"/>
      <c r="AA6" s="3446"/>
      <c r="AB6" s="3446"/>
      <c r="AC6" s="3446"/>
    </row>
    <row r="7" spans="1:29" s="102" customFormat="1" ht="15.75" thickBot="1">
      <c r="A7" s="352" t="s">
        <v>1679</v>
      </c>
      <c r="B7" s="353"/>
      <c r="C7" s="354">
        <f>'数据-取费表'!B2</f>
        <v>45463</v>
      </c>
      <c r="D7" s="355">
        <v>100</v>
      </c>
      <c r="E7" s="356"/>
      <c r="F7" s="357">
        <f>SUMIF(48:48,YEAR(E7)&amp;"-"&amp;MONTH(E7),49:49)</f>
        <v>0</v>
      </c>
      <c r="G7" s="356"/>
      <c r="H7" s="355">
        <f>SUMIF(48:48,YEAR(G7)&amp;"-"&amp;MONTH(G7),49:49)</f>
        <v>0</v>
      </c>
      <c r="I7" s="356"/>
      <c r="J7" s="355">
        <f>SUMIF(48:48,YEAR(I7)&amp;"-"&amp;MONTH(I7),49:49)</f>
        <v>0</v>
      </c>
      <c r="K7" s="38"/>
      <c r="L7" s="2485"/>
      <c r="M7" s="2436"/>
      <c r="N7" s="2436"/>
      <c r="O7" s="2436"/>
      <c r="P7" s="3437" t="s">
        <v>1680</v>
      </c>
      <c r="Q7" s="346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437" t="s">
        <v>1683</v>
      </c>
      <c r="Q8" s="3438"/>
      <c r="R8" s="664" t="s">
        <v>14</v>
      </c>
      <c r="S8" s="665">
        <f t="shared" si="0"/>
        <v>100</v>
      </c>
      <c r="T8" s="664" t="s">
        <v>14</v>
      </c>
      <c r="U8" s="665">
        <f t="shared" si="1"/>
        <v>100</v>
      </c>
      <c r="V8" s="664" t="s">
        <v>14</v>
      </c>
      <c r="W8" s="665">
        <f t="shared" si="2"/>
        <v>100</v>
      </c>
      <c r="X8" s="666"/>
      <c r="Y8" s="3437" t="s">
        <v>1683</v>
      </c>
      <c r="Z8" s="343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435" t="s">
        <v>1686</v>
      </c>
      <c r="Q9" s="530" t="str">
        <f t="shared" ref="Q9:Q14" si="6">B9</f>
        <v>用途</v>
      </c>
      <c r="R9" s="664" t="s">
        <v>14</v>
      </c>
      <c r="S9" s="665">
        <f t="shared" si="0"/>
        <v>100</v>
      </c>
      <c r="T9" s="664" t="s">
        <v>14</v>
      </c>
      <c r="U9" s="665">
        <f t="shared" si="1"/>
        <v>100</v>
      </c>
      <c r="V9" s="664" t="s">
        <v>14</v>
      </c>
      <c r="W9" s="665">
        <f t="shared" si="2"/>
        <v>100</v>
      </c>
      <c r="X9" s="666"/>
      <c r="Y9" s="3381"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35"/>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35"/>
      <c r="Q11" s="530">
        <f t="shared" si="6"/>
        <v>111</v>
      </c>
      <c r="R11" s="664" t="s">
        <v>14</v>
      </c>
      <c r="S11" s="665">
        <f t="shared" si="0"/>
        <v>100</v>
      </c>
      <c r="T11" s="664" t="s">
        <v>14</v>
      </c>
      <c r="U11" s="665">
        <f t="shared" si="1"/>
        <v>100</v>
      </c>
      <c r="V11" s="664" t="s">
        <v>14</v>
      </c>
      <c r="W11" s="665">
        <f t="shared" si="2"/>
        <v>100</v>
      </c>
      <c r="X11" s="666"/>
      <c r="Y11" s="338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435"/>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35"/>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
      <c r="A14" s="345" t="s">
        <v>1690</v>
      </c>
      <c r="B14" s="554" t="s">
        <v>1833</v>
      </c>
      <c r="C14" s="1815">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40" t="s">
        <v>1691</v>
      </c>
      <c r="Q14" s="1261" t="str">
        <f t="shared" si="6"/>
        <v>交通便捷度</v>
      </c>
      <c r="R14" s="667" t="s">
        <v>14</v>
      </c>
      <c r="S14" s="668">
        <f t="shared" si="0"/>
        <v>100</v>
      </c>
      <c r="T14" s="667" t="s">
        <v>14</v>
      </c>
      <c r="U14" s="668">
        <f t="shared" si="1"/>
        <v>100</v>
      </c>
      <c r="V14" s="667" t="s">
        <v>14</v>
      </c>
      <c r="W14" s="668">
        <f t="shared" si="2"/>
        <v>100</v>
      </c>
      <c r="X14" s="1263"/>
      <c r="Y14" s="3440"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89"/>
      <c r="M15" s="2484"/>
      <c r="N15" s="2484"/>
      <c r="O15" s="2484"/>
      <c r="P15" s="3441"/>
      <c r="Q15" s="1261"/>
      <c r="R15" s="667"/>
      <c r="S15" s="668"/>
      <c r="T15" s="667"/>
      <c r="U15" s="668"/>
      <c r="V15" s="667"/>
      <c r="W15" s="668"/>
      <c r="X15" s="1263"/>
      <c r="Y15" s="3441"/>
      <c r="Z15" s="1262"/>
      <c r="AA15" s="1262">
        <v>1</v>
      </c>
      <c r="AB15" s="1262">
        <v>1</v>
      </c>
      <c r="AC15" s="1262">
        <v>1</v>
      </c>
    </row>
    <row r="16" spans="1:29" ht="15">
      <c r="A16" s="348"/>
      <c r="B16" s="556" t="s">
        <v>1812</v>
      </c>
      <c r="C16" s="1752">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41"/>
      <c r="Q16" s="1261" t="str">
        <f>B16</f>
        <v>公共配套设施</v>
      </c>
      <c r="R16" s="667" t="s">
        <v>14</v>
      </c>
      <c r="S16" s="668">
        <f>F16</f>
        <v>100</v>
      </c>
      <c r="T16" s="667" t="s">
        <v>14</v>
      </c>
      <c r="U16" s="668">
        <f>H16</f>
        <v>100</v>
      </c>
      <c r="V16" s="667" t="s">
        <v>14</v>
      </c>
      <c r="W16" s="668">
        <f>J16</f>
        <v>100</v>
      </c>
      <c r="X16" s="1263"/>
      <c r="Y16" s="3441"/>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89"/>
      <c r="M17" s="2484"/>
      <c r="N17" s="2484"/>
      <c r="O17" s="2484"/>
      <c r="P17" s="3441"/>
      <c r="Q17" s="1261"/>
      <c r="R17" s="667"/>
      <c r="S17" s="668"/>
      <c r="T17" s="667"/>
      <c r="U17" s="668"/>
      <c r="V17" s="667"/>
      <c r="W17" s="668"/>
      <c r="X17" s="1263"/>
      <c r="Y17" s="3441"/>
      <c r="Z17" s="1262"/>
      <c r="AA17" s="1262">
        <v>1</v>
      </c>
      <c r="AB17" s="1262">
        <v>1</v>
      </c>
      <c r="AC17" s="1262">
        <v>1</v>
      </c>
    </row>
    <row r="18" spans="1:29" ht="15">
      <c r="A18" s="348"/>
      <c r="B18" s="557" t="s">
        <v>1813</v>
      </c>
      <c r="C18" s="1752">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41"/>
      <c r="Q18" s="1261" t="str">
        <f>B18</f>
        <v>基础设施水平</v>
      </c>
      <c r="R18" s="667" t="s">
        <v>14</v>
      </c>
      <c r="S18" s="668">
        <f>F18</f>
        <v>100</v>
      </c>
      <c r="T18" s="667" t="s">
        <v>14</v>
      </c>
      <c r="U18" s="668">
        <f>H18</f>
        <v>100</v>
      </c>
      <c r="V18" s="667" t="s">
        <v>14</v>
      </c>
      <c r="W18" s="668">
        <f>J18</f>
        <v>100</v>
      </c>
      <c r="X18" s="1263"/>
      <c r="Y18" s="3441"/>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89"/>
      <c r="M19" s="2484"/>
      <c r="N19" s="2484"/>
      <c r="O19" s="2484"/>
      <c r="P19" s="3441"/>
      <c r="Q19" s="1261"/>
      <c r="R19" s="667"/>
      <c r="S19" s="668"/>
      <c r="T19" s="667"/>
      <c r="U19" s="668"/>
      <c r="V19" s="667"/>
      <c r="W19" s="668"/>
      <c r="X19" s="1263"/>
      <c r="Y19" s="3441"/>
      <c r="Z19" s="1262"/>
      <c r="AA19" s="1262">
        <v>1</v>
      </c>
      <c r="AB19" s="1262">
        <v>1</v>
      </c>
      <c r="AC19" s="1262">
        <v>1</v>
      </c>
    </row>
    <row r="20" spans="1:29" ht="15">
      <c r="A20" s="348"/>
      <c r="B20" s="556" t="s">
        <v>1834</v>
      </c>
      <c r="C20" s="1752">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41"/>
      <c r="Q20" s="1261" t="str">
        <f>B20</f>
        <v>自然及人文环境</v>
      </c>
      <c r="R20" s="667" t="s">
        <v>14</v>
      </c>
      <c r="S20" s="668">
        <f>F20</f>
        <v>100</v>
      </c>
      <c r="T20" s="667" t="s">
        <v>14</v>
      </c>
      <c r="U20" s="668">
        <f>H20</f>
        <v>100</v>
      </c>
      <c r="V20" s="667" t="s">
        <v>14</v>
      </c>
      <c r="W20" s="668">
        <f>J20</f>
        <v>100</v>
      </c>
      <c r="X20" s="1263"/>
      <c r="Y20" s="3441"/>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89"/>
      <c r="M21" s="2484"/>
      <c r="N21" s="2484"/>
      <c r="O21" s="2484"/>
      <c r="P21" s="3441"/>
      <c r="Q21" s="1261"/>
      <c r="R21" s="667"/>
      <c r="S21" s="668"/>
      <c r="T21" s="667"/>
      <c r="U21" s="668"/>
      <c r="V21" s="667"/>
      <c r="W21" s="668"/>
      <c r="X21" s="1263"/>
      <c r="Y21" s="3441"/>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41"/>
      <c r="Q22" s="1261" t="str">
        <f>B22</f>
        <v>楼层</v>
      </c>
      <c r="R22" s="667" t="s">
        <v>14</v>
      </c>
      <c r="S22" s="668">
        <f>F22</f>
        <v>100</v>
      </c>
      <c r="T22" s="667" t="s">
        <v>14</v>
      </c>
      <c r="U22" s="668">
        <f>H22</f>
        <v>100</v>
      </c>
      <c r="V22" s="667" t="s">
        <v>14</v>
      </c>
      <c r="W22" s="668">
        <f>J22</f>
        <v>100</v>
      </c>
      <c r="X22" s="1263"/>
      <c r="Y22" s="3441"/>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41"/>
      <c r="Q23" s="1261">
        <f>B23</f>
        <v>111</v>
      </c>
      <c r="R23" s="667" t="s">
        <v>14</v>
      </c>
      <c r="S23" s="668">
        <f>F23</f>
        <v>100</v>
      </c>
      <c r="T23" s="667" t="s">
        <v>14</v>
      </c>
      <c r="U23" s="668">
        <f>H23</f>
        <v>100</v>
      </c>
      <c r="V23" s="667" t="s">
        <v>14</v>
      </c>
      <c r="W23" s="668">
        <f>J23</f>
        <v>100</v>
      </c>
      <c r="X23" s="1263"/>
      <c r="Y23" s="3441"/>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41"/>
      <c r="Q24" s="1261">
        <f t="shared" ref="Q24:Q36" si="11">B24</f>
        <v>111</v>
      </c>
      <c r="R24" s="667" t="s">
        <v>14</v>
      </c>
      <c r="S24" s="668">
        <f>F24</f>
        <v>100</v>
      </c>
      <c r="T24" s="667" t="s">
        <v>14</v>
      </c>
      <c r="U24" s="668">
        <f>H24</f>
        <v>100</v>
      </c>
      <c r="V24" s="667" t="s">
        <v>14</v>
      </c>
      <c r="W24" s="668">
        <f>J24</f>
        <v>100</v>
      </c>
      <c r="X24" s="1263"/>
      <c r="Y24" s="3441"/>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441"/>
      <c r="Q25" s="530">
        <f t="shared" si="11"/>
        <v>111</v>
      </c>
      <c r="R25" s="664" t="s">
        <v>14</v>
      </c>
      <c r="S25" s="665">
        <f>F25</f>
        <v>100</v>
      </c>
      <c r="T25" s="664" t="s">
        <v>14</v>
      </c>
      <c r="U25" s="665">
        <f>H25</f>
        <v>100</v>
      </c>
      <c r="V25" s="664" t="s">
        <v>14</v>
      </c>
      <c r="W25" s="665">
        <f>J25</f>
        <v>100</v>
      </c>
      <c r="X25" s="666"/>
      <c r="Y25" s="3441"/>
      <c r="Z25" s="50">
        <f>Q25</f>
        <v>111</v>
      </c>
      <c r="AA25" s="1262">
        <f>D25/F25</f>
        <v>1</v>
      </c>
      <c r="AB25" s="1262">
        <f>D25/H25</f>
        <v>1</v>
      </c>
      <c r="AC25" s="1262">
        <f>D25/J25</f>
        <v>1</v>
      </c>
    </row>
    <row r="26" spans="1:29" ht="28.5">
      <c r="A26" s="574" t="s">
        <v>1694</v>
      </c>
      <c r="B26" s="59" t="s">
        <v>1836</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42"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43"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43"/>
      <c r="Q27" s="531" t="str">
        <f t="shared" si="11"/>
        <v>项目停车位配比</v>
      </c>
      <c r="R27" s="669" t="s">
        <v>14</v>
      </c>
      <c r="S27" s="670">
        <f t="shared" si="12"/>
        <v>100</v>
      </c>
      <c r="T27" s="669" t="s">
        <v>14</v>
      </c>
      <c r="U27" s="670">
        <f t="shared" si="13"/>
        <v>100</v>
      </c>
      <c r="V27" s="669" t="s">
        <v>14</v>
      </c>
      <c r="W27" s="670">
        <f t="shared" si="14"/>
        <v>100</v>
      </c>
      <c r="X27" s="671"/>
      <c r="Y27" s="3443"/>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43"/>
      <c r="Q28" s="1261" t="str">
        <f t="shared" si="11"/>
        <v>公共部分装修</v>
      </c>
      <c r="R28" s="667" t="s">
        <v>14</v>
      </c>
      <c r="S28" s="668">
        <f t="shared" si="12"/>
        <v>100</v>
      </c>
      <c r="T28" s="667" t="s">
        <v>14</v>
      </c>
      <c r="U28" s="668">
        <f t="shared" si="13"/>
        <v>100</v>
      </c>
      <c r="V28" s="667" t="s">
        <v>14</v>
      </c>
      <c r="W28" s="668">
        <f t="shared" si="14"/>
        <v>100</v>
      </c>
      <c r="X28" s="1263"/>
      <c r="Y28" s="3443"/>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43"/>
      <c r="Q29" s="1261" t="str">
        <f t="shared" si="11"/>
        <v>成新率</v>
      </c>
      <c r="R29" s="667" t="s">
        <v>14</v>
      </c>
      <c r="S29" s="668" t="e">
        <f t="shared" si="12"/>
        <v>#N/A</v>
      </c>
      <c r="T29" s="667" t="s">
        <v>14</v>
      </c>
      <c r="U29" s="668" t="e">
        <f t="shared" si="13"/>
        <v>#N/A</v>
      </c>
      <c r="V29" s="667" t="s">
        <v>14</v>
      </c>
      <c r="W29" s="668" t="e">
        <f t="shared" si="14"/>
        <v>#N/A</v>
      </c>
      <c r="X29" s="1263"/>
      <c r="Y29" s="3443"/>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43"/>
      <c r="Q30" s="1261" t="str">
        <f t="shared" si="11"/>
        <v>物业等级</v>
      </c>
      <c r="R30" s="667" t="s">
        <v>14</v>
      </c>
      <c r="S30" s="668">
        <f t="shared" si="12"/>
        <v>100</v>
      </c>
      <c r="T30" s="667" t="s">
        <v>14</v>
      </c>
      <c r="U30" s="668">
        <f t="shared" si="13"/>
        <v>100</v>
      </c>
      <c r="V30" s="667" t="s">
        <v>14</v>
      </c>
      <c r="W30" s="668">
        <f t="shared" si="14"/>
        <v>100</v>
      </c>
      <c r="X30" s="1263"/>
      <c r="Y30" s="3443"/>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443"/>
      <c r="Q31" s="530" t="str">
        <f t="shared" si="11"/>
        <v>停车位面积</v>
      </c>
      <c r="R31" s="664" t="s">
        <v>14</v>
      </c>
      <c r="S31" s="665" t="e">
        <f t="shared" si="12"/>
        <v>#N/A</v>
      </c>
      <c r="T31" s="664" t="s">
        <v>14</v>
      </c>
      <c r="U31" s="665" t="e">
        <f t="shared" si="13"/>
        <v>#N/A</v>
      </c>
      <c r="V31" s="664" t="s">
        <v>14</v>
      </c>
      <c r="W31" s="665" t="e">
        <f t="shared" si="14"/>
        <v>#N/A</v>
      </c>
      <c r="X31" s="666"/>
      <c r="Y31" s="344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43" t="s">
        <v>1696</v>
      </c>
      <c r="Q32" s="1261" t="str">
        <f t="shared" si="11"/>
        <v>车位类型</v>
      </c>
      <c r="R32" s="667" t="s">
        <v>14</v>
      </c>
      <c r="S32" s="668">
        <f t="shared" si="12"/>
        <v>100</v>
      </c>
      <c r="T32" s="667" t="s">
        <v>14</v>
      </c>
      <c r="U32" s="668">
        <f t="shared" si="13"/>
        <v>100</v>
      </c>
      <c r="V32" s="667" t="s">
        <v>14</v>
      </c>
      <c r="W32" s="668">
        <f t="shared" si="14"/>
        <v>100</v>
      </c>
      <c r="X32" s="1263"/>
      <c r="Y32" s="3443"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43"/>
      <c r="Q33" s="1261" t="str">
        <f t="shared" si="11"/>
        <v>是否直接入户</v>
      </c>
      <c r="R33" s="667" t="s">
        <v>14</v>
      </c>
      <c r="S33" s="668">
        <f t="shared" si="12"/>
        <v>100</v>
      </c>
      <c r="T33" s="667" t="s">
        <v>14</v>
      </c>
      <c r="U33" s="668">
        <f t="shared" si="13"/>
        <v>100</v>
      </c>
      <c r="V33" s="667" t="s">
        <v>14</v>
      </c>
      <c r="W33" s="668">
        <f t="shared" si="14"/>
        <v>100</v>
      </c>
      <c r="X33" s="1263"/>
      <c r="Y33" s="3443"/>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43"/>
      <c r="Q34" s="1261">
        <f t="shared" si="11"/>
        <v>111</v>
      </c>
      <c r="R34" s="667" t="s">
        <v>14</v>
      </c>
      <c r="S34" s="668">
        <f t="shared" si="12"/>
        <v>100</v>
      </c>
      <c r="T34" s="667" t="s">
        <v>14</v>
      </c>
      <c r="U34" s="668">
        <f t="shared" si="13"/>
        <v>100</v>
      </c>
      <c r="V34" s="667" t="s">
        <v>14</v>
      </c>
      <c r="W34" s="668">
        <f t="shared" si="14"/>
        <v>100</v>
      </c>
      <c r="X34" s="1263"/>
      <c r="Y34" s="3443"/>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43"/>
      <c r="Q35" s="531">
        <f t="shared" si="11"/>
        <v>111</v>
      </c>
      <c r="R35" s="669" t="s">
        <v>14</v>
      </c>
      <c r="S35" s="670">
        <f t="shared" si="12"/>
        <v>100</v>
      </c>
      <c r="T35" s="669" t="s">
        <v>14</v>
      </c>
      <c r="U35" s="670">
        <f t="shared" si="13"/>
        <v>100</v>
      </c>
      <c r="V35" s="669" t="s">
        <v>14</v>
      </c>
      <c r="W35" s="670">
        <f t="shared" si="14"/>
        <v>100</v>
      </c>
      <c r="X35" s="671"/>
      <c r="Y35" s="3443"/>
      <c r="Z35" s="672">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43"/>
      <c r="Q36" s="1261">
        <f t="shared" si="11"/>
        <v>111</v>
      </c>
      <c r="R36" s="667" t="s">
        <v>14</v>
      </c>
      <c r="S36" s="668">
        <f t="shared" si="12"/>
        <v>100</v>
      </c>
      <c r="T36" s="667" t="s">
        <v>14</v>
      </c>
      <c r="U36" s="668">
        <f t="shared" si="13"/>
        <v>100</v>
      </c>
      <c r="V36" s="667" t="s">
        <v>14</v>
      </c>
      <c r="W36" s="668">
        <f t="shared" si="14"/>
        <v>100</v>
      </c>
      <c r="X36" s="1263"/>
      <c r="Y36" s="3443"/>
      <c r="Z36" s="1262">
        <f t="shared" si="15"/>
        <v>111</v>
      </c>
      <c r="AA36" s="1262">
        <f t="shared" si="3"/>
        <v>1</v>
      </c>
      <c r="AB36" s="1262">
        <f t="shared" si="4"/>
        <v>1</v>
      </c>
      <c r="AC36" s="1262">
        <f t="shared" si="5"/>
        <v>1</v>
      </c>
    </row>
    <row r="37" spans="1:29" ht="15">
      <c r="A37" s="416" t="s">
        <v>1844</v>
      </c>
      <c r="B37" s="1817" t="s">
        <v>3346</v>
      </c>
      <c r="C37" s="1079" t="s">
        <v>0</v>
      </c>
      <c r="D37" s="418"/>
      <c r="E37" s="419"/>
      <c r="F37" s="420"/>
      <c r="G37" s="421"/>
      <c r="H37" s="422"/>
      <c r="I37" s="419"/>
      <c r="J37" s="422"/>
      <c r="K37" s="545"/>
      <c r="L37" s="2491"/>
      <c r="M37" s="2484"/>
      <c r="N37" s="2484"/>
      <c r="O37" s="2484"/>
      <c r="P37" s="3435" t="str">
        <f>A37</f>
        <v>成交单价</v>
      </c>
      <c r="Q37" s="3435"/>
      <c r="R37" s="3439">
        <f>E37</f>
        <v>0</v>
      </c>
      <c r="S37" s="3439"/>
      <c r="T37" s="3439">
        <f>G37</f>
        <v>0</v>
      </c>
      <c r="U37" s="3439"/>
      <c r="V37" s="3439">
        <f>I37</f>
        <v>0</v>
      </c>
      <c r="W37" s="3439"/>
      <c r="X37" s="385"/>
      <c r="Y37" s="673"/>
      <c r="Z37" s="385"/>
      <c r="AA37" s="385"/>
      <c r="AB37" s="385"/>
      <c r="AC37" s="385"/>
    </row>
    <row r="38" spans="1:29" ht="15.75" thickBot="1">
      <c r="A38" s="423" t="s">
        <v>1845</v>
      </c>
      <c r="B38" s="424" t="str">
        <f>B37</f>
        <v>元/平方米</v>
      </c>
      <c r="C38" s="1080" t="e">
        <f>R39</f>
        <v>#DIV/0!</v>
      </c>
      <c r="D38" s="2137" t="s">
        <v>2137</v>
      </c>
      <c r="E38" s="1081" t="e">
        <f>R38</f>
        <v>#DIV/0!</v>
      </c>
      <c r="F38" s="2138"/>
      <c r="G38" s="1080" t="e">
        <f>T38</f>
        <v>#DIV/0!</v>
      </c>
      <c r="H38" s="2138"/>
      <c r="I38" s="1081" t="e">
        <f>V38</f>
        <v>#DIV/0!</v>
      </c>
      <c r="J38" s="2138"/>
      <c r="K38" s="2140">
        <f>F38+H38+J38</f>
        <v>0</v>
      </c>
      <c r="L38" s="2491"/>
      <c r="M38" s="2484"/>
      <c r="N38" s="2484"/>
      <c r="O38" s="2484"/>
      <c r="P38" s="3435" t="str">
        <f>A38</f>
        <v>比较价值（元/平方米）</v>
      </c>
      <c r="Q38" s="3435"/>
      <c r="R38" s="3439" t="e">
        <f>IF(F1="售价",ROUND(PRODUCT(R37,AA7:AA36),0),ROUND(PRODUCT(R37,AA7:AA36),1))</f>
        <v>#DIV/0!</v>
      </c>
      <c r="S38" s="3439"/>
      <c r="T38" s="3439" t="e">
        <f>IF(F1="售价",ROUND(PRODUCT(T37,AB7:AB36),0),ROUND(PRODUCT(T37,AB7:AB36),1))</f>
        <v>#DIV/0!</v>
      </c>
      <c r="U38" s="3439"/>
      <c r="V38" s="3439" t="e">
        <f>IF(F1="售价",ROUND(PRODUCT(V37,AC7:AC36),0),ROUND(PRODUCT(V37,AC7:AC36),1))</f>
        <v>#DIV/0!</v>
      </c>
      <c r="W38" s="343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432" t="str">
        <f>A39</f>
        <v>估价对象XX用房的比较价值（楼面单价，元/平方米）</v>
      </c>
      <c r="Q39" s="3433"/>
      <c r="R39" s="3487" t="e">
        <f>IF(F1="售价",ROUND(IF(D38="简单平均",AVERAGE(R38:W38),R38*F38+T38*H38+V38*J38),0),ROUND(IF(D38="简单平均",AVERAGE(R38:V38),R38*F38+T38*H38+V38*J38),1))</f>
        <v>#DIV/0!</v>
      </c>
      <c r="S39" s="3487"/>
      <c r="T39" s="3487"/>
      <c r="U39" s="3487"/>
      <c r="V39" s="3487"/>
      <c r="W39" s="3487"/>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5" t="s">
        <v>1850</v>
      </c>
      <c r="B47" s="859"/>
      <c r="C47" s="884"/>
      <c r="D47" s="884"/>
      <c r="E47" s="884"/>
      <c r="F47" s="1086"/>
      <c r="G47" s="1086"/>
      <c r="H47" s="884"/>
      <c r="I47" s="884"/>
      <c r="J47" s="884"/>
      <c r="K47" s="885"/>
      <c r="L47" s="886"/>
      <c r="M47" s="884"/>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1" t="str">
        <f>YEAR(C7)&amp;"-"&amp;MONTH(C7)</f>
        <v>2024-6</v>
      </c>
      <c r="D48" s="1102">
        <f>EDATE(C48,-1)</f>
        <v>45413</v>
      </c>
      <c r="E48" s="1102">
        <f t="shared" ref="E48:O48" si="16">EDATE(D48,-1)</f>
        <v>45383</v>
      </c>
      <c r="F48" s="1102">
        <f t="shared" si="16"/>
        <v>45352</v>
      </c>
      <c r="G48" s="1102">
        <f t="shared" si="16"/>
        <v>45323</v>
      </c>
      <c r="H48" s="1102">
        <f t="shared" si="16"/>
        <v>45292</v>
      </c>
      <c r="I48" s="1102">
        <f t="shared" si="16"/>
        <v>45261</v>
      </c>
      <c r="J48" s="1102">
        <f t="shared" si="16"/>
        <v>45231</v>
      </c>
      <c r="K48" s="1102">
        <f t="shared" si="16"/>
        <v>45200</v>
      </c>
      <c r="L48" s="1102">
        <f t="shared" si="16"/>
        <v>45170</v>
      </c>
      <c r="M48" s="1102">
        <f t="shared" si="16"/>
        <v>45139</v>
      </c>
      <c r="N48" s="1102">
        <f t="shared" si="16"/>
        <v>45108</v>
      </c>
      <c r="O48" s="1102">
        <f t="shared" si="16"/>
        <v>45078</v>
      </c>
      <c r="P48" s="2524"/>
      <c r="Q48" s="2507"/>
      <c r="R48" s="2507"/>
      <c r="S48" s="2507"/>
      <c r="T48" s="2507"/>
      <c r="U48" s="2507"/>
      <c r="V48" s="2507"/>
      <c r="W48" s="2507"/>
      <c r="X48" s="2507"/>
      <c r="Y48" s="2507"/>
      <c r="Z48" s="2507"/>
      <c r="AA48" s="2507"/>
      <c r="AB48" s="2507"/>
      <c r="AC48" s="2507"/>
    </row>
    <row r="49" spans="1:29" s="102" customFormat="1" ht="15">
      <c r="A49" s="443"/>
      <c r="B49" s="444"/>
      <c r="C49" s="1095">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1"/>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17" priority="13" stopIfTrue="1">
      <formula>$F$42="超过30%"</formula>
    </cfRule>
  </conditionalFormatting>
  <conditionalFormatting sqref="E43">
    <cfRule type="expression" dxfId="116" priority="11" stopIfTrue="1">
      <formula>$F$43="超过20%"</formula>
    </cfRule>
  </conditionalFormatting>
  <conditionalFormatting sqref="E44">
    <cfRule type="expression" dxfId="115" priority="10" stopIfTrue="1">
      <formula>$F$44="超过30%"</formula>
    </cfRule>
  </conditionalFormatting>
  <conditionalFormatting sqref="F7:F36 H7:H36 J7:J36">
    <cfRule type="cellIs" dxfId="114" priority="1" operator="notEqual">
      <formula>100</formula>
    </cfRule>
  </conditionalFormatting>
  <conditionalFormatting sqref="F38">
    <cfRule type="expression" dxfId="113" priority="4">
      <formula>$D$38="简单平均"</formula>
    </cfRule>
  </conditionalFormatting>
  <conditionalFormatting sqref="F42:F44 H42:H44 J42:J44">
    <cfRule type="containsText" dxfId="112" priority="14" stopIfTrue="1" operator="containsText" text="超过">
      <formula>NOT(ISERROR(SEARCH("超过",F42)))</formula>
    </cfRule>
  </conditionalFormatting>
  <conditionalFormatting sqref="G42">
    <cfRule type="expression" dxfId="111" priority="9" stopIfTrue="1">
      <formula>$H$52+$H$42="超过30%"</formula>
    </cfRule>
  </conditionalFormatting>
  <conditionalFormatting sqref="G43">
    <cfRule type="expression" dxfId="110" priority="8" stopIfTrue="1">
      <formula>$H$43="超过20%"</formula>
    </cfRule>
  </conditionalFormatting>
  <conditionalFormatting sqref="G44">
    <cfRule type="expression" dxfId="109" priority="12" stopIfTrue="1">
      <formula>$H$54+$H$44="超过30%"</formula>
    </cfRule>
  </conditionalFormatting>
  <conditionalFormatting sqref="H38">
    <cfRule type="expression" dxfId="108" priority="3">
      <formula>$D$38="简单平均"</formula>
    </cfRule>
  </conditionalFormatting>
  <conditionalFormatting sqref="I42">
    <cfRule type="expression" dxfId="107" priority="7" stopIfTrue="1">
      <formula>$J$52+$J$42="超过30%"</formula>
    </cfRule>
  </conditionalFormatting>
  <conditionalFormatting sqref="I43">
    <cfRule type="expression" dxfId="106" priority="6" stopIfTrue="1">
      <formula>$J$53+$J$43="超过20%"</formula>
    </cfRule>
  </conditionalFormatting>
  <conditionalFormatting sqref="I44">
    <cfRule type="expression" dxfId="105" priority="5" stopIfTrue="1">
      <formula>$J$44="超过30%"</formula>
    </cfRule>
  </conditionalFormatting>
  <conditionalFormatting sqref="J38">
    <cfRule type="expression" dxfId="10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3326</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3"/>
      <c r="M4" s="2484"/>
      <c r="N4" s="2484"/>
      <c r="O4" s="2484"/>
      <c r="P4" s="3451" t="s">
        <v>1775</v>
      </c>
      <c r="Q4" s="3452"/>
      <c r="R4" s="3461" t="s">
        <v>1771</v>
      </c>
      <c r="S4" s="3462"/>
      <c r="T4" s="3461" t="s">
        <v>1772</v>
      </c>
      <c r="U4" s="3462"/>
      <c r="V4" s="3439" t="s">
        <v>1773</v>
      </c>
      <c r="W4" s="3439"/>
      <c r="X4" s="1263"/>
      <c r="Y4" s="3461" t="s">
        <v>1775</v>
      </c>
      <c r="Z4" s="3462"/>
      <c r="AA4" s="3444" t="s">
        <v>1771</v>
      </c>
      <c r="AB4" s="3445" t="s">
        <v>1772</v>
      </c>
      <c r="AC4" s="3444" t="s">
        <v>1773</v>
      </c>
    </row>
    <row r="5" spans="1:29" ht="15">
      <c r="A5" s="348"/>
      <c r="B5" s="349"/>
      <c r="C5" s="3465" t="s">
        <v>1673</v>
      </c>
      <c r="D5" s="3466"/>
      <c r="E5" s="3457" t="s">
        <v>1674</v>
      </c>
      <c r="F5" s="3458"/>
      <c r="G5" s="3465" t="s">
        <v>1675</v>
      </c>
      <c r="H5" s="3466"/>
      <c r="I5" s="3465" t="s">
        <v>1676</v>
      </c>
      <c r="J5" s="3466"/>
      <c r="K5" s="537"/>
      <c r="L5" s="2483"/>
      <c r="M5" s="2484"/>
      <c r="N5" s="2484"/>
      <c r="O5" s="2484"/>
      <c r="P5" s="3453"/>
      <c r="Q5" s="3454"/>
      <c r="R5" s="3463"/>
      <c r="S5" s="3464"/>
      <c r="T5" s="3463"/>
      <c r="U5" s="3464"/>
      <c r="V5" s="3439"/>
      <c r="W5" s="3439"/>
      <c r="X5" s="1263"/>
      <c r="Y5" s="3463"/>
      <c r="Z5" s="3464"/>
      <c r="AA5" s="3445"/>
      <c r="AB5" s="3445"/>
      <c r="AC5" s="3445"/>
    </row>
    <row r="6" spans="1:29" ht="15.75" thickBot="1">
      <c r="A6" s="350"/>
      <c r="B6" s="351"/>
      <c r="C6" s="3476" t="s">
        <v>1677</v>
      </c>
      <c r="D6" s="3477"/>
      <c r="E6" s="3478" t="s">
        <v>1677</v>
      </c>
      <c r="F6" s="3479"/>
      <c r="G6" s="3476" t="s">
        <v>1677</v>
      </c>
      <c r="H6" s="3477"/>
      <c r="I6" s="3476" t="s">
        <v>1677</v>
      </c>
      <c r="J6" s="3477"/>
      <c r="K6" s="537" t="s">
        <v>1678</v>
      </c>
      <c r="L6" s="2483"/>
      <c r="M6" s="2484"/>
      <c r="N6" s="2484"/>
      <c r="O6" s="2484"/>
      <c r="P6" s="3455"/>
      <c r="Q6" s="3456"/>
      <c r="R6" s="3463"/>
      <c r="S6" s="3464"/>
      <c r="T6" s="3472"/>
      <c r="U6" s="3473"/>
      <c r="V6" s="3439"/>
      <c r="W6" s="3439"/>
      <c r="X6" s="1263"/>
      <c r="Y6" s="3472"/>
      <c r="Z6" s="3473"/>
      <c r="AA6" s="3446"/>
      <c r="AB6" s="3446"/>
      <c r="AC6" s="3446"/>
    </row>
    <row r="7" spans="1:29" s="102" customFormat="1" ht="15.75" thickBot="1">
      <c r="A7" s="352" t="s">
        <v>1679</v>
      </c>
      <c r="B7" s="353"/>
      <c r="C7" s="354">
        <f>'数据-取费表'!B2</f>
        <v>45463</v>
      </c>
      <c r="D7" s="355">
        <v>100</v>
      </c>
      <c r="E7" s="356"/>
      <c r="F7" s="357">
        <f>SUMIF(46:46,YEAR(E7)&amp;"-"&amp;MONTH(E7),47:47)</f>
        <v>0</v>
      </c>
      <c r="G7" s="1818"/>
      <c r="H7" s="355">
        <f>SUMIF(46:46,YEAR(G7)&amp;"-"&amp;MONTH(G7),47:47)</f>
        <v>0</v>
      </c>
      <c r="I7" s="356"/>
      <c r="J7" s="355">
        <f>SUMIF(46:46,YEAR(I7)&amp;"-"&amp;MONTH(I7),47:47)</f>
        <v>0</v>
      </c>
      <c r="K7" s="38"/>
      <c r="L7" s="2485"/>
      <c r="M7" s="2436"/>
      <c r="N7" s="2436"/>
      <c r="O7" s="2436"/>
      <c r="P7" s="3437" t="s">
        <v>1680</v>
      </c>
      <c r="Q7" s="346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437" t="s">
        <v>1683</v>
      </c>
      <c r="Q8" s="3438"/>
      <c r="R8" s="664" t="s">
        <v>14</v>
      </c>
      <c r="S8" s="665">
        <f t="shared" si="0"/>
        <v>100</v>
      </c>
      <c r="T8" s="664" t="s">
        <v>14</v>
      </c>
      <c r="U8" s="665">
        <f t="shared" si="1"/>
        <v>100</v>
      </c>
      <c r="V8" s="664" t="s">
        <v>14</v>
      </c>
      <c r="W8" s="665">
        <f t="shared" si="2"/>
        <v>100</v>
      </c>
      <c r="X8" s="666"/>
      <c r="Y8" s="3437" t="s">
        <v>1683</v>
      </c>
      <c r="Z8" s="343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435" t="s">
        <v>1686</v>
      </c>
      <c r="Q9" s="530" t="str">
        <f t="shared" ref="Q9:Q14" si="6">B9</f>
        <v>用途</v>
      </c>
      <c r="R9" s="664" t="s">
        <v>14</v>
      </c>
      <c r="S9" s="665">
        <f t="shared" si="0"/>
        <v>100</v>
      </c>
      <c r="T9" s="664" t="s">
        <v>14</v>
      </c>
      <c r="U9" s="665">
        <f t="shared" si="1"/>
        <v>100</v>
      </c>
      <c r="V9" s="664" t="s">
        <v>14</v>
      </c>
      <c r="W9" s="665">
        <f t="shared" si="2"/>
        <v>100</v>
      </c>
      <c r="X9" s="666"/>
      <c r="Y9" s="3381"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35"/>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35"/>
      <c r="Q11" s="530">
        <f t="shared" si="6"/>
        <v>111</v>
      </c>
      <c r="R11" s="664" t="s">
        <v>14</v>
      </c>
      <c r="S11" s="665">
        <f t="shared" si="0"/>
        <v>100</v>
      </c>
      <c r="T11" s="664" t="s">
        <v>14</v>
      </c>
      <c r="U11" s="665">
        <f t="shared" si="1"/>
        <v>100</v>
      </c>
      <c r="V11" s="664" t="s">
        <v>14</v>
      </c>
      <c r="W11" s="665">
        <f t="shared" si="2"/>
        <v>100</v>
      </c>
      <c r="X11" s="666"/>
      <c r="Y11" s="338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435"/>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9"/>
      <c r="M13" s="2484"/>
      <c r="N13" s="2484"/>
      <c r="O13" s="2539"/>
      <c r="P13" s="3435"/>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
      <c r="A14" s="379" t="s">
        <v>1690</v>
      </c>
      <c r="B14" s="58" t="s">
        <v>1833</v>
      </c>
      <c r="C14" s="1815">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40" t="s">
        <v>1691</v>
      </c>
      <c r="Q14" s="1261" t="str">
        <f t="shared" si="6"/>
        <v>交通便捷度</v>
      </c>
      <c r="R14" s="667" t="s">
        <v>14</v>
      </c>
      <c r="S14" s="668">
        <f t="shared" si="0"/>
        <v>100</v>
      </c>
      <c r="T14" s="667" t="s">
        <v>14</v>
      </c>
      <c r="U14" s="668">
        <f t="shared" si="1"/>
        <v>100</v>
      </c>
      <c r="V14" s="667" t="s">
        <v>14</v>
      </c>
      <c r="W14" s="668">
        <f t="shared" si="2"/>
        <v>100</v>
      </c>
      <c r="X14" s="1263"/>
      <c r="Y14" s="3440"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9"/>
      <c r="M15" s="2484"/>
      <c r="N15" s="2484"/>
      <c r="O15" s="2539"/>
      <c r="P15" s="3441"/>
      <c r="Q15" s="1261"/>
      <c r="R15" s="667"/>
      <c r="S15" s="668"/>
      <c r="T15" s="667"/>
      <c r="U15" s="668"/>
      <c r="V15" s="667"/>
      <c r="W15" s="668"/>
      <c r="X15" s="1263"/>
      <c r="Y15" s="3441"/>
      <c r="Z15" s="1262"/>
      <c r="AA15" s="1262">
        <v>1</v>
      </c>
      <c r="AB15" s="1262">
        <v>1</v>
      </c>
      <c r="AC15" s="1262">
        <v>1</v>
      </c>
    </row>
    <row r="16" spans="1:29" ht="15">
      <c r="A16" s="367"/>
      <c r="B16" s="390" t="s">
        <v>1812</v>
      </c>
      <c r="C16" s="1752">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41"/>
      <c r="Q16" s="1261" t="str">
        <f>B16</f>
        <v>公共配套设施</v>
      </c>
      <c r="R16" s="667" t="s">
        <v>14</v>
      </c>
      <c r="S16" s="668">
        <f>F16</f>
        <v>100</v>
      </c>
      <c r="T16" s="667" t="s">
        <v>14</v>
      </c>
      <c r="U16" s="668">
        <f>H16</f>
        <v>100</v>
      </c>
      <c r="V16" s="667" t="s">
        <v>14</v>
      </c>
      <c r="W16" s="668">
        <f>J16</f>
        <v>100</v>
      </c>
      <c r="X16" s="1263"/>
      <c r="Y16" s="3441"/>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89"/>
      <c r="M17" s="2484"/>
      <c r="N17" s="2484"/>
      <c r="O17" s="2539"/>
      <c r="P17" s="3441"/>
      <c r="Q17" s="1261"/>
      <c r="R17" s="667"/>
      <c r="S17" s="668"/>
      <c r="T17" s="667"/>
      <c r="U17" s="668"/>
      <c r="V17" s="667"/>
      <c r="W17" s="668"/>
      <c r="X17" s="1263"/>
      <c r="Y17" s="3441"/>
      <c r="Z17" s="1262"/>
      <c r="AA17" s="1262">
        <v>1</v>
      </c>
      <c r="AB17" s="1262">
        <v>1</v>
      </c>
      <c r="AC17" s="1262">
        <v>1</v>
      </c>
    </row>
    <row r="18" spans="1:29" ht="15">
      <c r="A18" s="367"/>
      <c r="B18" s="586" t="s">
        <v>1813</v>
      </c>
      <c r="C18" s="1752">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41"/>
      <c r="Q18" s="1261" t="str">
        <f>B18</f>
        <v>基础设施水平</v>
      </c>
      <c r="R18" s="667" t="s">
        <v>14</v>
      </c>
      <c r="S18" s="668">
        <f>F18</f>
        <v>100</v>
      </c>
      <c r="T18" s="667" t="s">
        <v>14</v>
      </c>
      <c r="U18" s="668">
        <f>H18</f>
        <v>100</v>
      </c>
      <c r="V18" s="667" t="s">
        <v>14</v>
      </c>
      <c r="W18" s="668">
        <f>J18</f>
        <v>100</v>
      </c>
      <c r="X18" s="1263"/>
      <c r="Y18" s="3441"/>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89"/>
      <c r="M19" s="2484"/>
      <c r="N19" s="2484"/>
      <c r="O19" s="2539"/>
      <c r="P19" s="3441"/>
      <c r="Q19" s="1261"/>
      <c r="R19" s="667"/>
      <c r="S19" s="668"/>
      <c r="T19" s="667"/>
      <c r="U19" s="668"/>
      <c r="V19" s="667"/>
      <c r="W19" s="668"/>
      <c r="X19" s="1263"/>
      <c r="Y19" s="3441"/>
      <c r="Z19" s="1262"/>
      <c r="AA19" s="1262">
        <v>1</v>
      </c>
      <c r="AB19" s="1262">
        <v>1</v>
      </c>
      <c r="AC19" s="1262">
        <v>1</v>
      </c>
    </row>
    <row r="20" spans="1:29" ht="15">
      <c r="A20" s="367"/>
      <c r="B20" s="390" t="s">
        <v>1834</v>
      </c>
      <c r="C20" s="1752">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41"/>
      <c r="Q20" s="1261" t="str">
        <f>B20</f>
        <v>自然及人文环境</v>
      </c>
      <c r="R20" s="667" t="s">
        <v>14</v>
      </c>
      <c r="S20" s="668">
        <f>F20</f>
        <v>100</v>
      </c>
      <c r="T20" s="667" t="s">
        <v>14</v>
      </c>
      <c r="U20" s="668">
        <f>H20</f>
        <v>100</v>
      </c>
      <c r="V20" s="667" t="s">
        <v>14</v>
      </c>
      <c r="W20" s="668">
        <f>J20</f>
        <v>100</v>
      </c>
      <c r="X20" s="1263"/>
      <c r="Y20" s="3441"/>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9"/>
      <c r="M21" s="2484"/>
      <c r="N21" s="2484"/>
      <c r="O21" s="2539"/>
      <c r="P21" s="3441"/>
      <c r="Q21" s="1261"/>
      <c r="R21" s="667"/>
      <c r="S21" s="668"/>
      <c r="T21" s="667"/>
      <c r="U21" s="668"/>
      <c r="V21" s="667"/>
      <c r="W21" s="668"/>
      <c r="X21" s="1263"/>
      <c r="Y21" s="3441"/>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41"/>
      <c r="Q22" s="1261" t="str">
        <f>B22</f>
        <v>楼层</v>
      </c>
      <c r="R22" s="667" t="s">
        <v>14</v>
      </c>
      <c r="S22" s="668">
        <f>F22</f>
        <v>100</v>
      </c>
      <c r="T22" s="667" t="s">
        <v>14</v>
      </c>
      <c r="U22" s="668">
        <f>H22</f>
        <v>100</v>
      </c>
      <c r="V22" s="667" t="s">
        <v>14</v>
      </c>
      <c r="W22" s="668">
        <f>J22</f>
        <v>100</v>
      </c>
      <c r="X22" s="1263"/>
      <c r="Y22" s="3441"/>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41"/>
      <c r="Q23" s="1261">
        <f>B23</f>
        <v>111</v>
      </c>
      <c r="R23" s="667" t="s">
        <v>14</v>
      </c>
      <c r="S23" s="668">
        <f>F23</f>
        <v>100</v>
      </c>
      <c r="T23" s="667" t="s">
        <v>14</v>
      </c>
      <c r="U23" s="668">
        <f>H23</f>
        <v>100</v>
      </c>
      <c r="V23" s="667" t="s">
        <v>14</v>
      </c>
      <c r="W23" s="668">
        <f>J23</f>
        <v>100</v>
      </c>
      <c r="X23" s="1263"/>
      <c r="Y23" s="3441"/>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41"/>
      <c r="Q24" s="1261">
        <f t="shared" ref="Q24:Q34" si="11">B24</f>
        <v>111</v>
      </c>
      <c r="R24" s="667" t="s">
        <v>14</v>
      </c>
      <c r="S24" s="668">
        <f>F24</f>
        <v>100</v>
      </c>
      <c r="T24" s="667" t="s">
        <v>14</v>
      </c>
      <c r="U24" s="668">
        <f>H24</f>
        <v>100</v>
      </c>
      <c r="V24" s="667" t="s">
        <v>14</v>
      </c>
      <c r="W24" s="668">
        <f>J24</f>
        <v>100</v>
      </c>
      <c r="X24" s="1263"/>
      <c r="Y24" s="3441"/>
      <c r="Z24" s="1262">
        <f>Q24</f>
        <v>111</v>
      </c>
      <c r="AA24" s="1262">
        <f t="shared" si="3"/>
        <v>1</v>
      </c>
      <c r="AB24" s="1262">
        <f t="shared" si="4"/>
        <v>1</v>
      </c>
      <c r="AC24" s="1262">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5"/>
      <c r="M25" s="2436"/>
      <c r="N25" s="2436"/>
      <c r="O25" s="2537"/>
      <c r="P25" s="3441"/>
      <c r="Q25" s="530">
        <f t="shared" si="11"/>
        <v>111</v>
      </c>
      <c r="R25" s="664" t="s">
        <v>14</v>
      </c>
      <c r="S25" s="665">
        <f>F25</f>
        <v>100</v>
      </c>
      <c r="T25" s="664" t="s">
        <v>14</v>
      </c>
      <c r="U25" s="665">
        <f>H25</f>
        <v>100</v>
      </c>
      <c r="V25" s="664" t="s">
        <v>14</v>
      </c>
      <c r="W25" s="665">
        <f>J25</f>
        <v>100</v>
      </c>
      <c r="X25" s="666"/>
      <c r="Y25" s="3441"/>
      <c r="Z25" s="50">
        <f>Q25</f>
        <v>111</v>
      </c>
      <c r="AA25" s="1262">
        <f>D25/F25</f>
        <v>1</v>
      </c>
      <c r="AB25" s="1262">
        <f>D25/H25</f>
        <v>1</v>
      </c>
      <c r="AC25" s="1262">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89"/>
      <c r="M26" s="2484"/>
      <c r="N26" s="2484"/>
      <c r="O26" s="2539"/>
      <c r="P26" s="3442"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43"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43"/>
      <c r="Q27" s="531" t="str">
        <f t="shared" si="11"/>
        <v>成新率</v>
      </c>
      <c r="R27" s="669" t="s">
        <v>14</v>
      </c>
      <c r="S27" s="670" t="e">
        <f t="shared" si="12"/>
        <v>#N/A</v>
      </c>
      <c r="T27" s="669" t="s">
        <v>14</v>
      </c>
      <c r="U27" s="670" t="e">
        <f t="shared" si="13"/>
        <v>#N/A</v>
      </c>
      <c r="V27" s="669" t="s">
        <v>14</v>
      </c>
      <c r="W27" s="670" t="e">
        <f t="shared" si="14"/>
        <v>#N/A</v>
      </c>
      <c r="X27" s="671"/>
      <c r="Y27" s="3443"/>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43"/>
      <c r="Q28" s="1261" t="str">
        <f t="shared" si="11"/>
        <v>物业等级</v>
      </c>
      <c r="R28" s="667" t="s">
        <v>14</v>
      </c>
      <c r="S28" s="668">
        <f t="shared" si="12"/>
        <v>100</v>
      </c>
      <c r="T28" s="667" t="s">
        <v>14</v>
      </c>
      <c r="U28" s="668">
        <f t="shared" si="13"/>
        <v>100</v>
      </c>
      <c r="V28" s="667" t="s">
        <v>14</v>
      </c>
      <c r="W28" s="668">
        <f t="shared" si="14"/>
        <v>100</v>
      </c>
      <c r="X28" s="1263"/>
      <c r="Y28" s="3443"/>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43"/>
      <c r="Q29" s="1261" t="str">
        <f t="shared" si="11"/>
        <v>有无电梯</v>
      </c>
      <c r="R29" s="667" t="s">
        <v>14</v>
      </c>
      <c r="S29" s="668">
        <f t="shared" si="12"/>
        <v>100</v>
      </c>
      <c r="T29" s="667" t="s">
        <v>14</v>
      </c>
      <c r="U29" s="668">
        <f t="shared" si="13"/>
        <v>100</v>
      </c>
      <c r="V29" s="667" t="s">
        <v>14</v>
      </c>
      <c r="W29" s="668">
        <f t="shared" si="14"/>
        <v>100</v>
      </c>
      <c r="X29" s="1263"/>
      <c r="Y29" s="3443"/>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43"/>
      <c r="Q30" s="1261" t="str">
        <f t="shared" si="11"/>
        <v>建筑面积</v>
      </c>
      <c r="R30" s="667" t="s">
        <v>14</v>
      </c>
      <c r="S30" s="668" t="e">
        <f t="shared" si="12"/>
        <v>#N/A</v>
      </c>
      <c r="T30" s="667" t="s">
        <v>14</v>
      </c>
      <c r="U30" s="668" t="e">
        <f t="shared" si="13"/>
        <v>#N/A</v>
      </c>
      <c r="V30" s="667" t="s">
        <v>14</v>
      </c>
      <c r="W30" s="668" t="e">
        <f t="shared" si="14"/>
        <v>#N/A</v>
      </c>
      <c r="X30" s="1263"/>
      <c r="Y30" s="3443"/>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443"/>
      <c r="Q31" s="530" t="str">
        <f t="shared" si="11"/>
        <v>是否封闭</v>
      </c>
      <c r="R31" s="664" t="s">
        <v>14</v>
      </c>
      <c r="S31" s="665">
        <f t="shared" si="12"/>
        <v>100</v>
      </c>
      <c r="T31" s="664" t="s">
        <v>14</v>
      </c>
      <c r="U31" s="665">
        <f t="shared" si="13"/>
        <v>100</v>
      </c>
      <c r="V31" s="664" t="s">
        <v>14</v>
      </c>
      <c r="W31" s="665">
        <f t="shared" si="14"/>
        <v>100</v>
      </c>
      <c r="X31" s="666"/>
      <c r="Y31" s="344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43" t="s">
        <v>1696</v>
      </c>
      <c r="Q32" s="1261">
        <f t="shared" si="11"/>
        <v>111</v>
      </c>
      <c r="R32" s="667" t="s">
        <v>14</v>
      </c>
      <c r="S32" s="668">
        <f t="shared" si="12"/>
        <v>100</v>
      </c>
      <c r="T32" s="667" t="s">
        <v>14</v>
      </c>
      <c r="U32" s="668">
        <f t="shared" si="13"/>
        <v>100</v>
      </c>
      <c r="V32" s="667" t="s">
        <v>14</v>
      </c>
      <c r="W32" s="668">
        <f t="shared" si="14"/>
        <v>100</v>
      </c>
      <c r="X32" s="1263"/>
      <c r="Y32" s="3443"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43"/>
      <c r="Q33" s="1261">
        <f t="shared" si="11"/>
        <v>111</v>
      </c>
      <c r="R33" s="667" t="s">
        <v>14</v>
      </c>
      <c r="S33" s="668">
        <f t="shared" si="12"/>
        <v>100</v>
      </c>
      <c r="T33" s="667" t="s">
        <v>14</v>
      </c>
      <c r="U33" s="668">
        <f t="shared" si="13"/>
        <v>100</v>
      </c>
      <c r="V33" s="667" t="s">
        <v>14</v>
      </c>
      <c r="W33" s="668">
        <f t="shared" si="14"/>
        <v>100</v>
      </c>
      <c r="X33" s="1263"/>
      <c r="Y33" s="3443"/>
      <c r="Z33" s="1262">
        <f t="shared" si="15"/>
        <v>111</v>
      </c>
      <c r="AA33" s="1262">
        <f t="shared" si="3"/>
        <v>1</v>
      </c>
      <c r="AB33" s="1262">
        <f t="shared" si="4"/>
        <v>1</v>
      </c>
      <c r="AC33" s="1262">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9"/>
      <c r="M34" s="2484"/>
      <c r="N34" s="2484"/>
      <c r="O34" s="2539"/>
      <c r="P34" s="3443"/>
      <c r="Q34" s="1261">
        <f t="shared" si="11"/>
        <v>111</v>
      </c>
      <c r="R34" s="667" t="s">
        <v>14</v>
      </c>
      <c r="S34" s="668">
        <f t="shared" si="12"/>
        <v>100</v>
      </c>
      <c r="T34" s="667" t="s">
        <v>14</v>
      </c>
      <c r="U34" s="668">
        <f t="shared" si="13"/>
        <v>100</v>
      </c>
      <c r="V34" s="667" t="s">
        <v>14</v>
      </c>
      <c r="W34" s="668">
        <f t="shared" si="14"/>
        <v>100</v>
      </c>
      <c r="X34" s="1263"/>
      <c r="Y34" s="3443"/>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4"/>
      <c r="L35" s="2491"/>
      <c r="M35" s="2484"/>
      <c r="N35" s="2484"/>
      <c r="O35" s="2484"/>
      <c r="P35" s="3435" t="str">
        <f>A35</f>
        <v>成交单价（元/平方米）</v>
      </c>
      <c r="Q35" s="3435"/>
      <c r="R35" s="3439">
        <f>E35</f>
        <v>0</v>
      </c>
      <c r="S35" s="3439"/>
      <c r="T35" s="3439">
        <f>G35</f>
        <v>0</v>
      </c>
      <c r="U35" s="3439"/>
      <c r="V35" s="3439">
        <f>I35</f>
        <v>0</v>
      </c>
      <c r="W35" s="3439"/>
      <c r="X35" s="385"/>
      <c r="Y35" s="673"/>
      <c r="Z35" s="385"/>
      <c r="AA35" s="385"/>
      <c r="AB35" s="385"/>
      <c r="AC35" s="385"/>
    </row>
    <row r="36" spans="1:30" ht="15.75" thickBot="1">
      <c r="A36" s="423" t="s">
        <v>1793</v>
      </c>
      <c r="B36" s="424"/>
      <c r="C36" s="1080" t="e">
        <f>R37</f>
        <v>#DIV/0!</v>
      </c>
      <c r="D36" s="2137" t="s">
        <v>2137</v>
      </c>
      <c r="E36" s="1081" t="e">
        <f>R36</f>
        <v>#DIV/0!</v>
      </c>
      <c r="F36" s="2138"/>
      <c r="G36" s="1080" t="e">
        <f>T36</f>
        <v>#DIV/0!</v>
      </c>
      <c r="H36" s="2138"/>
      <c r="I36" s="1081" t="e">
        <f>V36</f>
        <v>#DIV/0!</v>
      </c>
      <c r="J36" s="2138"/>
      <c r="K36" s="2140">
        <f>F36+H36+J36</f>
        <v>0</v>
      </c>
      <c r="L36" s="2491"/>
      <c r="M36" s="2484"/>
      <c r="N36" s="2484"/>
      <c r="O36" s="2484"/>
      <c r="P36" s="3435" t="str">
        <f>A36</f>
        <v>比较价值（元/平方米）</v>
      </c>
      <c r="Q36" s="3435"/>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432" t="str">
        <f>A37</f>
        <v>估价对象XX用房的比较价值（楼面单价，元/平方米）</v>
      </c>
      <c r="Q37" s="3433"/>
      <c r="R37" s="3487" t="e">
        <f>IF(F1="售价",ROUND(IF(D36="简单平均",AVERAGE(R36:W36),R36*F36+T36*H36+V36*J36),0),ROUND(IF(D36="简单平均",AVERAGE(R36:V36),R36*F36+T36*H36+V36*J36),1))</f>
        <v>#DIV/0!</v>
      </c>
      <c r="S37" s="3487"/>
      <c r="T37" s="3487"/>
      <c r="U37" s="3487"/>
      <c r="V37" s="3487"/>
      <c r="W37" s="3487"/>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1" t="str">
        <f>YEAR(C7)&amp;"-"&amp;MONTH(C7)</f>
        <v>2024-6</v>
      </c>
      <c r="D46" s="1102">
        <f>EDATE(C46,-1)</f>
        <v>45413</v>
      </c>
      <c r="E46" s="1102">
        <f t="shared" ref="E46:O46" si="16">EDATE(D46,-1)</f>
        <v>45383</v>
      </c>
      <c r="F46" s="1102">
        <f t="shared" si="16"/>
        <v>45352</v>
      </c>
      <c r="G46" s="1102">
        <f t="shared" si="16"/>
        <v>45323</v>
      </c>
      <c r="H46" s="1102">
        <f t="shared" si="16"/>
        <v>45292</v>
      </c>
      <c r="I46" s="1102">
        <f t="shared" si="16"/>
        <v>45261</v>
      </c>
      <c r="J46" s="1102">
        <f t="shared" si="16"/>
        <v>45231</v>
      </c>
      <c r="K46" s="1102">
        <f t="shared" si="16"/>
        <v>45200</v>
      </c>
      <c r="L46" s="1102">
        <f t="shared" si="16"/>
        <v>45170</v>
      </c>
      <c r="M46" s="1102">
        <f t="shared" si="16"/>
        <v>45139</v>
      </c>
      <c r="N46" s="1102">
        <f t="shared" si="16"/>
        <v>45108</v>
      </c>
      <c r="O46" s="1102">
        <f t="shared" si="16"/>
        <v>45078</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0">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1"/>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0"/>
      <c r="B98" s="880"/>
      <c r="C98" s="880"/>
      <c r="D98" s="880"/>
      <c r="E98" s="880"/>
      <c r="F98" s="880"/>
      <c r="G98" s="880"/>
      <c r="H98" s="880"/>
      <c r="I98" s="880"/>
      <c r="J98" s="880"/>
      <c r="K98" s="881"/>
      <c r="L98" s="882"/>
      <c r="M98" s="880"/>
      <c r="N98" s="2484"/>
      <c r="O98" s="2484"/>
      <c r="P98" s="2484"/>
      <c r="Q98" s="2484"/>
      <c r="R98" s="2484"/>
      <c r="S98" s="2484"/>
      <c r="T98" s="2484"/>
      <c r="U98" s="2484"/>
      <c r="V98" s="2484"/>
      <c r="W98" s="2484"/>
      <c r="X98" s="2484"/>
      <c r="Y98" s="2484"/>
      <c r="Z98" s="2484"/>
      <c r="AA98" s="2484"/>
      <c r="AB98" s="2484"/>
      <c r="AC98" s="2484"/>
      <c r="AD98" s="2484"/>
    </row>
    <row r="99" spans="1:30">
      <c r="A99" s="880"/>
      <c r="B99" s="880"/>
      <c r="C99" s="880"/>
      <c r="D99" s="880"/>
      <c r="E99" s="880"/>
      <c r="F99" s="880"/>
      <c r="G99" s="880"/>
      <c r="H99" s="880"/>
      <c r="I99" s="880"/>
      <c r="J99" s="880"/>
      <c r="K99" s="881"/>
      <c r="L99" s="882"/>
      <c r="M99" s="880"/>
      <c r="N99" s="2484"/>
      <c r="O99" s="2484"/>
      <c r="P99" s="2484"/>
      <c r="Q99" s="2484"/>
      <c r="R99" s="2484"/>
      <c r="S99" s="2484"/>
      <c r="T99" s="2484"/>
      <c r="U99" s="2484"/>
      <c r="V99" s="2484"/>
      <c r="W99" s="2484"/>
      <c r="X99" s="2484"/>
      <c r="Y99" s="2484"/>
      <c r="Z99" s="2484"/>
      <c r="AA99" s="2484"/>
      <c r="AB99" s="2484"/>
      <c r="AC99" s="2484"/>
      <c r="AD99" s="2484"/>
    </row>
    <row r="100" spans="1:30">
      <c r="A100" s="880"/>
      <c r="B100" s="880"/>
      <c r="C100" s="880"/>
      <c r="D100" s="880"/>
      <c r="E100" s="880"/>
      <c r="F100" s="880"/>
      <c r="G100" s="880"/>
      <c r="H100" s="880"/>
      <c r="I100" s="880"/>
      <c r="J100" s="880"/>
      <c r="K100" s="881"/>
      <c r="L100" s="882"/>
      <c r="M100" s="880"/>
      <c r="N100" s="2484"/>
      <c r="O100" s="2484"/>
      <c r="P100" s="2484"/>
      <c r="Q100" s="2484"/>
      <c r="R100" s="2484"/>
      <c r="S100" s="2484"/>
      <c r="T100" s="2484"/>
      <c r="U100" s="2484"/>
      <c r="V100" s="2484"/>
      <c r="W100" s="2484"/>
      <c r="X100" s="2484"/>
      <c r="Y100" s="2484"/>
      <c r="Z100" s="2484"/>
      <c r="AA100" s="2484"/>
      <c r="AB100" s="2484"/>
      <c r="AC100" s="2484"/>
      <c r="AD100" s="2484"/>
    </row>
    <row r="101" spans="1:30">
      <c r="A101" s="880"/>
      <c r="B101" s="880"/>
      <c r="C101" s="880"/>
      <c r="D101" s="880"/>
      <c r="E101" s="880"/>
      <c r="F101" s="880"/>
      <c r="G101" s="880"/>
      <c r="H101" s="880"/>
      <c r="I101" s="880"/>
      <c r="J101" s="880"/>
      <c r="K101" s="881"/>
      <c r="L101" s="882"/>
      <c r="M101" s="880"/>
      <c r="N101" s="2484"/>
      <c r="O101" s="2484"/>
      <c r="P101" s="2484"/>
      <c r="Q101" s="2484"/>
      <c r="R101" s="2484"/>
      <c r="S101" s="2484"/>
      <c r="T101" s="2484"/>
      <c r="U101" s="2484"/>
      <c r="V101" s="2484"/>
      <c r="W101" s="2484"/>
      <c r="X101" s="2484"/>
      <c r="Y101" s="2484"/>
      <c r="Z101" s="2484"/>
      <c r="AA101" s="2484"/>
      <c r="AB101" s="2484"/>
      <c r="AC101" s="2484"/>
      <c r="AD101" s="2484"/>
    </row>
    <row r="102" spans="1:30">
      <c r="A102" s="880"/>
      <c r="B102" s="880"/>
      <c r="C102" s="880"/>
      <c r="D102" s="880"/>
      <c r="E102" s="880"/>
      <c r="F102" s="880"/>
      <c r="G102" s="880"/>
      <c r="H102" s="880"/>
      <c r="I102" s="880"/>
      <c r="J102" s="880"/>
      <c r="K102" s="881"/>
      <c r="L102" s="882"/>
      <c r="M102" s="880"/>
      <c r="N102" s="2484"/>
      <c r="O102" s="2484"/>
      <c r="P102" s="2484"/>
      <c r="Q102" s="2484"/>
      <c r="R102" s="2484"/>
      <c r="S102" s="2484"/>
      <c r="T102" s="2484"/>
      <c r="U102" s="2484"/>
      <c r="V102" s="2484"/>
      <c r="W102" s="2484"/>
      <c r="X102" s="2484"/>
      <c r="Y102" s="2484"/>
      <c r="Z102" s="2484"/>
      <c r="AA102" s="2484"/>
      <c r="AB102" s="2484"/>
      <c r="AC102" s="2484"/>
      <c r="AD102" s="2484"/>
    </row>
    <row r="103" spans="1:30">
      <c r="A103" s="880"/>
      <c r="B103" s="880"/>
      <c r="C103" s="880"/>
      <c r="D103" s="880"/>
      <c r="E103" s="880"/>
      <c r="F103" s="880"/>
      <c r="G103" s="880"/>
      <c r="H103" s="880"/>
      <c r="I103" s="880"/>
      <c r="J103" s="880"/>
      <c r="K103" s="881"/>
      <c r="L103" s="882"/>
      <c r="M103" s="880"/>
      <c r="N103" s="880"/>
      <c r="O103" s="880"/>
      <c r="P103" s="2484"/>
      <c r="Q103" s="2484"/>
      <c r="R103" s="2484"/>
      <c r="S103" s="2484"/>
      <c r="T103" s="2484"/>
      <c r="U103" s="2484"/>
      <c r="V103" s="2484"/>
      <c r="W103" s="2484"/>
      <c r="X103" s="2484"/>
      <c r="Y103" s="2484"/>
      <c r="Z103" s="2484"/>
      <c r="AA103" s="2484"/>
      <c r="AB103" s="2484"/>
      <c r="AC103" s="2484"/>
      <c r="AD103" s="2484"/>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03" priority="13" stopIfTrue="1">
      <formula>$F$40="超过30%"</formula>
    </cfRule>
  </conditionalFormatting>
  <conditionalFormatting sqref="E41">
    <cfRule type="expression" dxfId="102" priority="11" stopIfTrue="1">
      <formula>$F$41="超过20%"</formula>
    </cfRule>
  </conditionalFormatting>
  <conditionalFormatting sqref="E42">
    <cfRule type="expression" dxfId="101" priority="10" stopIfTrue="1">
      <formula>$F$42="超过30%"</formula>
    </cfRule>
  </conditionalFormatting>
  <conditionalFormatting sqref="F7:F34 H7:H34 J7:J34">
    <cfRule type="cellIs" dxfId="100" priority="1" operator="notEqual">
      <formula>100</formula>
    </cfRule>
  </conditionalFormatting>
  <conditionalFormatting sqref="F36">
    <cfRule type="expression" dxfId="99" priority="4">
      <formula>$D$36="简单平均"</formula>
    </cfRule>
  </conditionalFormatting>
  <conditionalFormatting sqref="F40:F42 H40:H42 J40:J42">
    <cfRule type="containsText" dxfId="98" priority="14" stopIfTrue="1" operator="containsText" text="超过">
      <formula>NOT(ISERROR(SEARCH("超过",F40)))</formula>
    </cfRule>
  </conditionalFormatting>
  <conditionalFormatting sqref="G40">
    <cfRule type="expression" dxfId="97" priority="9" stopIfTrue="1">
      <formula>$H$52+$H$40="超过30%"</formula>
    </cfRule>
  </conditionalFormatting>
  <conditionalFormatting sqref="G41">
    <cfRule type="expression" dxfId="96" priority="8" stopIfTrue="1">
      <formula>$H$53+$H$41="超过20%"</formula>
    </cfRule>
  </conditionalFormatting>
  <conditionalFormatting sqref="G42">
    <cfRule type="expression" dxfId="95" priority="12" stopIfTrue="1">
      <formula>$H$54+$H$42="超过30%"</formula>
    </cfRule>
  </conditionalFormatting>
  <conditionalFormatting sqref="H36">
    <cfRule type="expression" dxfId="94" priority="3">
      <formula>$D$36="简单平均"</formula>
    </cfRule>
  </conditionalFormatting>
  <conditionalFormatting sqref="I40">
    <cfRule type="expression" dxfId="93" priority="7" stopIfTrue="1">
      <formula>$J$40="超过30%"</formula>
    </cfRule>
  </conditionalFormatting>
  <conditionalFormatting sqref="I41">
    <cfRule type="expression" dxfId="92" priority="6" stopIfTrue="1">
      <formula>$J$41="超过20%"</formula>
    </cfRule>
  </conditionalFormatting>
  <conditionalFormatting sqref="I42">
    <cfRule type="expression" dxfId="91" priority="5" stopIfTrue="1">
      <formula>$J$42="超过30%"</formula>
    </cfRule>
  </conditionalFormatting>
  <conditionalFormatting sqref="J36">
    <cfRule type="expression" dxfId="9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2483"/>
      <c r="M4" s="2484"/>
      <c r="N4" s="2484"/>
      <c r="O4" s="2484"/>
      <c r="P4" s="3451" t="s">
        <v>1775</v>
      </c>
      <c r="Q4" s="3452"/>
      <c r="R4" s="3461" t="s">
        <v>1771</v>
      </c>
      <c r="S4" s="3462"/>
      <c r="T4" s="3461" t="s">
        <v>1772</v>
      </c>
      <c r="U4" s="3462"/>
      <c r="V4" s="3439" t="s">
        <v>1773</v>
      </c>
      <c r="W4" s="3439"/>
      <c r="X4" s="1263"/>
      <c r="Y4" s="3461" t="s">
        <v>1775</v>
      </c>
      <c r="Z4" s="3462"/>
      <c r="AA4" s="3444" t="s">
        <v>1771</v>
      </c>
      <c r="AB4" s="3445" t="s">
        <v>1772</v>
      </c>
      <c r="AC4" s="3444" t="s">
        <v>1773</v>
      </c>
    </row>
    <row r="5" spans="1:29" ht="15">
      <c r="A5" s="348"/>
      <c r="B5" s="349"/>
      <c r="C5" s="3465" t="s">
        <v>1673</v>
      </c>
      <c r="D5" s="3466"/>
      <c r="E5" s="3457" t="s">
        <v>1674</v>
      </c>
      <c r="F5" s="3458"/>
      <c r="G5" s="3465" t="s">
        <v>1675</v>
      </c>
      <c r="H5" s="3466"/>
      <c r="I5" s="3465" t="s">
        <v>1676</v>
      </c>
      <c r="J5" s="3466"/>
      <c r="K5" s="537"/>
      <c r="L5" s="2483"/>
      <c r="M5" s="2484"/>
      <c r="N5" s="2484"/>
      <c r="O5" s="2484"/>
      <c r="P5" s="3453"/>
      <c r="Q5" s="3454"/>
      <c r="R5" s="3463"/>
      <c r="S5" s="3464"/>
      <c r="T5" s="3463"/>
      <c r="U5" s="3464"/>
      <c r="V5" s="3439"/>
      <c r="W5" s="3439"/>
      <c r="X5" s="1263"/>
      <c r="Y5" s="3463"/>
      <c r="Z5" s="3464"/>
      <c r="AA5" s="3445"/>
      <c r="AB5" s="3445"/>
      <c r="AC5" s="3445"/>
    </row>
    <row r="6" spans="1:29" ht="15.75" thickBot="1">
      <c r="A6" s="350"/>
      <c r="B6" s="351"/>
      <c r="C6" s="3476" t="s">
        <v>1677</v>
      </c>
      <c r="D6" s="3477"/>
      <c r="E6" s="3478" t="s">
        <v>1677</v>
      </c>
      <c r="F6" s="3479"/>
      <c r="G6" s="3476" t="s">
        <v>1677</v>
      </c>
      <c r="H6" s="3477"/>
      <c r="I6" s="3476" t="s">
        <v>1677</v>
      </c>
      <c r="J6" s="3477"/>
      <c r="K6" s="537" t="s">
        <v>1678</v>
      </c>
      <c r="L6" s="2483"/>
      <c r="M6" s="2484"/>
      <c r="N6" s="2484"/>
      <c r="O6" s="2484"/>
      <c r="P6" s="3455"/>
      <c r="Q6" s="3456"/>
      <c r="R6" s="3463"/>
      <c r="S6" s="3464"/>
      <c r="T6" s="3472"/>
      <c r="U6" s="3473"/>
      <c r="V6" s="3439"/>
      <c r="W6" s="3439"/>
      <c r="X6" s="1263"/>
      <c r="Y6" s="3472"/>
      <c r="Z6" s="3473"/>
      <c r="AA6" s="3446"/>
      <c r="AB6" s="3446"/>
      <c r="AC6" s="3446"/>
    </row>
    <row r="7" spans="1:29" s="102" customFormat="1" ht="15.75" thickBot="1">
      <c r="A7" s="352" t="s">
        <v>1679</v>
      </c>
      <c r="B7" s="353"/>
      <c r="C7" s="354">
        <f>'数据-取费表'!B2</f>
        <v>45463</v>
      </c>
      <c r="D7" s="355">
        <v>100</v>
      </c>
      <c r="E7" s="356"/>
      <c r="F7" s="357">
        <f>SUMIF(69:69,YEAR(E7)&amp;"-"&amp;INT((MONTH(E7)+2)/3),70:70)</f>
        <v>0</v>
      </c>
      <c r="G7" s="1818"/>
      <c r="H7" s="355">
        <f>SUMIF(69:69,YEAR(G7)&amp;"-"&amp;INT((MONTH(G7)+2)/3),70:70)</f>
        <v>0</v>
      </c>
      <c r="I7" s="1818"/>
      <c r="J7" s="355">
        <f>SUMIF(69:69,YEAR(I7)&amp;"-"&amp;INT((MONTH(I7)+2)/3),70:70)</f>
        <v>0</v>
      </c>
      <c r="K7" s="38"/>
      <c r="L7" s="2485"/>
      <c r="M7" s="2436"/>
      <c r="N7" s="2436"/>
      <c r="O7" s="2436"/>
      <c r="P7" s="3437" t="s">
        <v>1680</v>
      </c>
      <c r="Q7" s="346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437" t="s">
        <v>1683</v>
      </c>
      <c r="Q8" s="3438"/>
      <c r="R8" s="664" t="s">
        <v>14</v>
      </c>
      <c r="S8" s="665">
        <f t="shared" si="0"/>
        <v>0</v>
      </c>
      <c r="T8" s="664" t="s">
        <v>14</v>
      </c>
      <c r="U8" s="665">
        <f t="shared" si="1"/>
        <v>0</v>
      </c>
      <c r="V8" s="664" t="s">
        <v>14</v>
      </c>
      <c r="W8" s="665">
        <f t="shared" si="2"/>
        <v>0</v>
      </c>
      <c r="X8" s="666"/>
      <c r="Y8" s="3437" t="s">
        <v>1683</v>
      </c>
      <c r="Z8" s="3438"/>
      <c r="AA8" s="50" t="e">
        <f t="shared" ref="AA8:AA45" si="3">D8/F8</f>
        <v>#DIV/0!</v>
      </c>
      <c r="AB8" s="50" t="e">
        <f t="shared" ref="AB8:AB45" si="4">D8/H8</f>
        <v>#DIV/0!</v>
      </c>
      <c r="AC8" s="50" t="e">
        <f t="shared" ref="AC8:AC45" si="5">D8/J8</f>
        <v>#DIV/0!</v>
      </c>
    </row>
    <row r="9" spans="1:29" s="102" customFormat="1">
      <c r="A9" s="359" t="s">
        <v>1684</v>
      </c>
      <c r="B9" s="60" t="s">
        <v>1685</v>
      </c>
      <c r="C9" s="1821"/>
      <c r="D9" s="59">
        <v>100</v>
      </c>
      <c r="E9" s="1821"/>
      <c r="F9" s="59">
        <f>SUMIF(74:74,E9,75:75)-SUMIF(74:74,C9,75:75)+100</f>
        <v>100</v>
      </c>
      <c r="G9" s="1821"/>
      <c r="H9" s="59">
        <f>SUMIF(74:74,G9,75:75)-SUMIF(74:74,C9,75:75)+100</f>
        <v>100</v>
      </c>
      <c r="I9" s="1821"/>
      <c r="J9" s="59">
        <f>SUMIF(74:74,I9,75:75)-SUMIF(74:74,C9,75:75)+100</f>
        <v>100</v>
      </c>
      <c r="K9" s="38"/>
      <c r="L9" s="2485"/>
      <c r="M9" s="2436"/>
      <c r="N9" s="2436"/>
      <c r="O9" s="2537"/>
      <c r="P9" s="3435"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116</v>
      </c>
      <c r="G10" s="402"/>
      <c r="H10" s="119">
        <f>ROUND(100/'数据-取费表'!G16,0)</f>
        <v>116</v>
      </c>
      <c r="I10" s="402"/>
      <c r="J10" s="119">
        <f>ROUND(100/'数据-取费表'!G16,0)</f>
        <v>116</v>
      </c>
      <c r="K10" s="592"/>
      <c r="L10" s="2486"/>
      <c r="M10" s="2487"/>
      <c r="N10" s="2487"/>
      <c r="O10" s="2538"/>
      <c r="P10" s="3435"/>
      <c r="Q10" s="530" t="str">
        <f t="shared" si="6"/>
        <v>土地使用年限（年）</v>
      </c>
      <c r="R10" s="664" t="s">
        <v>14</v>
      </c>
      <c r="S10" s="665">
        <f t="shared" si="0"/>
        <v>116</v>
      </c>
      <c r="T10" s="664" t="s">
        <v>14</v>
      </c>
      <c r="U10" s="665">
        <f t="shared" si="1"/>
        <v>116</v>
      </c>
      <c r="V10" s="664" t="s">
        <v>14</v>
      </c>
      <c r="W10" s="665">
        <f t="shared" si="2"/>
        <v>116</v>
      </c>
      <c r="X10" s="666"/>
      <c r="Y10" s="3381"/>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35"/>
      <c r="Q11" s="530" t="str">
        <f t="shared" si="6"/>
        <v>容积率</v>
      </c>
      <c r="R11" s="664" t="s">
        <v>14</v>
      </c>
      <c r="S11" s="665" t="e">
        <f t="shared" si="0"/>
        <v>#N/A</v>
      </c>
      <c r="T11" s="664" t="s">
        <v>14</v>
      </c>
      <c r="U11" s="665" t="e">
        <f t="shared" si="1"/>
        <v>#N/A</v>
      </c>
      <c r="V11" s="664" t="s">
        <v>14</v>
      </c>
      <c r="W11" s="665" t="e">
        <f t="shared" si="2"/>
        <v>#N/A</v>
      </c>
      <c r="X11" s="666"/>
      <c r="Y11" s="338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435"/>
      <c r="Q12" s="530" t="str">
        <f t="shared" si="6"/>
        <v>配建</v>
      </c>
      <c r="R12" s="664" t="s">
        <v>14</v>
      </c>
      <c r="S12" s="665">
        <f t="shared" si="0"/>
        <v>100</v>
      </c>
      <c r="T12" s="664" t="s">
        <v>14</v>
      </c>
      <c r="U12" s="665">
        <f t="shared" si="1"/>
        <v>100</v>
      </c>
      <c r="V12" s="664" t="s">
        <v>14</v>
      </c>
      <c r="W12" s="665">
        <f t="shared" si="2"/>
        <v>100</v>
      </c>
      <c r="X12" s="666"/>
      <c r="Y12" s="338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35"/>
      <c r="Q13" s="530">
        <f t="shared" si="6"/>
        <v>111</v>
      </c>
      <c r="R13" s="664" t="s">
        <v>14</v>
      </c>
      <c r="S13" s="665">
        <f t="shared" si="0"/>
        <v>100</v>
      </c>
      <c r="T13" s="664" t="s">
        <v>14</v>
      </c>
      <c r="U13" s="665">
        <f t="shared" si="1"/>
        <v>100</v>
      </c>
      <c r="V13" s="664" t="s">
        <v>14</v>
      </c>
      <c r="W13" s="665">
        <f t="shared" si="2"/>
        <v>100</v>
      </c>
      <c r="X13" s="666"/>
      <c r="Y13" s="3381"/>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35"/>
      <c r="Q14" s="530">
        <f t="shared" si="6"/>
        <v>111</v>
      </c>
      <c r="R14" s="664" t="s">
        <v>14</v>
      </c>
      <c r="S14" s="665">
        <f t="shared" si="0"/>
        <v>100</v>
      </c>
      <c r="T14" s="664" t="s">
        <v>14</v>
      </c>
      <c r="U14" s="665">
        <f t="shared" si="1"/>
        <v>100</v>
      </c>
      <c r="V14" s="664" t="s">
        <v>14</v>
      </c>
      <c r="W14" s="665">
        <f t="shared" si="2"/>
        <v>100</v>
      </c>
      <c r="X14" s="666"/>
      <c r="Y14" s="3381"/>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440" t="s">
        <v>1691</v>
      </c>
      <c r="Q15" s="1261" t="str">
        <f t="shared" si="6"/>
        <v>居住社区成熟度</v>
      </c>
      <c r="R15" s="667" t="s">
        <v>14</v>
      </c>
      <c r="S15" s="668">
        <f t="shared" si="0"/>
        <v>100</v>
      </c>
      <c r="T15" s="667" t="s">
        <v>14</v>
      </c>
      <c r="U15" s="668">
        <f t="shared" si="1"/>
        <v>100</v>
      </c>
      <c r="V15" s="667" t="s">
        <v>14</v>
      </c>
      <c r="W15" s="668">
        <f t="shared" si="2"/>
        <v>100</v>
      </c>
      <c r="X15" s="1263"/>
      <c r="Y15" s="3440"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89"/>
      <c r="M16" s="2484"/>
      <c r="N16" s="2484"/>
      <c r="O16" s="2539"/>
      <c r="P16" s="3441"/>
      <c r="Q16" s="1261"/>
      <c r="R16" s="667"/>
      <c r="S16" s="668"/>
      <c r="T16" s="667"/>
      <c r="U16" s="668"/>
      <c r="V16" s="667"/>
      <c r="W16" s="668"/>
      <c r="X16" s="1263"/>
      <c r="Y16" s="3441"/>
      <c r="Z16" s="1262"/>
      <c r="AA16" s="1262">
        <v>1</v>
      </c>
      <c r="AB16" s="1262">
        <v>1</v>
      </c>
      <c r="AC16" s="1262">
        <v>1</v>
      </c>
    </row>
    <row r="17" spans="1:29" ht="15">
      <c r="A17" s="367"/>
      <c r="B17" s="390" t="s">
        <v>1777</v>
      </c>
      <c r="C17" s="1802">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41"/>
      <c r="Q17" s="1261" t="str">
        <f>B17</f>
        <v>商业繁华度</v>
      </c>
      <c r="R17" s="667" t="s">
        <v>14</v>
      </c>
      <c r="S17" s="668">
        <f>F17</f>
        <v>100</v>
      </c>
      <c r="T17" s="667" t="s">
        <v>14</v>
      </c>
      <c r="U17" s="668">
        <f>H17</f>
        <v>100</v>
      </c>
      <c r="V17" s="667" t="s">
        <v>14</v>
      </c>
      <c r="W17" s="668">
        <f>J17</f>
        <v>100</v>
      </c>
      <c r="X17" s="1263"/>
      <c r="Y17" s="3441"/>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89"/>
      <c r="M18" s="2484"/>
      <c r="N18" s="2484"/>
      <c r="O18" s="2539"/>
      <c r="P18" s="3441"/>
      <c r="Q18" s="1261"/>
      <c r="R18" s="667"/>
      <c r="S18" s="668"/>
      <c r="T18" s="667"/>
      <c r="U18" s="668"/>
      <c r="V18" s="667"/>
      <c r="W18" s="668"/>
      <c r="X18" s="1263"/>
      <c r="Y18" s="3441"/>
      <c r="Z18" s="1262"/>
      <c r="AA18" s="1262">
        <v>1</v>
      </c>
      <c r="AB18" s="1262">
        <v>1</v>
      </c>
      <c r="AC18" s="1262">
        <v>1</v>
      </c>
    </row>
    <row r="19" spans="1:29" ht="15">
      <c r="A19" s="367"/>
      <c r="B19" s="390" t="s">
        <v>1811</v>
      </c>
      <c r="C19" s="1802">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41"/>
      <c r="Q19" s="1261" t="str">
        <f>B19</f>
        <v>办公集聚程度</v>
      </c>
      <c r="R19" s="667" t="s">
        <v>14</v>
      </c>
      <c r="S19" s="668">
        <f>F19</f>
        <v>100</v>
      </c>
      <c r="T19" s="667" t="s">
        <v>14</v>
      </c>
      <c r="U19" s="668">
        <f>H19</f>
        <v>100</v>
      </c>
      <c r="V19" s="667" t="s">
        <v>14</v>
      </c>
      <c r="W19" s="668">
        <f>J19</f>
        <v>100</v>
      </c>
      <c r="X19" s="1263"/>
      <c r="Y19" s="3441"/>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89"/>
      <c r="M20" s="2484"/>
      <c r="N20" s="2484"/>
      <c r="O20" s="2539"/>
      <c r="P20" s="3441"/>
      <c r="Q20" s="1261"/>
      <c r="R20" s="667"/>
      <c r="S20" s="668"/>
      <c r="T20" s="667"/>
      <c r="U20" s="668"/>
      <c r="V20" s="667"/>
      <c r="W20" s="668"/>
      <c r="X20" s="1263"/>
      <c r="Y20" s="3441"/>
      <c r="Z20" s="1262"/>
      <c r="AA20" s="1262">
        <v>1</v>
      </c>
      <c r="AB20" s="1262">
        <v>1</v>
      </c>
      <c r="AC20" s="1262">
        <v>1</v>
      </c>
    </row>
    <row r="21" spans="1:29" ht="15">
      <c r="A21" s="367"/>
      <c r="B21" s="390" t="s">
        <v>1833</v>
      </c>
      <c r="C21" s="1752">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41"/>
      <c r="Q21" s="1261" t="str">
        <f>B21</f>
        <v>交通便捷度</v>
      </c>
      <c r="R21" s="667" t="s">
        <v>14</v>
      </c>
      <c r="S21" s="668">
        <f>F21</f>
        <v>100</v>
      </c>
      <c r="T21" s="667" t="s">
        <v>14</v>
      </c>
      <c r="U21" s="668">
        <f>H21</f>
        <v>100</v>
      </c>
      <c r="V21" s="667" t="s">
        <v>14</v>
      </c>
      <c r="W21" s="668">
        <f>J21</f>
        <v>100</v>
      </c>
      <c r="X21" s="1263"/>
      <c r="Y21" s="3441"/>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89"/>
      <c r="M22" s="2484"/>
      <c r="N22" s="2484"/>
      <c r="O22" s="2539"/>
      <c r="P22" s="3441"/>
      <c r="Q22" s="1261"/>
      <c r="R22" s="667"/>
      <c r="S22" s="668"/>
      <c r="T22" s="667"/>
      <c r="U22" s="668"/>
      <c r="V22" s="667"/>
      <c r="W22" s="668"/>
      <c r="X22" s="1263"/>
      <c r="Y22" s="3441"/>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41"/>
      <c r="Q23" s="1261" t="str">
        <f t="shared" ref="Q23:Q37" si="8">B23</f>
        <v>区域土地利用方向</v>
      </c>
      <c r="R23" s="667" t="s">
        <v>14</v>
      </c>
      <c r="S23" s="668">
        <f>F23</f>
        <v>100</v>
      </c>
      <c r="T23" s="667" t="s">
        <v>14</v>
      </c>
      <c r="U23" s="668">
        <f>H23</f>
        <v>100</v>
      </c>
      <c r="V23" s="667" t="s">
        <v>14</v>
      </c>
      <c r="W23" s="668">
        <f>J23</f>
        <v>100</v>
      </c>
      <c r="X23" s="1263"/>
      <c r="Y23" s="3441"/>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6"/>
      <c r="L24" s="2489"/>
      <c r="M24" s="2484"/>
      <c r="N24" s="2484"/>
      <c r="O24" s="2539"/>
      <c r="P24" s="3441"/>
      <c r="Q24" s="1261"/>
      <c r="R24" s="667"/>
      <c r="S24" s="668"/>
      <c r="T24" s="667"/>
      <c r="U24" s="668"/>
      <c r="V24" s="667"/>
      <c r="W24" s="668"/>
      <c r="X24" s="1263"/>
      <c r="Y24" s="3441"/>
      <c r="Z24" s="1262"/>
      <c r="AA24" s="1262"/>
      <c r="AB24" s="1262"/>
      <c r="AC24" s="1262"/>
    </row>
    <row r="25" spans="1:29" ht="27">
      <c r="A25" s="348"/>
      <c r="B25" s="586" t="s">
        <v>1872</v>
      </c>
      <c r="C25" s="1802">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41"/>
      <c r="Q25" s="1261" t="str">
        <f t="shared" si="8"/>
        <v>自然及人文环境状况</v>
      </c>
      <c r="R25" s="667" t="s">
        <v>14</v>
      </c>
      <c r="S25" s="668">
        <f>F25</f>
        <v>100</v>
      </c>
      <c r="T25" s="667" t="s">
        <v>14</v>
      </c>
      <c r="U25" s="668">
        <f>H25</f>
        <v>100</v>
      </c>
      <c r="V25" s="667" t="s">
        <v>14</v>
      </c>
      <c r="W25" s="668">
        <f>J25</f>
        <v>100</v>
      </c>
      <c r="X25" s="1263"/>
      <c r="Y25" s="3441"/>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89"/>
      <c r="M26" s="2484"/>
      <c r="N26" s="2484"/>
      <c r="O26" s="2539"/>
      <c r="P26" s="3441"/>
      <c r="Q26" s="1261"/>
      <c r="R26" s="667"/>
      <c r="S26" s="668"/>
      <c r="T26" s="667"/>
      <c r="U26" s="668"/>
      <c r="V26" s="667"/>
      <c r="W26" s="668"/>
      <c r="X26" s="1263"/>
      <c r="Y26" s="3441"/>
      <c r="Z26" s="1262"/>
      <c r="AA26" s="1262">
        <v>1</v>
      </c>
      <c r="AB26" s="1262">
        <v>1</v>
      </c>
      <c r="AC26" s="1262">
        <v>1</v>
      </c>
    </row>
    <row r="27" spans="1:29" s="102" customFormat="1" ht="15">
      <c r="A27" s="443"/>
      <c r="B27" s="586"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441"/>
      <c r="Q27" s="530" t="str">
        <f t="shared" si="8"/>
        <v>公共配套设施</v>
      </c>
      <c r="R27" s="664" t="s">
        <v>14</v>
      </c>
      <c r="S27" s="665">
        <f>F27</f>
        <v>100</v>
      </c>
      <c r="T27" s="664" t="s">
        <v>14</v>
      </c>
      <c r="U27" s="665">
        <f>H27</f>
        <v>100</v>
      </c>
      <c r="V27" s="664" t="s">
        <v>14</v>
      </c>
      <c r="W27" s="665">
        <f>J27</f>
        <v>100</v>
      </c>
      <c r="X27" s="666"/>
      <c r="Y27" s="3441"/>
      <c r="Z27" s="50" t="str">
        <f>Q27</f>
        <v>公共配套设施</v>
      </c>
      <c r="AA27" s="1262">
        <f>D27/F27</f>
        <v>1</v>
      </c>
      <c r="AB27" s="1262">
        <f>D27/H27</f>
        <v>1</v>
      </c>
      <c r="AC27" s="1262">
        <f>D27/J27</f>
        <v>1</v>
      </c>
    </row>
    <row r="28" spans="1:29" s="102" customFormat="1" ht="15">
      <c r="A28" s="443"/>
      <c r="B28" s="395"/>
      <c r="C28" s="1822"/>
      <c r="D28" s="387"/>
      <c r="E28" s="1756"/>
      <c r="F28" s="387"/>
      <c r="G28" s="1756"/>
      <c r="H28" s="387"/>
      <c r="I28" s="386"/>
      <c r="J28" s="387"/>
      <c r="K28" s="592"/>
      <c r="L28" s="2485"/>
      <c r="M28" s="2436"/>
      <c r="N28" s="2436"/>
      <c r="O28" s="2537"/>
      <c r="P28" s="3441"/>
      <c r="Q28" s="530"/>
      <c r="R28" s="664"/>
      <c r="S28" s="665"/>
      <c r="T28" s="664"/>
      <c r="U28" s="665"/>
      <c r="V28" s="664"/>
      <c r="W28" s="665"/>
      <c r="X28" s="666"/>
      <c r="Y28" s="3441"/>
      <c r="Z28" s="50"/>
      <c r="AA28" s="1262">
        <v>1</v>
      </c>
      <c r="AB28" s="1262">
        <v>1</v>
      </c>
      <c r="AC28" s="1262">
        <v>1</v>
      </c>
    </row>
    <row r="29" spans="1:29" s="102" customFormat="1" ht="15">
      <c r="A29" s="443"/>
      <c r="B29" s="586"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441"/>
      <c r="Q29" s="530" t="str">
        <f t="shared" ref="Q29" si="9">B29</f>
        <v>基础设施水平</v>
      </c>
      <c r="R29" s="664" t="s">
        <v>14</v>
      </c>
      <c r="S29" s="665">
        <f>F29</f>
        <v>100</v>
      </c>
      <c r="T29" s="664" t="s">
        <v>14</v>
      </c>
      <c r="U29" s="665">
        <f>H29</f>
        <v>100</v>
      </c>
      <c r="V29" s="664" t="s">
        <v>14</v>
      </c>
      <c r="W29" s="665">
        <f>J29</f>
        <v>100</v>
      </c>
      <c r="X29" s="666"/>
      <c r="Y29" s="3441"/>
      <c r="Z29" s="50" t="str">
        <f>Q29</f>
        <v>基础设施水平</v>
      </c>
      <c r="AA29" s="1262">
        <f>D29/F29</f>
        <v>1</v>
      </c>
      <c r="AB29" s="1262">
        <f>D29/H29</f>
        <v>1</v>
      </c>
      <c r="AC29" s="1262">
        <f>D29/J29</f>
        <v>1</v>
      </c>
    </row>
    <row r="30" spans="1:29" s="102" customFormat="1" ht="15">
      <c r="A30" s="443"/>
      <c r="B30" s="395"/>
      <c r="C30" s="1822"/>
      <c r="D30" s="387"/>
      <c r="E30" s="1823"/>
      <c r="F30" s="387"/>
      <c r="G30" s="1823"/>
      <c r="H30" s="387"/>
      <c r="I30" s="1823"/>
      <c r="J30" s="387"/>
      <c r="K30" s="592"/>
      <c r="L30" s="2485"/>
      <c r="M30" s="2436"/>
      <c r="N30" s="2436"/>
      <c r="O30" s="2537"/>
      <c r="P30" s="3441"/>
      <c r="Q30" s="530"/>
      <c r="R30" s="664"/>
      <c r="S30" s="665"/>
      <c r="T30" s="664"/>
      <c r="U30" s="665"/>
      <c r="V30" s="664"/>
      <c r="W30" s="665"/>
      <c r="X30" s="666"/>
      <c r="Y30" s="3441"/>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41"/>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41"/>
      <c r="Z31" s="1262" t="str">
        <f t="shared" ref="Z31:Z45" si="13">Q31</f>
        <v>临街状况</v>
      </c>
      <c r="AA31" s="1262">
        <f t="shared" si="3"/>
        <v>1</v>
      </c>
      <c r="AB31" s="1262">
        <f t="shared" si="4"/>
        <v>1</v>
      </c>
      <c r="AC31" s="1262">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41"/>
      <c r="Q32" s="1261" t="str">
        <f t="shared" si="8"/>
        <v>毗邻道路的类型与等级</v>
      </c>
      <c r="R32" s="667" t="s">
        <v>14</v>
      </c>
      <c r="S32" s="668">
        <f t="shared" si="10"/>
        <v>100</v>
      </c>
      <c r="T32" s="667" t="s">
        <v>14</v>
      </c>
      <c r="U32" s="668">
        <f t="shared" si="11"/>
        <v>100</v>
      </c>
      <c r="V32" s="667" t="s">
        <v>14</v>
      </c>
      <c r="W32" s="668">
        <f t="shared" si="12"/>
        <v>100</v>
      </c>
      <c r="X32" s="1263"/>
      <c r="Y32" s="3441"/>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89"/>
      <c r="M33" s="2484"/>
      <c r="N33" s="2484"/>
      <c r="O33" s="2539"/>
      <c r="P33" s="3441"/>
      <c r="Q33" s="1261"/>
      <c r="R33" s="667"/>
      <c r="S33" s="668"/>
      <c r="T33" s="667"/>
      <c r="U33" s="668"/>
      <c r="V33" s="667"/>
      <c r="W33" s="668"/>
      <c r="X33" s="1263"/>
      <c r="Y33" s="3441"/>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41"/>
      <c r="Q34" s="1261" t="str">
        <f t="shared" si="8"/>
        <v>土地级别</v>
      </c>
      <c r="R34" s="667" t="s">
        <v>14</v>
      </c>
      <c r="S34" s="668">
        <f t="shared" si="10"/>
        <v>100</v>
      </c>
      <c r="T34" s="667" t="s">
        <v>14</v>
      </c>
      <c r="U34" s="668">
        <f t="shared" si="11"/>
        <v>100</v>
      </c>
      <c r="V34" s="667" t="s">
        <v>14</v>
      </c>
      <c r="W34" s="668">
        <f t="shared" si="12"/>
        <v>100</v>
      </c>
      <c r="X34" s="1263"/>
      <c r="Y34" s="3441"/>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41"/>
      <c r="Q35" s="1261">
        <f t="shared" si="8"/>
        <v>111</v>
      </c>
      <c r="R35" s="667" t="s">
        <v>14</v>
      </c>
      <c r="S35" s="668">
        <f t="shared" si="10"/>
        <v>100</v>
      </c>
      <c r="T35" s="667" t="s">
        <v>14</v>
      </c>
      <c r="U35" s="668">
        <f t="shared" si="11"/>
        <v>100</v>
      </c>
      <c r="V35" s="667" t="s">
        <v>14</v>
      </c>
      <c r="W35" s="668">
        <f t="shared" si="12"/>
        <v>100</v>
      </c>
      <c r="X35" s="1263"/>
      <c r="Y35" s="3441"/>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42" t="s">
        <v>1696</v>
      </c>
      <c r="Q36" s="1261">
        <f t="shared" si="8"/>
        <v>111</v>
      </c>
      <c r="R36" s="667" t="s">
        <v>14</v>
      </c>
      <c r="S36" s="668">
        <f t="shared" si="10"/>
        <v>100</v>
      </c>
      <c r="T36" s="667" t="s">
        <v>14</v>
      </c>
      <c r="U36" s="668">
        <f t="shared" si="11"/>
        <v>100</v>
      </c>
      <c r="V36" s="667" t="s">
        <v>14</v>
      </c>
      <c r="W36" s="668">
        <f t="shared" si="12"/>
        <v>100</v>
      </c>
      <c r="X36" s="1263"/>
      <c r="Y36" s="3443" t="s">
        <v>1696</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43"/>
      <c r="Q37" s="1261">
        <f t="shared" si="8"/>
        <v>111</v>
      </c>
      <c r="R37" s="669" t="s">
        <v>14</v>
      </c>
      <c r="S37" s="670">
        <f t="shared" si="10"/>
        <v>100</v>
      </c>
      <c r="T37" s="669" t="s">
        <v>14</v>
      </c>
      <c r="U37" s="670">
        <f t="shared" si="11"/>
        <v>100</v>
      </c>
      <c r="V37" s="669" t="s">
        <v>14</v>
      </c>
      <c r="W37" s="670">
        <f t="shared" si="12"/>
        <v>100</v>
      </c>
      <c r="X37" s="671"/>
      <c r="Y37" s="3443"/>
      <c r="Z37" s="672">
        <f t="shared" si="13"/>
        <v>111</v>
      </c>
      <c r="AA37" s="1262">
        <f t="shared" si="3"/>
        <v>1</v>
      </c>
      <c r="AB37" s="1262">
        <f t="shared" si="4"/>
        <v>1</v>
      </c>
      <c r="AC37" s="1262">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43"/>
      <c r="Q38" s="1261" t="str">
        <f>B38</f>
        <v>宗地面积</v>
      </c>
      <c r="R38" s="667" t="s">
        <v>14</v>
      </c>
      <c r="S38" s="668" t="e">
        <f t="shared" si="10"/>
        <v>#N/A</v>
      </c>
      <c r="T38" s="667" t="s">
        <v>14</v>
      </c>
      <c r="U38" s="668" t="e">
        <f t="shared" si="11"/>
        <v>#N/A</v>
      </c>
      <c r="V38" s="667" t="s">
        <v>14</v>
      </c>
      <c r="W38" s="668" t="e">
        <f t="shared" si="12"/>
        <v>#N/A</v>
      </c>
      <c r="X38" s="1263"/>
      <c r="Y38" s="3443"/>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9"/>
      <c r="M39" s="2484"/>
      <c r="N39" s="2484"/>
      <c r="O39" s="2539"/>
      <c r="P39" s="3443"/>
      <c r="Q39" s="1261" t="str">
        <f t="shared" ref="Q39:Q45" si="14">B39</f>
        <v>宗地形状</v>
      </c>
      <c r="R39" s="667" t="s">
        <v>14</v>
      </c>
      <c r="S39" s="668">
        <f t="shared" si="10"/>
        <v>100</v>
      </c>
      <c r="T39" s="667" t="s">
        <v>14</v>
      </c>
      <c r="U39" s="668">
        <f t="shared" si="11"/>
        <v>100</v>
      </c>
      <c r="V39" s="667" t="s">
        <v>14</v>
      </c>
      <c r="W39" s="668">
        <f t="shared" si="12"/>
        <v>100</v>
      </c>
      <c r="X39" s="1263"/>
      <c r="Y39" s="3443"/>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9"/>
      <c r="M40" s="2484"/>
      <c r="N40" s="2484"/>
      <c r="O40" s="2539"/>
      <c r="P40" s="3443"/>
      <c r="Q40" s="1261" t="str">
        <f t="shared" si="14"/>
        <v>临街宽度及深度</v>
      </c>
      <c r="R40" s="667" t="s">
        <v>14</v>
      </c>
      <c r="S40" s="668">
        <f t="shared" si="10"/>
        <v>100</v>
      </c>
      <c r="T40" s="667" t="s">
        <v>14</v>
      </c>
      <c r="U40" s="668">
        <f t="shared" si="11"/>
        <v>100</v>
      </c>
      <c r="V40" s="667" t="s">
        <v>14</v>
      </c>
      <c r="W40" s="668">
        <f t="shared" si="12"/>
        <v>100</v>
      </c>
      <c r="X40" s="1263"/>
      <c r="Y40" s="3443"/>
      <c r="Z40" s="1262" t="str">
        <f t="shared" si="13"/>
        <v>临街宽度及深度</v>
      </c>
      <c r="AA40" s="1262">
        <f t="shared" si="3"/>
        <v>1</v>
      </c>
      <c r="AB40" s="1262">
        <f t="shared" si="4"/>
        <v>1</v>
      </c>
      <c r="AC40" s="1262">
        <f t="shared" si="5"/>
        <v>1</v>
      </c>
    </row>
    <row r="41" spans="1:29" s="102" customFormat="1" ht="15">
      <c r="A41" s="410"/>
      <c r="B41" s="364" t="s">
        <v>1877</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5"/>
      <c r="M41" s="2436"/>
      <c r="N41" s="2436"/>
      <c r="O41" s="2537"/>
      <c r="P41" s="3443"/>
      <c r="Q41" s="1261" t="str">
        <f t="shared" si="14"/>
        <v>宗地开发程度</v>
      </c>
      <c r="R41" s="664" t="s">
        <v>14</v>
      </c>
      <c r="S41" s="665">
        <f t="shared" si="10"/>
        <v>100</v>
      </c>
      <c r="T41" s="664" t="s">
        <v>14</v>
      </c>
      <c r="U41" s="665">
        <f t="shared" si="11"/>
        <v>100</v>
      </c>
      <c r="V41" s="664" t="s">
        <v>14</v>
      </c>
      <c r="W41" s="665">
        <f t="shared" si="12"/>
        <v>100</v>
      </c>
      <c r="X41" s="666"/>
      <c r="Y41" s="3443"/>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9"/>
      <c r="M42" s="2484"/>
      <c r="N42" s="2484"/>
      <c r="O42" s="2539"/>
      <c r="P42" s="3443" t="s">
        <v>1696</v>
      </c>
      <c r="Q42" s="1261" t="str">
        <f t="shared" si="14"/>
        <v>工程地质条件</v>
      </c>
      <c r="R42" s="667" t="s">
        <v>14</v>
      </c>
      <c r="S42" s="668">
        <f t="shared" si="10"/>
        <v>100</v>
      </c>
      <c r="T42" s="667" t="s">
        <v>14</v>
      </c>
      <c r="U42" s="668">
        <f t="shared" si="11"/>
        <v>100</v>
      </c>
      <c r="V42" s="667" t="s">
        <v>14</v>
      </c>
      <c r="W42" s="668">
        <f t="shared" si="12"/>
        <v>100</v>
      </c>
      <c r="X42" s="1263"/>
      <c r="Y42" s="3443"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43"/>
      <c r="Q43" s="1261">
        <f t="shared" si="14"/>
        <v>111</v>
      </c>
      <c r="R43" s="667" t="s">
        <v>14</v>
      </c>
      <c r="S43" s="668">
        <f t="shared" si="10"/>
        <v>100</v>
      </c>
      <c r="T43" s="667" t="s">
        <v>14</v>
      </c>
      <c r="U43" s="668">
        <f t="shared" si="11"/>
        <v>100</v>
      </c>
      <c r="V43" s="667" t="s">
        <v>14</v>
      </c>
      <c r="W43" s="668">
        <f t="shared" si="12"/>
        <v>100</v>
      </c>
      <c r="X43" s="1263"/>
      <c r="Y43" s="3443"/>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43"/>
      <c r="Q44" s="1261">
        <f t="shared" si="14"/>
        <v>111</v>
      </c>
      <c r="R44" s="667" t="s">
        <v>14</v>
      </c>
      <c r="S44" s="668">
        <f t="shared" si="10"/>
        <v>100</v>
      </c>
      <c r="T44" s="667" t="s">
        <v>14</v>
      </c>
      <c r="U44" s="668">
        <f t="shared" si="11"/>
        <v>100</v>
      </c>
      <c r="V44" s="667" t="s">
        <v>14</v>
      </c>
      <c r="W44" s="668">
        <f t="shared" si="12"/>
        <v>100</v>
      </c>
      <c r="X44" s="1263"/>
      <c r="Y44" s="3443"/>
      <c r="Z44" s="1262">
        <f t="shared" si="13"/>
        <v>111</v>
      </c>
      <c r="AA44" s="1262">
        <f t="shared" si="3"/>
        <v>1</v>
      </c>
      <c r="AB44" s="1262">
        <f t="shared" si="4"/>
        <v>1</v>
      </c>
      <c r="AC44" s="1262">
        <f t="shared" si="5"/>
        <v>1</v>
      </c>
    </row>
    <row r="45" spans="1:29" s="408" customFormat="1" ht="15.75" thickBot="1">
      <c r="A45" s="406"/>
      <c r="B45" s="1065">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43"/>
      <c r="Q45" s="1261">
        <f t="shared" si="14"/>
        <v>111</v>
      </c>
      <c r="R45" s="669" t="s">
        <v>14</v>
      </c>
      <c r="S45" s="670">
        <f t="shared" si="10"/>
        <v>100</v>
      </c>
      <c r="T45" s="669" t="s">
        <v>14</v>
      </c>
      <c r="U45" s="670">
        <f t="shared" si="11"/>
        <v>100</v>
      </c>
      <c r="V45" s="669" t="s">
        <v>14</v>
      </c>
      <c r="W45" s="670">
        <f t="shared" si="12"/>
        <v>100</v>
      </c>
      <c r="X45" s="671"/>
      <c r="Y45" s="3443"/>
      <c r="Z45" s="672">
        <f t="shared" si="13"/>
        <v>111</v>
      </c>
      <c r="AA45" s="1262">
        <f t="shared" si="3"/>
        <v>1</v>
      </c>
      <c r="AB45" s="1262">
        <f t="shared" si="4"/>
        <v>1</v>
      </c>
      <c r="AC45" s="1262">
        <f t="shared" si="5"/>
        <v>1</v>
      </c>
    </row>
    <row r="46" spans="1:29" ht="15">
      <c r="A46" s="416" t="s">
        <v>1844</v>
      </c>
      <c r="B46" s="1826" t="s">
        <v>1879</v>
      </c>
      <c r="C46" s="602" t="s">
        <v>0</v>
      </c>
      <c r="D46" s="418"/>
      <c r="E46" s="419"/>
      <c r="F46" s="420"/>
      <c r="G46" s="421"/>
      <c r="H46" s="422"/>
      <c r="I46" s="419"/>
      <c r="J46" s="422"/>
      <c r="K46" s="674"/>
      <c r="L46" s="2491"/>
      <c r="M46" s="2484"/>
      <c r="N46" s="2484"/>
      <c r="O46" s="2484"/>
      <c r="P46" s="3435" t="str">
        <f>A46</f>
        <v>成交单价</v>
      </c>
      <c r="Q46" s="3435"/>
      <c r="R46" s="3439">
        <f>E46</f>
        <v>0</v>
      </c>
      <c r="S46" s="3439"/>
      <c r="T46" s="3439">
        <f>G46</f>
        <v>0</v>
      </c>
      <c r="U46" s="3439"/>
      <c r="V46" s="3439">
        <f>I46</f>
        <v>0</v>
      </c>
      <c r="W46" s="3439"/>
      <c r="X46" s="385"/>
      <c r="Y46" s="673"/>
      <c r="Z46" s="385"/>
      <c r="AA46" s="385"/>
      <c r="AB46" s="385"/>
      <c r="AC46" s="385"/>
    </row>
    <row r="47" spans="1:29" ht="15.75" thickBot="1">
      <c r="A47" s="423" t="s">
        <v>1793</v>
      </c>
      <c r="B47" s="603"/>
      <c r="C47" s="426" t="e">
        <f>R48</f>
        <v>#DIV/0!</v>
      </c>
      <c r="D47" s="2137" t="s">
        <v>2137</v>
      </c>
      <c r="E47" s="426" t="e">
        <f>R47</f>
        <v>#DIV/0!</v>
      </c>
      <c r="F47" s="2138"/>
      <c r="G47" s="425" t="e">
        <f>T47</f>
        <v>#DIV/0!</v>
      </c>
      <c r="H47" s="2138"/>
      <c r="I47" s="426" t="e">
        <f>V47</f>
        <v>#DIV/0!</v>
      </c>
      <c r="J47" s="2138"/>
      <c r="K47" s="2140">
        <f>F47+H47+J47</f>
        <v>0</v>
      </c>
      <c r="L47" s="2491"/>
      <c r="M47" s="2484"/>
      <c r="N47" s="2484"/>
      <c r="O47" s="2484"/>
      <c r="P47" s="3435" t="str">
        <f>A47</f>
        <v>比较价值（元/平方米）</v>
      </c>
      <c r="Q47" s="3435"/>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432" t="str">
        <f>A48</f>
        <v>估价对象XX用房的比较价值（楼面单价，元/平方米）</v>
      </c>
      <c r="Q48" s="3433"/>
      <c r="R48" s="3434" t="e">
        <f>ROUND(IF(D47="简单平均",AVERAGE(R47:W47),R47*F47+T47*H47+V47*J47),0)</f>
        <v>#DIV/0!</v>
      </c>
      <c r="S48" s="3434"/>
      <c r="T48" s="3434"/>
      <c r="U48" s="3434"/>
      <c r="V48" s="3434"/>
      <c r="W48" s="3434"/>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27" t="s">
        <v>1883</v>
      </c>
      <c r="D55" s="1828" t="s">
        <v>1884</v>
      </c>
      <c r="E55" s="606" t="s">
        <v>1885</v>
      </c>
      <c r="F55" s="835" t="s">
        <v>1886</v>
      </c>
      <c r="G55" s="3447" t="s">
        <v>1887</v>
      </c>
      <c r="H55" s="3459"/>
      <c r="I55" s="127" t="s">
        <v>1888</v>
      </c>
      <c r="J55" s="1829">
        <f>项目基本情况!F35</f>
        <v>0</v>
      </c>
      <c r="K55" s="1830"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88">
        <v>1</v>
      </c>
      <c r="E56" s="610">
        <f>'数据-汇总表'!E8+'数据-汇总表'!E9</f>
        <v>77960.160000000003</v>
      </c>
      <c r="F56" s="831" t="e">
        <f t="shared" ref="F56:F64" si="15">ROUND(B56*E56/10000,0)</f>
        <v>#DIV/0!</v>
      </c>
      <c r="G56" s="3460"/>
      <c r="H56" s="3435"/>
      <c r="I56" s="836">
        <v>1</v>
      </c>
      <c r="J56" s="839">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89">
        <v>0.25</v>
      </c>
      <c r="E57" s="614"/>
      <c r="F57" s="831" t="e">
        <f t="shared" si="15"/>
        <v>#DIV/0!</v>
      </c>
      <c r="G57" s="2747" t="s">
        <v>1892</v>
      </c>
      <c r="H57" s="832">
        <f>项目基本情况!B37</f>
        <v>0</v>
      </c>
      <c r="I57" s="836">
        <f>SUMIF(修正!A57:A68,H57,修正!B57:B68)</f>
        <v>0</v>
      </c>
      <c r="J57" s="840"/>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89">
        <v>0.25</v>
      </c>
      <c r="E58" s="614"/>
      <c r="F58" s="831" t="e">
        <f t="shared" si="15"/>
        <v>#DIV/0!</v>
      </c>
      <c r="G58" s="2748"/>
      <c r="H58" s="832">
        <f>项目基本情况!B37</f>
        <v>0</v>
      </c>
      <c r="I58" s="836">
        <f>SUMIF(修正!A57:A68,H58,修正!C57:C68)</f>
        <v>0</v>
      </c>
      <c r="J58" s="840"/>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89">
        <v>0.25</v>
      </c>
      <c r="E59" s="614"/>
      <c r="F59" s="831" t="e">
        <f t="shared" si="15"/>
        <v>#DIV/0!</v>
      </c>
      <c r="G59" s="2748"/>
      <c r="H59" s="832">
        <f>项目基本情况!B37</f>
        <v>0</v>
      </c>
      <c r="I59" s="836">
        <f>SUMIF(修正!A57:A68,H59,修正!D57:D68)</f>
        <v>0</v>
      </c>
      <c r="J59" s="840"/>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89">
        <v>0.25</v>
      </c>
      <c r="E60" s="209">
        <f>'数据-汇总表'!E11</f>
        <v>0</v>
      </c>
      <c r="F60" s="831" t="e">
        <f t="shared" si="15"/>
        <v>#DIV/0!</v>
      </c>
      <c r="G60" s="1831" t="s">
        <v>1896</v>
      </c>
      <c r="H60" s="832">
        <f>项目基本情况!C37</f>
        <v>0</v>
      </c>
      <c r="I60" s="836">
        <f>SUMIF(修正!A57:A68,H60,修正!E57:E68)</f>
        <v>0</v>
      </c>
      <c r="J60" s="840"/>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89">
        <v>0.25</v>
      </c>
      <c r="E61" s="209">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v>
      </c>
      <c r="D62" s="889">
        <v>0.25</v>
      </c>
      <c r="E62" s="209">
        <f>'数据-汇总表'!E13</f>
        <v>4407.28</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89">
        <v>0.25</v>
      </c>
      <c r="E63" s="209">
        <f>'数据-汇总表'!E14</f>
        <v>0</v>
      </c>
      <c r="F63" s="831" t="e">
        <f t="shared" si="15"/>
        <v>#DIV/0!</v>
      </c>
      <c r="G63" s="1831" t="s">
        <v>1892</v>
      </c>
      <c r="H63" s="832">
        <f>项目基本情况!B37</f>
        <v>0</v>
      </c>
      <c r="I63" s="836">
        <f>SUMIF(修正!A57:A68,H63,修正!G57:G68)</f>
        <v>0</v>
      </c>
      <c r="J63" s="840"/>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89">
        <v>0.25</v>
      </c>
      <c r="E64" s="209">
        <f>'数据-汇总表'!E15</f>
        <v>0</v>
      </c>
      <c r="F64" s="831" t="e">
        <f t="shared" si="15"/>
        <v>#DIV/0!</v>
      </c>
      <c r="G64" s="1832" t="s">
        <v>1896</v>
      </c>
      <c r="H64" s="842">
        <f>项目基本情况!C37</f>
        <v>0</v>
      </c>
      <c r="I64" s="838">
        <f>SUMIF(修正!A57:A68,H64,修正!G57:G68)</f>
        <v>0</v>
      </c>
      <c r="J64" s="841"/>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82367.44</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59"/>
      <c r="K66" s="833"/>
      <c r="L66" s="834"/>
      <c r="M66" s="859"/>
      <c r="N66" s="859"/>
      <c r="O66" s="859"/>
      <c r="P66" s="2484"/>
      <c r="Q66" s="2484"/>
      <c r="R66" s="2484"/>
      <c r="S66" s="2484"/>
      <c r="T66" s="2484"/>
      <c r="U66" s="2484"/>
      <c r="V66" s="2484"/>
      <c r="W66" s="2484"/>
      <c r="X66" s="2484"/>
      <c r="Y66" s="2484"/>
      <c r="Z66" s="2484"/>
      <c r="AA66" s="2484"/>
      <c r="AB66" s="2484"/>
      <c r="AC66" s="2484"/>
    </row>
    <row r="67" spans="1:29">
      <c r="A67" s="385"/>
      <c r="B67" s="656"/>
      <c r="C67" s="656" t="str">
        <f>YEAR(C7)&amp;"-"&amp;MONTH(C7)&amp;"-1"</f>
        <v>2024-6-1</v>
      </c>
      <c r="D67" s="656">
        <f>EDATE(C67,-3)</f>
        <v>45352</v>
      </c>
      <c r="E67" s="656">
        <f>EDATE(D67,-3)</f>
        <v>45261</v>
      </c>
      <c r="F67" s="656">
        <f t="shared" ref="F67:O67" si="18">EDATE(E67,-3)</f>
        <v>45170</v>
      </c>
      <c r="G67" s="656">
        <f t="shared" si="18"/>
        <v>45078</v>
      </c>
      <c r="H67" s="656">
        <f t="shared" si="18"/>
        <v>44986</v>
      </c>
      <c r="I67" s="656">
        <f t="shared" si="18"/>
        <v>44896</v>
      </c>
      <c r="J67" s="656">
        <f t="shared" si="18"/>
        <v>44805</v>
      </c>
      <c r="K67" s="656">
        <f t="shared" si="18"/>
        <v>44713</v>
      </c>
      <c r="L67" s="656">
        <f t="shared" si="18"/>
        <v>44621</v>
      </c>
      <c r="M67" s="656">
        <f t="shared" si="18"/>
        <v>44531</v>
      </c>
      <c r="N67" s="656">
        <f t="shared" si="18"/>
        <v>44440</v>
      </c>
      <c r="O67" s="656">
        <f t="shared" si="18"/>
        <v>44348</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4"/>
      <c r="K68" s="885"/>
      <c r="L68" s="886"/>
      <c r="M68" s="884"/>
      <c r="N68" s="2534"/>
      <c r="O68" s="2534"/>
      <c r="P68" s="2534"/>
      <c r="Q68" s="2505"/>
      <c r="R68" s="2484"/>
      <c r="S68" s="2484"/>
      <c r="T68" s="2484"/>
      <c r="U68" s="2484"/>
      <c r="V68" s="2484"/>
      <c r="W68" s="2484"/>
      <c r="X68" s="2484"/>
      <c r="Y68" s="2484"/>
      <c r="Z68" s="2484"/>
      <c r="AA68" s="2484"/>
      <c r="AB68" s="2484"/>
      <c r="AC68" s="2484"/>
    </row>
    <row r="69" spans="1:29" s="442" customFormat="1" ht="15">
      <c r="A69" s="1628" t="s">
        <v>1904</v>
      </c>
      <c r="B69" s="1044"/>
      <c r="C69" s="1099" t="str">
        <f>YEAR(C67)&amp;"-"&amp;ROUNDUP(MONTH(C67)/3,0)</f>
        <v>2024-2</v>
      </c>
      <c r="D69" s="1099" t="str">
        <f>YEAR(D67)&amp;"-"&amp;ROUNDUP(MONTH(D67)/3,0)</f>
        <v>2024-1</v>
      </c>
      <c r="E69" s="1099" t="str">
        <f t="shared" ref="E69:O69" si="19">YEAR(E67)&amp;"-"&amp;ROUNDUP(MONTH(E67)/3,0)</f>
        <v>2023-4</v>
      </c>
      <c r="F69" s="1099" t="str">
        <f t="shared" si="19"/>
        <v>2023-3</v>
      </c>
      <c r="G69" s="1099" t="str">
        <f t="shared" si="19"/>
        <v>2023-2</v>
      </c>
      <c r="H69" s="1099" t="str">
        <f t="shared" si="19"/>
        <v>2023-1</v>
      </c>
      <c r="I69" s="1099" t="str">
        <f t="shared" si="19"/>
        <v>2022-4</v>
      </c>
      <c r="J69" s="1099" t="str">
        <f t="shared" si="19"/>
        <v>2022-3</v>
      </c>
      <c r="K69" s="1099" t="str">
        <f t="shared" si="19"/>
        <v>2022-2</v>
      </c>
      <c r="L69" s="1099" t="str">
        <f t="shared" si="19"/>
        <v>2022-1</v>
      </c>
      <c r="M69" s="1099" t="str">
        <f t="shared" si="19"/>
        <v>2021-4</v>
      </c>
      <c r="N69" s="1099" t="str">
        <f t="shared" si="19"/>
        <v>2021-3</v>
      </c>
      <c r="O69" s="1099" t="str">
        <f t="shared" si="19"/>
        <v>2021-2</v>
      </c>
      <c r="P69" s="2507"/>
      <c r="Q69" s="2507"/>
      <c r="R69" s="2507"/>
      <c r="S69" s="2507"/>
      <c r="T69" s="2507"/>
      <c r="U69" s="2507"/>
      <c r="V69" s="2507"/>
      <c r="W69" s="2507"/>
      <c r="X69" s="2507"/>
      <c r="Y69" s="2507"/>
      <c r="Z69" s="2507"/>
      <c r="AA69" s="2507"/>
      <c r="AB69" s="2507"/>
      <c r="AC69" s="2507"/>
    </row>
    <row r="70" spans="1:29" s="102" customFormat="1" ht="30" customHeight="1">
      <c r="A70" s="1833"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5"/>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7"/>
      <c r="P71" s="2505"/>
      <c r="Q71" s="2505"/>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89" priority="13" stopIfTrue="1">
      <formula>$F$51="超过30%"</formula>
    </cfRule>
  </conditionalFormatting>
  <conditionalFormatting sqref="E52">
    <cfRule type="expression" dxfId="88" priority="11" stopIfTrue="1">
      <formula>$F$52="超过20%"</formula>
    </cfRule>
  </conditionalFormatting>
  <conditionalFormatting sqref="E53">
    <cfRule type="expression" dxfId="87" priority="10" stopIfTrue="1">
      <formula>$F$53="超过30%"</formula>
    </cfRule>
  </conditionalFormatting>
  <conditionalFormatting sqref="F7:F45 H7:H45 J7:J45">
    <cfRule type="cellIs" dxfId="86" priority="1" operator="notEqual">
      <formula>100</formula>
    </cfRule>
  </conditionalFormatting>
  <conditionalFormatting sqref="F47">
    <cfRule type="expression" dxfId="85" priority="4">
      <formula>$D$47="简单平均"</formula>
    </cfRule>
  </conditionalFormatting>
  <conditionalFormatting sqref="F51:F53 H51:H53 J51:J53">
    <cfRule type="containsText" dxfId="84" priority="14" stopIfTrue="1" operator="containsText" text="超过">
      <formula>NOT(ISERROR(SEARCH("超过",F51)))</formula>
    </cfRule>
  </conditionalFormatting>
  <conditionalFormatting sqref="G51">
    <cfRule type="expression" dxfId="83" priority="9" stopIfTrue="1">
      <formula>$H$53+$H$51="超过30%"</formula>
    </cfRule>
  </conditionalFormatting>
  <conditionalFormatting sqref="G52">
    <cfRule type="expression" dxfId="82" priority="8" stopIfTrue="1">
      <formula>$H$52="超过20%"</formula>
    </cfRule>
  </conditionalFormatting>
  <conditionalFormatting sqref="G53">
    <cfRule type="expression" dxfId="81" priority="12" stopIfTrue="1">
      <formula>$H$53="超过30%"</formula>
    </cfRule>
  </conditionalFormatting>
  <conditionalFormatting sqref="H47">
    <cfRule type="expression" dxfId="80" priority="3">
      <formula>$D$47="简单平均"</formula>
    </cfRule>
  </conditionalFormatting>
  <conditionalFormatting sqref="I51">
    <cfRule type="expression" dxfId="79" priority="7" stopIfTrue="1">
      <formula>$J$51="超过30%"</formula>
    </cfRule>
  </conditionalFormatting>
  <conditionalFormatting sqref="I52">
    <cfRule type="expression" dxfId="78" priority="6" stopIfTrue="1">
      <formula>$J$52="超过20%"</formula>
    </cfRule>
  </conditionalFormatting>
  <conditionalFormatting sqref="I53">
    <cfRule type="expression" dxfId="77" priority="5" stopIfTrue="1">
      <formula>$J$53="超过30%"</formula>
    </cfRule>
  </conditionalFormatting>
  <conditionalFormatting sqref="J47">
    <cfRule type="expression" dxfId="7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theme="5" tint="-0.499984740745262"/>
  </sheetPr>
  <dimension ref="A1:AK83"/>
  <sheetViews>
    <sheetView view="pageBreakPreview" zoomScale="70" zoomScaleNormal="70" zoomScaleSheetLayoutView="70" workbookViewId="0">
      <selection activeCell="J33" sqref="J3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3844</v>
      </c>
      <c r="D1" s="1269" t="s">
        <v>43</v>
      </c>
      <c r="E1" s="1270" t="s">
        <v>678</v>
      </c>
      <c r="F1" s="997">
        <f ca="1">J53</f>
        <v>31.66</v>
      </c>
      <c r="G1" s="1284">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10752</v>
      </c>
      <c r="C2" s="1287" t="s">
        <v>805</v>
      </c>
      <c r="D2" s="1287"/>
      <c r="E2" s="1293"/>
      <c r="F2" s="1294"/>
      <c r="G2" s="2475"/>
      <c r="H2" s="2465"/>
      <c r="I2" s="2465"/>
      <c r="J2" s="2465"/>
      <c r="K2" s="2466"/>
      <c r="L2" s="2465"/>
      <c r="M2" s="2465"/>
    </row>
    <row r="3" spans="1:37" ht="18" customHeight="1" thickBot="1">
      <c r="A3" s="1295" t="s">
        <v>806</v>
      </c>
      <c r="B3" s="1296">
        <f ca="1">IF(ISERROR(B2*10000/F43),0,ROUND(B2*10000/F43,0))</f>
        <v>4468</v>
      </c>
      <c r="C3" s="1287" t="s">
        <v>807</v>
      </c>
      <c r="D3" s="1287"/>
      <c r="E3" s="1293"/>
      <c r="F3" s="1294"/>
      <c r="G3" s="2475"/>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791</v>
      </c>
      <c r="D5" s="1271" t="s">
        <v>693</v>
      </c>
      <c r="E5" s="1006"/>
      <c r="F5" s="1007"/>
      <c r="G5" s="1290"/>
      <c r="H5" s="291">
        <v>1</v>
      </c>
      <c r="I5" s="292" t="s">
        <v>692</v>
      </c>
      <c r="J5" s="1005">
        <f ca="1">J6+J10+J12</f>
        <v>0</v>
      </c>
      <c r="K5" s="1271" t="s">
        <v>693</v>
      </c>
      <c r="L5" s="1006"/>
      <c r="M5" s="1007"/>
    </row>
    <row r="6" spans="1:37" ht="18" customHeight="1">
      <c r="A6" s="1004" t="s">
        <v>398</v>
      </c>
      <c r="B6" s="3408" t="s">
        <v>694</v>
      </c>
      <c r="C6" s="1009">
        <f ca="1">ROUND(F6*F8*F7*(1-F9)/10000,0)</f>
        <v>790</v>
      </c>
      <c r="D6" s="147" t="s">
        <v>2108</v>
      </c>
      <c r="E6" s="294" t="s">
        <v>696</v>
      </c>
      <c r="F6" s="295">
        <f ca="1">INDIRECT("'数据-取费表'!u"&amp;$G$1)</f>
        <v>1</v>
      </c>
      <c r="G6" s="1290"/>
      <c r="H6" s="1004" t="s">
        <v>398</v>
      </c>
      <c r="I6" s="3408" t="s">
        <v>694</v>
      </c>
      <c r="J6" s="293">
        <f ca="1">ROUND(M6*M8*M7*(1-M9)/10000,0)</f>
        <v>0</v>
      </c>
      <c r="K6" s="147" t="s">
        <v>2107</v>
      </c>
      <c r="L6" s="294" t="s">
        <v>696</v>
      </c>
      <c r="M6" s="295">
        <f ca="1">INDIRECT("'数据-取费表'!z"&amp;$G$1)</f>
        <v>0</v>
      </c>
    </row>
    <row r="7" spans="1:37" ht="18" customHeight="1">
      <c r="A7" s="1008"/>
      <c r="B7" s="3409"/>
      <c r="C7" s="1010"/>
      <c r="D7" s="299"/>
      <c r="E7" s="1011" t="s">
        <v>697</v>
      </c>
      <c r="F7" s="295">
        <f ca="1">IF(INDIRECT("'数据-取费表'!ah"&amp;$G$1)="",INDIRECT("'数据-取费表'!k"&amp;$G$1),INDIRECT("'数据-取费表'!ah"&amp;$G$1))</f>
        <v>24063.21</v>
      </c>
      <c r="G7" s="1290"/>
      <c r="H7" s="296"/>
      <c r="I7" s="3409"/>
      <c r="J7" s="298"/>
      <c r="K7" s="299"/>
      <c r="L7" s="294" t="s">
        <v>697</v>
      </c>
      <c r="M7" s="295">
        <f ca="1">F7</f>
        <v>24063.21</v>
      </c>
    </row>
    <row r="8" spans="1:37" ht="18" customHeight="1">
      <c r="A8" s="296"/>
      <c r="B8" s="3409"/>
      <c r="C8" s="298"/>
      <c r="D8" s="299"/>
      <c r="E8" s="294" t="s">
        <v>698</v>
      </c>
      <c r="F8" s="295">
        <f ca="1">INDIRECT("'数据-取费表'!ai"&amp;$G$1)</f>
        <v>365</v>
      </c>
      <c r="G8" s="1290"/>
      <c r="H8" s="296"/>
      <c r="I8" s="3409"/>
      <c r="J8" s="298"/>
      <c r="K8" s="299"/>
      <c r="L8" s="294" t="s">
        <v>698</v>
      </c>
      <c r="M8" s="295">
        <f ca="1">INDIRECT("'数据-取费表'!ai"&amp;$G$1)</f>
        <v>365</v>
      </c>
    </row>
    <row r="9" spans="1:37" ht="18" customHeight="1">
      <c r="A9" s="296"/>
      <c r="B9" s="3410"/>
      <c r="C9" s="298"/>
      <c r="D9" s="299"/>
      <c r="E9" s="294" t="s">
        <v>699</v>
      </c>
      <c r="F9" s="304">
        <f ca="1">INDIRECT("'数据-取费表'!w"&amp;$G$1)</f>
        <v>0.1</v>
      </c>
      <c r="G9" s="1290"/>
      <c r="H9" s="296"/>
      <c r="I9" s="3410"/>
      <c r="J9" s="298"/>
      <c r="K9" s="299"/>
      <c r="L9" s="305" t="s">
        <v>699</v>
      </c>
      <c r="M9" s="306">
        <f ca="1">INDIRECT("'数据-取费表'!ab"&amp;$G$1)</f>
        <v>0</v>
      </c>
    </row>
    <row r="10" spans="1:37" ht="18" customHeight="1">
      <c r="A10" s="1004" t="s">
        <v>402</v>
      </c>
      <c r="B10" s="1272" t="s">
        <v>700</v>
      </c>
      <c r="C10" s="308">
        <f ca="1">ROUND(IF(F10="押一",C6/12*F11,IF(F10="押二",C6/12*2*F11,IF(F10="押三",C6/12*3*F11,C11*F11))),0)</f>
        <v>1</v>
      </c>
      <c r="D10" s="150" t="s">
        <v>2116</v>
      </c>
      <c r="E10" s="305" t="s">
        <v>701</v>
      </c>
      <c r="F10" s="1051" t="s">
        <v>3845</v>
      </c>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5535</v>
      </c>
      <c r="D13" s="1016" t="s">
        <v>705</v>
      </c>
      <c r="E13" s="1016" t="s">
        <v>706</v>
      </c>
      <c r="F13" s="1017">
        <f ca="1">INDIRECT("'数据-取费表'!y"&amp;$G$1)</f>
        <v>0.73</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5294</v>
      </c>
      <c r="D14" s="1255" t="s">
        <v>708</v>
      </c>
      <c r="E14" s="1253"/>
      <c r="F14" s="311"/>
      <c r="G14" s="1290"/>
      <c r="H14" s="926" t="s">
        <v>398</v>
      </c>
      <c r="I14" s="294" t="s">
        <v>709</v>
      </c>
      <c r="J14" s="21">
        <f ca="1">C29</f>
        <v>7582</v>
      </c>
      <c r="K14" s="12"/>
      <c r="L14" s="757"/>
      <c r="M14" s="758"/>
    </row>
    <row r="15" spans="1:37" s="1302" customFormat="1" ht="18" customHeight="1" thickBot="1">
      <c r="A15" s="926" t="s">
        <v>399</v>
      </c>
      <c r="B15" s="294" t="s">
        <v>710</v>
      </c>
      <c r="C15" s="21">
        <f ca="1">ROUND(C14*F15,0)</f>
        <v>159</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78</v>
      </c>
      <c r="K16" s="1022" t="s">
        <v>715</v>
      </c>
      <c r="L16" s="1023"/>
      <c r="M16" s="1007"/>
    </row>
    <row r="17" spans="1:37" s="1302" customFormat="1" ht="18" customHeight="1">
      <c r="A17" s="926" t="s">
        <v>681</v>
      </c>
      <c r="B17" s="294" t="s">
        <v>716</v>
      </c>
      <c r="C17" s="21">
        <f ca="1">ROUND(F17*(F43+INDIRECT("'数据-取费表'!S"&amp;$G$1))/10000,0)</f>
        <v>481</v>
      </c>
      <c r="D17" s="294" t="s">
        <v>717</v>
      </c>
      <c r="E17" s="294" t="s">
        <v>718</v>
      </c>
      <c r="F17" s="23">
        <f>'数据-取费表'!B35</f>
        <v>200</v>
      </c>
      <c r="G17" s="1301"/>
      <c r="H17" s="926" t="s">
        <v>398</v>
      </c>
      <c r="I17" s="294" t="s">
        <v>719</v>
      </c>
      <c r="J17" s="2136">
        <f ca="1">ROUND(IF(AND(项目基本情况!B11="自然人",项目基本情况!B10="北京市"),J6*M17/(1+'数据-取费表'!C42),J18+J19+J20),2)</f>
        <v>2.41</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79</v>
      </c>
      <c r="D18" s="294" t="s">
        <v>711</v>
      </c>
      <c r="E18" s="294" t="s">
        <v>712</v>
      </c>
      <c r="F18" s="314">
        <f>'数据-取费表'!B36</f>
        <v>1.4999999999999999E-2</v>
      </c>
      <c r="G18" s="1301"/>
      <c r="H18" s="926" t="s">
        <v>397</v>
      </c>
      <c r="I18" s="294" t="s">
        <v>723</v>
      </c>
      <c r="J18" s="21">
        <f ca="1">ROUND(J6*M18/(1+'数据-取费表'!C42),2)</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6013</v>
      </c>
      <c r="D19" s="123" t="s">
        <v>726</v>
      </c>
      <c r="E19" s="1267"/>
      <c r="F19" s="23"/>
      <c r="G19" s="1290"/>
      <c r="H19" s="926" t="s">
        <v>399</v>
      </c>
      <c r="I19" s="294" t="s">
        <v>727</v>
      </c>
      <c r="J19" s="21">
        <f ca="1">IF(K19="按租金收入计税",ROUND(J6*M19/(1+'数据-取费表'!C42),2),ROUND(C29*M19*0.7,2))</f>
        <v>0</v>
      </c>
      <c r="K19" s="1276" t="s">
        <v>3328</v>
      </c>
      <c r="L19" s="294" t="s">
        <v>712</v>
      </c>
      <c r="M19" s="314">
        <f>IF(K19="按租金收入计税",'数据-取费表'!B51,'数据-取费表'!B50)</f>
        <v>0.12</v>
      </c>
    </row>
    <row r="20" spans="1:37" s="1302" customFormat="1" ht="18" customHeight="1">
      <c r="A20" s="926" t="s">
        <v>402</v>
      </c>
      <c r="B20" s="294" t="s">
        <v>728</v>
      </c>
      <c r="C20" s="21">
        <f ca="1">ROUND(C19*F20,0)</f>
        <v>120</v>
      </c>
      <c r="D20" s="315" t="s">
        <v>729</v>
      </c>
      <c r="E20" s="294" t="s">
        <v>712</v>
      </c>
      <c r="F20" s="314">
        <f>'数据-取费表'!B37</f>
        <v>0.02</v>
      </c>
      <c r="G20" s="1301"/>
      <c r="H20" s="926" t="s">
        <v>680</v>
      </c>
      <c r="I20" s="147" t="s">
        <v>730</v>
      </c>
      <c r="J20" s="22">
        <f ca="1">ROUND(M20*M21/10000,2)</f>
        <v>2.41</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16064.81</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75.819999999999993</v>
      </c>
      <c r="K22" s="1254" t="s">
        <v>739</v>
      </c>
      <c r="L22" s="294" t="s">
        <v>712</v>
      </c>
      <c r="M22" s="320">
        <f ca="1">INDIRECT("'数据-取费表'!Ak"&amp;$G$1)</f>
        <v>0.01</v>
      </c>
    </row>
    <row r="23" spans="1:37" s="1302" customFormat="1" ht="18" customHeight="1">
      <c r="A23" s="926" t="s">
        <v>397</v>
      </c>
      <c r="B23" s="294" t="s">
        <v>740</v>
      </c>
      <c r="C23" s="21">
        <f ca="1">IF('数据-取费表'!B22&lt;=1,ROUND(C19*F24*F23/2,0)+ROUND(C20*F24*F23/2,0),ROUND(C19*(POWER((1+F24),F23/2)-1),0)+ROUND(C20*(POWER((1+F24),F23/2)-1),0))</f>
        <v>265</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ROUND(J13*M23,2)</f>
        <v>0</v>
      </c>
      <c r="K23" s="1254" t="s">
        <v>743</v>
      </c>
      <c r="L23" s="294" t="s">
        <v>744</v>
      </c>
      <c r="M23" s="321">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3.4500000000000003E-2</v>
      </c>
      <c r="G24" s="1301"/>
      <c r="H24" s="1024" t="s">
        <v>684</v>
      </c>
      <c r="I24" s="1025" t="s">
        <v>728</v>
      </c>
      <c r="J24" s="1026">
        <f ca="1">ROUND(J5*M24,2)</f>
        <v>0</v>
      </c>
      <c r="K24" s="1027" t="s">
        <v>748</v>
      </c>
      <c r="L24" s="1025" t="s">
        <v>744</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-78</v>
      </c>
      <c r="K25" s="1030" t="s">
        <v>753</v>
      </c>
      <c r="L25" s="1031"/>
      <c r="M25" s="1032"/>
    </row>
    <row r="26" spans="1:37">
      <c r="A26" s="926" t="s">
        <v>397</v>
      </c>
      <c r="B26" s="294" t="s">
        <v>754</v>
      </c>
      <c r="C26" s="21">
        <f ca="1">ROUND((C19+C20)*F26,0)</f>
        <v>613</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7582</v>
      </c>
      <c r="D29" s="1027"/>
      <c r="E29" s="1025"/>
      <c r="F29" s="1028"/>
      <c r="G29" s="1301"/>
      <c r="H29" s="325" t="s">
        <v>396</v>
      </c>
      <c r="I29" s="326" t="s">
        <v>768</v>
      </c>
      <c r="J29" s="327">
        <f ca="1">ROUND(J26/(1+F40)^F41,0)</f>
        <v>0</v>
      </c>
      <c r="K29" s="328" t="s">
        <v>769</v>
      </c>
      <c r="L29" s="329"/>
      <c r="M29" s="330">
        <f ca="1">INDIRECT("'数据-取费表'!k"&amp;$G$1)</f>
        <v>24063.21</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234</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ROUND(IF(AND(项目基本情况!B11="自然人",项目基本情况!B10="北京市"),C6*F31/(1+'数据-取费表'!C42),C32+C33+C34),2)</f>
        <v>134.08000000000001</v>
      </c>
      <c r="D31" s="1255" t="s">
        <v>720</v>
      </c>
      <c r="E31" s="1254" t="s">
        <v>770</v>
      </c>
      <c r="F31" s="2135" t="str">
        <f>IF(项目基本情况!B11="企业","——",IF(M47="住宅",IF(F6*F7*F8/12/(1+'数据-取费表'!F30)&gt;100000,4%,2.5%),IF(F6*F7*F8/12/(1+'数据-取费表'!F30)&gt;100000,12%,7%)))</f>
        <v>——</v>
      </c>
      <c r="G31" s="1290"/>
      <c r="H31" s="2566" t="s">
        <v>2298</v>
      </c>
      <c r="I31" s="1303"/>
      <c r="J31" s="1304"/>
      <c r="K31" s="121"/>
      <c r="L31" s="2468"/>
      <c r="M31" s="2469"/>
    </row>
    <row r="32" spans="1:37" ht="18" customHeight="1">
      <c r="A32" s="926" t="s">
        <v>397</v>
      </c>
      <c r="B32" s="294" t="s">
        <v>723</v>
      </c>
      <c r="C32" s="21">
        <f ca="1">IF(项目基本情况!B11="自然人","——",ROUND(C6*F32/(1+'数据-取费表'!C42),2))</f>
        <v>41.38</v>
      </c>
      <c r="D32" s="1254" t="s">
        <v>724</v>
      </c>
      <c r="E32" s="294" t="s">
        <v>712</v>
      </c>
      <c r="F32" s="322">
        <f>'数据-取费表'!B41</f>
        <v>5.5000000000000007E-2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90.29</v>
      </c>
      <c r="D33" s="1276" t="s">
        <v>3328</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IF(项目基本情况!B11="自然人","——",ROUND(F34*F35/10000,2))</f>
        <v>2.41</v>
      </c>
      <c r="D34" s="316" t="s">
        <v>731</v>
      </c>
      <c r="E34" s="294" t="s">
        <v>732</v>
      </c>
      <c r="F34" s="317">
        <f>'数据-取费表'!B52</f>
        <v>1.5</v>
      </c>
      <c r="G34" s="1290"/>
      <c r="H34" s="2467"/>
      <c r="I34" s="1303"/>
      <c r="J34" s="1304"/>
      <c r="K34" s="2472"/>
      <c r="L34" s="2473"/>
      <c r="M34" s="2473"/>
    </row>
    <row r="35" spans="1:18" ht="18" customHeight="1">
      <c r="A35" s="1038"/>
      <c r="B35" s="1036"/>
      <c r="C35" s="26"/>
      <c r="D35" s="319"/>
      <c r="E35" s="294" t="s">
        <v>736</v>
      </c>
      <c r="F35" s="295">
        <f ca="1">INDIRECT("'数据-取费表'!r"&amp;$G$1)</f>
        <v>16064.81</v>
      </c>
      <c r="G35" s="1290"/>
      <c r="H35" s="2467"/>
      <c r="I35" s="1303"/>
      <c r="J35" s="1304"/>
      <c r="K35" s="2471"/>
      <c r="L35" s="2470"/>
      <c r="M35" s="2470"/>
    </row>
    <row r="36" spans="1:18" ht="18" customHeight="1">
      <c r="A36" s="1037" t="s">
        <v>402</v>
      </c>
      <c r="B36" s="294" t="s">
        <v>738</v>
      </c>
      <c r="C36" s="21">
        <f ca="1">ROUND(C29*F36,2)</f>
        <v>75.819999999999993</v>
      </c>
      <c r="D36" s="1254" t="s">
        <v>771</v>
      </c>
      <c r="E36" s="294" t="s">
        <v>712</v>
      </c>
      <c r="F36" s="320">
        <f ca="1">INDIRECT("'数据-取费表'!Ak"&amp;$G$1)</f>
        <v>0.01</v>
      </c>
      <c r="G36" s="1290"/>
      <c r="H36" s="2470"/>
      <c r="I36" s="1303"/>
      <c r="J36" s="1304"/>
      <c r="K36" s="2327"/>
      <c r="L36" s="2470"/>
      <c r="M36" s="2470"/>
    </row>
    <row r="37" spans="1:18" ht="18" customHeight="1">
      <c r="A37" s="926" t="s">
        <v>437</v>
      </c>
      <c r="B37" s="294" t="s">
        <v>742</v>
      </c>
      <c r="C37" s="21">
        <f ca="1">ROUND(C13*F37,2)</f>
        <v>8.3000000000000007</v>
      </c>
      <c r="D37" s="1254" t="s">
        <v>743</v>
      </c>
      <c r="E37" s="294" t="s">
        <v>744</v>
      </c>
      <c r="F37" s="321">
        <f ca="1">INDIRECT("'数据-取费表'!Al"&amp;$G$1)</f>
        <v>1.5E-3</v>
      </c>
      <c r="G37" s="1290"/>
      <c r="H37" s="2470"/>
      <c r="I37" s="1303"/>
      <c r="J37" s="1304"/>
      <c r="K37" s="2327"/>
      <c r="L37" s="2470"/>
      <c r="M37" s="2470"/>
    </row>
    <row r="38" spans="1:18" ht="18" customHeight="1" thickBot="1">
      <c r="A38" s="1024" t="s">
        <v>684</v>
      </c>
      <c r="B38" s="1025" t="s">
        <v>728</v>
      </c>
      <c r="C38" s="1026">
        <f ca="1">ROUND(C5*F38,2)</f>
        <v>15.82</v>
      </c>
      <c r="D38" s="1027" t="s">
        <v>748</v>
      </c>
      <c r="E38" s="1025" t="s">
        <v>744</v>
      </c>
      <c r="F38" s="1021">
        <f ca="1">INDIRECT("'数据-取费表'!Am"&amp;$G$1)</f>
        <v>0.02</v>
      </c>
      <c r="G38" s="1290"/>
      <c r="H38" s="2470"/>
      <c r="I38" s="1303"/>
      <c r="J38" s="1304"/>
      <c r="K38" s="2468"/>
      <c r="L38" s="2470"/>
      <c r="M38" s="2470"/>
    </row>
    <row r="39" spans="1:18" ht="24.6" customHeight="1" thickTop="1">
      <c r="A39" s="1014" t="s">
        <v>394</v>
      </c>
      <c r="B39" s="1029" t="s">
        <v>772</v>
      </c>
      <c r="C39" s="302">
        <f ca="1">C5-C30</f>
        <v>557</v>
      </c>
      <c r="D39" s="1030" t="s">
        <v>773</v>
      </c>
      <c r="E39" s="1031"/>
      <c r="F39" s="1032"/>
      <c r="G39" s="1290"/>
      <c r="H39" s="2470"/>
      <c r="I39" s="1303"/>
      <c r="J39" s="1304"/>
      <c r="K39" s="2468"/>
      <c r="L39" s="2470"/>
      <c r="M39" s="2470"/>
    </row>
    <row r="40" spans="1:18" ht="18" customHeight="1">
      <c r="A40" s="291" t="s">
        <v>395</v>
      </c>
      <c r="B40" s="292" t="s">
        <v>774</v>
      </c>
      <c r="C40" s="293">
        <f ca="1">ROUND(C39*(1-((1+F42)/(1+F40))^F41)/(F40-F42),0)</f>
        <v>10445</v>
      </c>
      <c r="D40" s="316" t="s">
        <v>758</v>
      </c>
      <c r="E40" s="294" t="s">
        <v>759</v>
      </c>
      <c r="F40" s="304">
        <f ca="1">INDIRECT("'数据-取费表'!I"&amp;$G$1)</f>
        <v>5.5E-2</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31.66</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c r="I42" s="1303"/>
      <c r="J42" s="1304"/>
      <c r="K42" s="2327"/>
      <c r="L42" s="121"/>
      <c r="M42" s="121"/>
    </row>
    <row r="43" spans="1:18" ht="18" customHeight="1" thickBot="1">
      <c r="A43" s="325" t="s">
        <v>396</v>
      </c>
      <c r="B43" s="326" t="s">
        <v>776</v>
      </c>
      <c r="C43" s="327">
        <f ca="1">ROUND(C40*10000/F43,0)</f>
        <v>4341</v>
      </c>
      <c r="D43" s="328" t="s">
        <v>777</v>
      </c>
      <c r="E43" s="329" t="s">
        <v>778</v>
      </c>
      <c r="F43" s="330">
        <f ca="1">INDIRECT("'数据-取费表'!k"&amp;$G$1)</f>
        <v>24063.21</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808</v>
      </c>
      <c r="P45" s="1364"/>
      <c r="Q45" s="1364"/>
      <c r="R45" s="1364"/>
    </row>
    <row r="46" spans="1:18" s="1290" customFormat="1" ht="13.5" thickBot="1">
      <c r="A46" s="1309" t="s">
        <v>809</v>
      </c>
      <c r="C46" s="1310">
        <f ca="1">C68-C40</f>
        <v>-11722</v>
      </c>
      <c r="D46" s="1311" t="str">
        <f>C2</f>
        <v>万元</v>
      </c>
      <c r="E46" s="1305"/>
      <c r="F46" s="1305"/>
      <c r="I46" s="1312" t="s">
        <v>810</v>
      </c>
      <c r="J46" s="1313"/>
      <c r="K46" s="1314"/>
      <c r="L46" s="1315">
        <f ca="1">IF(M47="住宅",0,IF(L48&gt;J51,L60,J60))</f>
        <v>307</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t="s">
        <v>3846</v>
      </c>
      <c r="K47" s="1321" t="s">
        <v>816</v>
      </c>
      <c r="L47" s="1322">
        <f ca="1">INDIRECT("'数据-取费表'!d"&amp;$G$1)</f>
        <v>50</v>
      </c>
      <c r="M47" s="1286" t="str">
        <f>IF(ISNUMBER(FIND("住宅",C1)),"住宅","非住宅")</f>
        <v>非住宅</v>
      </c>
      <c r="O47" s="1323" t="s">
        <v>403</v>
      </c>
      <c r="P47" s="1324" t="s">
        <v>817</v>
      </c>
      <c r="Q47" s="1325">
        <f ca="1">C40+J29</f>
        <v>10445</v>
      </c>
      <c r="R47" s="1325" t="s">
        <v>818</v>
      </c>
    </row>
    <row r="48" spans="1:18" s="1290" customFormat="1" ht="28.5" thickBot="1">
      <c r="A48" s="1045" t="s">
        <v>438</v>
      </c>
      <c r="B48" s="292" t="s">
        <v>692</v>
      </c>
      <c r="C48" s="1266">
        <f ca="1">C49+C53+C55</f>
        <v>0</v>
      </c>
      <c r="D48" s="1047"/>
      <c r="E48" s="1048"/>
      <c r="F48" s="906"/>
      <c r="G48" s="681"/>
      <c r="H48" s="682"/>
      <c r="I48" s="1326" t="s">
        <v>819</v>
      </c>
      <c r="J48" s="1327" t="s">
        <v>3847</v>
      </c>
      <c r="K48" s="1328" t="s">
        <v>820</v>
      </c>
      <c r="L48" s="1329">
        <f ca="1">INDIRECT("'数据-取费表'!f"&amp;$G$1)</f>
        <v>31.66</v>
      </c>
      <c r="O48" s="1323" t="s">
        <v>404</v>
      </c>
      <c r="P48" s="1324" t="s">
        <v>821</v>
      </c>
      <c r="Q48" s="1325">
        <f ca="1">J60</f>
        <v>307</v>
      </c>
      <c r="R48" s="1325" t="s">
        <v>822</v>
      </c>
    </row>
    <row r="49" spans="1:18" s="1290" customFormat="1" ht="13.5" thickBot="1">
      <c r="A49" s="919" t="s">
        <v>439</v>
      </c>
      <c r="B49" s="1277" t="s">
        <v>779</v>
      </c>
      <c r="C49" s="1049">
        <f ca="1">ROUND(F49*F51*F50*(1-F52)/10000,0)</f>
        <v>0</v>
      </c>
      <c r="D49" s="990" t="s">
        <v>2109</v>
      </c>
      <c r="E49" s="1278" t="s">
        <v>780</v>
      </c>
      <c r="F49" s="995"/>
      <c r="H49" s="682"/>
      <c r="I49" s="1326" t="s">
        <v>823</v>
      </c>
      <c r="J49" s="1330">
        <v>2007</v>
      </c>
      <c r="K49" s="1328" t="s">
        <v>824</v>
      </c>
      <c r="L49" s="1331"/>
      <c r="O49" s="1332" t="s">
        <v>405</v>
      </c>
      <c r="P49" s="1324" t="s">
        <v>825</v>
      </c>
      <c r="Q49" s="1325">
        <f ca="1">C29</f>
        <v>7582</v>
      </c>
      <c r="R49" s="1325" t="s">
        <v>818</v>
      </c>
    </row>
    <row r="50" spans="1:18" s="1290" customFormat="1" ht="13.5" thickBot="1">
      <c r="A50" s="920"/>
      <c r="B50" s="923"/>
      <c r="C50" s="1053"/>
      <c r="D50" s="897"/>
      <c r="E50" s="991" t="s">
        <v>697</v>
      </c>
      <c r="F50" s="992">
        <f ca="1">F7</f>
        <v>24063.21</v>
      </c>
      <c r="H50" s="682"/>
      <c r="I50" s="1326" t="s">
        <v>826</v>
      </c>
      <c r="J50" s="1333">
        <f>SUMPRODUCT((I63:I65=J47)*(J62:L62=J48)*(J63:L65))</f>
        <v>50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365</v>
      </c>
      <c r="I51" s="1336" t="s">
        <v>829</v>
      </c>
      <c r="J51" s="1329">
        <f>IF(J49="",J50,J49+J50-YEAR('数据-取费表'!B2))</f>
        <v>33</v>
      </c>
      <c r="K51" s="1337" t="s">
        <v>830</v>
      </c>
      <c r="L51" s="1338">
        <f ca="1">ROUND(-PV(INDIRECT("'数据-取费表'!h"&amp;$G$1),J51,(C39-C13*C76),0),0)</f>
        <v>2713</v>
      </c>
      <c r="M51" s="1339"/>
      <c r="O51" s="1332" t="s">
        <v>407</v>
      </c>
      <c r="P51" s="1324" t="s">
        <v>831</v>
      </c>
      <c r="Q51" s="1335">
        <f>J52</f>
        <v>7.4999999999999997E-2</v>
      </c>
      <c r="R51" s="1325"/>
    </row>
    <row r="52" spans="1:18" s="1290" customFormat="1" ht="13.5" thickBot="1">
      <c r="A52" s="921"/>
      <c r="B52" s="923"/>
      <c r="C52" s="924"/>
      <c r="D52" s="897"/>
      <c r="E52" s="925" t="s">
        <v>699</v>
      </c>
      <c r="F52" s="989"/>
      <c r="I52" s="1340" t="s">
        <v>832</v>
      </c>
      <c r="J52" s="1341">
        <v>7.4999999999999997E-2</v>
      </c>
      <c r="K52" s="1340" t="s">
        <v>833</v>
      </c>
      <c r="L52" s="1341"/>
      <c r="O52" s="1332" t="s">
        <v>408</v>
      </c>
      <c r="P52" s="1324" t="s">
        <v>834</v>
      </c>
      <c r="Q52" s="1325">
        <f ca="1">J53</f>
        <v>31.66</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2">
        <f ca="1">IF(M47="住宅",IF(D1="——",MAX(J51,L48),MAX(J51,L48-'数据-取费表'!B24)),IF(D1="——",MIN(J51,L48),MIN(J51,L48-'数据-取费表'!B24)))</f>
        <v>31.66</v>
      </c>
      <c r="K53" s="3411" t="s">
        <v>837</v>
      </c>
      <c r="L53" s="3412"/>
      <c r="O53" s="1323" t="s">
        <v>409</v>
      </c>
      <c r="P53" s="1324" t="s">
        <v>838</v>
      </c>
      <c r="Q53" s="1325">
        <f ca="1">Q47+Q48</f>
        <v>10752</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2.7E-2</v>
      </c>
      <c r="K55" s="1348" t="s">
        <v>841</v>
      </c>
      <c r="L55" s="1349"/>
      <c r="O55" s="1316" t="s">
        <v>811</v>
      </c>
      <c r="P55" s="1317" t="s">
        <v>812</v>
      </c>
      <c r="Q55" s="1318" t="s">
        <v>813</v>
      </c>
      <c r="R55" s="1318" t="s">
        <v>814</v>
      </c>
    </row>
    <row r="56" spans="1:18" s="1290" customFormat="1" ht="25.5" thickTop="1" thickBot="1">
      <c r="A56" s="901">
        <v>2</v>
      </c>
      <c r="B56" s="902" t="s">
        <v>704</v>
      </c>
      <c r="C56" s="224">
        <f ca="1">C13</f>
        <v>5535</v>
      </c>
      <c r="D56" s="1350"/>
      <c r="E56" s="1351"/>
      <c r="F56" s="1343"/>
      <c r="I56" s="1352" t="s">
        <v>842</v>
      </c>
      <c r="J56" s="1353" t="s">
        <v>3848</v>
      </c>
      <c r="K56" s="1326" t="s">
        <v>843</v>
      </c>
      <c r="L56" s="1329" t="str">
        <f ca="1">IF(L48&lt;J51,"——",L48-J53)</f>
        <v>——</v>
      </c>
      <c r="O56" s="1323" t="s">
        <v>403</v>
      </c>
      <c r="P56" s="1324" t="s">
        <v>817</v>
      </c>
      <c r="Q56" s="1325">
        <f ca="1">C40+J29</f>
        <v>10445</v>
      </c>
      <c r="R56" s="1325" t="s">
        <v>818</v>
      </c>
    </row>
    <row r="57" spans="1:18" s="1290" customFormat="1" ht="24.75" thickBot="1">
      <c r="A57" s="1354"/>
      <c r="B57" s="894" t="s">
        <v>767</v>
      </c>
      <c r="C57" s="230">
        <f ca="1">C29</f>
        <v>7582</v>
      </c>
      <c r="D57" s="1355"/>
      <c r="E57" s="1356"/>
      <c r="F57" s="1357"/>
      <c r="I57" s="1358" t="s">
        <v>844</v>
      </c>
      <c r="J57" s="1359">
        <f ca="1">IF(OR(M47="住宅",J51&lt;L48,J56="是"),"——",J51-L48)</f>
        <v>1.3399999999999999</v>
      </c>
      <c r="K57" s="1326" t="s">
        <v>845</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86</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2</v>
      </c>
      <c r="D59" s="907" t="s">
        <v>720</v>
      </c>
      <c r="E59" s="908" t="s">
        <v>721</v>
      </c>
      <c r="F59" s="2135" t="str">
        <f>IF(项目基本情况!B11="企业","——",IF('数据-取费表'!B10="住宅",IF(F49*F50*F51/12/(1+'数据-取费表'!F30)&gt;100000,4%,2.5%),IF(F49*F50*F51/12/(1+'数据-取费表'!F30)&gt;100000,12%,7%)))</f>
        <v>——</v>
      </c>
      <c r="I59" s="1358" t="s">
        <v>851</v>
      </c>
      <c r="J59" s="1359">
        <f ca="1">IF(OR(M47="住宅",J51&lt;L48,J56="是"),"——",ROUND(C29*J58,0))</f>
        <v>3033</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5.5000000000000007E-2</v>
      </c>
      <c r="I60" s="1361" t="s">
        <v>853</v>
      </c>
      <c r="J60" s="1362">
        <f ca="1">IF(OR(M47="住宅",J51&lt;L48,J56="是"),"0",ROUND(J59/(1+J52)^J53,0))</f>
        <v>307</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3328</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2.41</v>
      </c>
      <c r="D62" s="909" t="s">
        <v>786</v>
      </c>
      <c r="E62" s="894" t="s">
        <v>787</v>
      </c>
      <c r="F62" s="317">
        <f t="shared" si="0"/>
        <v>1.5</v>
      </c>
      <c r="I62" s="1365" t="s">
        <v>858</v>
      </c>
      <c r="J62" s="610" t="s">
        <v>859</v>
      </c>
      <c r="K62" s="610" t="s">
        <v>860</v>
      </c>
      <c r="L62" s="610" t="s">
        <v>861</v>
      </c>
      <c r="M62" s="1366" t="s">
        <v>862</v>
      </c>
      <c r="O62" s="1323" t="s">
        <v>409</v>
      </c>
      <c r="P62" s="1324" t="s">
        <v>863</v>
      </c>
      <c r="Q62" s="1325">
        <f ca="1">Q56+Q57</f>
        <v>10445</v>
      </c>
      <c r="R62" s="1325" t="s">
        <v>410</v>
      </c>
    </row>
    <row r="63" spans="1:18" s="1290" customFormat="1" ht="13.5" thickBot="1">
      <c r="A63" s="318"/>
      <c r="B63" s="900"/>
      <c r="C63" s="26"/>
      <c r="D63" s="910"/>
      <c r="E63" s="894" t="s">
        <v>788</v>
      </c>
      <c r="F63" s="295">
        <f t="shared" ca="1" si="0"/>
        <v>16064.81</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f ca="1">ROUND(C57*F64,2)</f>
        <v>75.819999999999993</v>
      </c>
      <c r="D64" s="908" t="s">
        <v>791</v>
      </c>
      <c r="E64" s="894" t="s">
        <v>783</v>
      </c>
      <c r="F64" s="320">
        <f t="shared" ca="1" si="0"/>
        <v>0.01</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ROUND(C56*F65,2)</f>
        <v>8.3000000000000007</v>
      </c>
      <c r="D65" s="908" t="s">
        <v>743</v>
      </c>
      <c r="E65" s="894" t="s">
        <v>744</v>
      </c>
      <c r="F65" s="321">
        <f t="shared" ca="1" si="0"/>
        <v>1.5E-3</v>
      </c>
      <c r="I65" s="1365" t="s">
        <v>867</v>
      </c>
      <c r="J65" s="610">
        <v>40</v>
      </c>
      <c r="K65" s="610">
        <v>30</v>
      </c>
      <c r="L65" s="610">
        <v>50</v>
      </c>
      <c r="M65" s="1367">
        <v>0.02</v>
      </c>
      <c r="O65" s="1323" t="s">
        <v>403</v>
      </c>
      <c r="P65" s="1324" t="s">
        <v>868</v>
      </c>
      <c r="Q65" s="1325">
        <f ca="1">C40+J29</f>
        <v>10445</v>
      </c>
      <c r="R65" s="1325" t="s">
        <v>818</v>
      </c>
    </row>
    <row r="66" spans="1:18" s="1290" customFormat="1" ht="16.5" thickBot="1">
      <c r="A66" s="926" t="s">
        <v>793</v>
      </c>
      <c r="B66" s="894" t="s">
        <v>728</v>
      </c>
      <c r="C66" s="21">
        <f ca="1">ROUND(C48*F66,2)</f>
        <v>0</v>
      </c>
      <c r="D66" s="908" t="s">
        <v>794</v>
      </c>
      <c r="E66" s="894" t="s">
        <v>712</v>
      </c>
      <c r="F66" s="304">
        <f t="shared" ca="1" si="0"/>
        <v>0.02</v>
      </c>
      <c r="O66" s="1323" t="s">
        <v>404</v>
      </c>
      <c r="P66" s="1324" t="s">
        <v>846</v>
      </c>
      <c r="Q66" s="1325">
        <f ca="1">L60</f>
        <v>0</v>
      </c>
      <c r="R66" s="1325" t="s">
        <v>869</v>
      </c>
    </row>
    <row r="67" spans="1:18" s="1290" customFormat="1" ht="16.5" thickBot="1">
      <c r="A67" s="901" t="s">
        <v>394</v>
      </c>
      <c r="B67" s="911" t="s">
        <v>752</v>
      </c>
      <c r="C67" s="308">
        <f ca="1">C48-C58</f>
        <v>-86</v>
      </c>
      <c r="D67" s="907" t="s">
        <v>753</v>
      </c>
      <c r="E67" s="912"/>
      <c r="F67" s="913"/>
      <c r="O67" s="1332" t="s">
        <v>405</v>
      </c>
      <c r="P67" s="1324" t="s">
        <v>850</v>
      </c>
      <c r="Q67" s="1368">
        <f ca="1">L51</f>
        <v>2713</v>
      </c>
      <c r="R67" s="1325" t="s">
        <v>870</v>
      </c>
    </row>
    <row r="68" spans="1:18" s="1290" customFormat="1" ht="16.5" thickBot="1">
      <c r="A68" s="891" t="s">
        <v>395</v>
      </c>
      <c r="B68" s="892" t="s">
        <v>774</v>
      </c>
      <c r="C68" s="293">
        <f ca="1">ROUND(C67*(1-((1+F70)/(1+F68))^F69)/(F68-F70),0)</f>
        <v>-1277</v>
      </c>
      <c r="D68" s="909" t="s">
        <v>758</v>
      </c>
      <c r="E68" s="894" t="s">
        <v>759</v>
      </c>
      <c r="F68" s="304">
        <f ca="1">F40</f>
        <v>5.5E-2</v>
      </c>
      <c r="O68" s="1332" t="s">
        <v>406</v>
      </c>
      <c r="P68" s="1369" t="s">
        <v>871</v>
      </c>
      <c r="Q68" s="1325">
        <f ca="1">ROUND(Q69-Q70*Q71,0)</f>
        <v>170</v>
      </c>
      <c r="R68" s="1325" t="s">
        <v>414</v>
      </c>
    </row>
    <row r="69" spans="1:18" s="1290" customFormat="1" ht="13.5" thickBot="1">
      <c r="A69" s="895"/>
      <c r="B69" s="896"/>
      <c r="C69" s="298"/>
      <c r="D69" s="914" t="s">
        <v>762</v>
      </c>
      <c r="E69" s="894" t="s">
        <v>763</v>
      </c>
      <c r="F69" s="324">
        <f ca="1">F41</f>
        <v>31.66</v>
      </c>
      <c r="O69" s="1332" t="s">
        <v>411</v>
      </c>
      <c r="P69" s="1369" t="s">
        <v>872</v>
      </c>
      <c r="Q69" s="1325">
        <f ca="1">C39</f>
        <v>557</v>
      </c>
      <c r="R69" s="1325" t="s">
        <v>818</v>
      </c>
    </row>
    <row r="70" spans="1:18" s="1290" customFormat="1" ht="13.5" thickBot="1">
      <c r="A70" s="898"/>
      <c r="B70" s="899"/>
      <c r="C70" s="302"/>
      <c r="D70" s="910"/>
      <c r="E70" s="894" t="s">
        <v>766</v>
      </c>
      <c r="F70" s="989"/>
      <c r="O70" s="1332" t="s">
        <v>412</v>
      </c>
      <c r="P70" s="1369" t="s">
        <v>873</v>
      </c>
      <c r="Q70" s="1325">
        <f ca="1">C13</f>
        <v>5535</v>
      </c>
      <c r="R70" s="1325" t="s">
        <v>818</v>
      </c>
    </row>
    <row r="71" spans="1:18" s="1290" customFormat="1" ht="13.5" thickBot="1">
      <c r="A71" s="915" t="s">
        <v>396</v>
      </c>
      <c r="B71" s="916" t="s">
        <v>776</v>
      </c>
      <c r="C71" s="327">
        <f ca="1">ROUND(C68*10000/F71,0)</f>
        <v>-531</v>
      </c>
      <c r="D71" s="917" t="s">
        <v>777</v>
      </c>
      <c r="E71" s="918" t="s">
        <v>778</v>
      </c>
      <c r="F71" s="330">
        <f ca="1">F43</f>
        <v>24063.21</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387</v>
      </c>
      <c r="D75" s="1290"/>
      <c r="E75" s="1290"/>
      <c r="F75" s="1290"/>
      <c r="K75" s="1307"/>
      <c r="L75" s="1290"/>
      <c r="O75" s="1323" t="s">
        <v>409</v>
      </c>
      <c r="P75" s="1324" t="s">
        <v>838</v>
      </c>
      <c r="Q75" s="1325">
        <f ca="1">Q65+Q66</f>
        <v>10445</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0.30500000000000005</v>
      </c>
    </row>
    <row r="80" spans="1:18">
      <c r="B80" s="331" t="s">
        <v>800</v>
      </c>
      <c r="C80" s="266">
        <f ca="1">ROUND(C75/C39,3)</f>
        <v>0.69499999999999995</v>
      </c>
    </row>
    <row r="81" spans="2:3">
      <c r="B81" s="262" t="s">
        <v>801</v>
      </c>
      <c r="C81" s="230"/>
    </row>
    <row r="82" spans="2:3">
      <c r="B82" s="265" t="s">
        <v>802</v>
      </c>
      <c r="C82" s="267">
        <f ca="1">1-C83</f>
        <v>0.47</v>
      </c>
    </row>
    <row r="83" spans="2:3">
      <c r="B83" s="265" t="s">
        <v>803</v>
      </c>
      <c r="C83" s="266">
        <f ca="1">ROUND(C13/C40,3)</f>
        <v>0.53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75" priority="3">
      <formula>$F$10="自定义"</formula>
    </cfRule>
  </conditionalFormatting>
  <conditionalFormatting sqref="C54">
    <cfRule type="expression" dxfId="74" priority="1">
      <formula>$F$53="自定义"</formula>
    </cfRule>
  </conditionalFormatting>
  <conditionalFormatting sqref="I55 I60">
    <cfRule type="expression" dxfId="73" priority="57">
      <formula>$J$51&gt;$L$48</formula>
    </cfRule>
  </conditionalFormatting>
  <conditionalFormatting sqref="J11">
    <cfRule type="expression" dxfId="72" priority="2">
      <formula>$M$10="自定义"</formula>
    </cfRule>
  </conditionalFormatting>
  <conditionalFormatting sqref="K55 K60">
    <cfRule type="expression" dxfId="7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3E0C3-D6A4-4FF3-AA6E-4D5031833015}">
  <sheetPr>
    <tabColor theme="6" tint="-0.499984740745262"/>
  </sheetPr>
  <dimension ref="A1:AK83"/>
  <sheetViews>
    <sheetView view="pageBreakPreview" topLeftCell="A10" zoomScale="70" zoomScaleNormal="70" zoomScaleSheetLayoutView="70" workbookViewId="0">
      <selection activeCell="D25" sqref="D2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3935</v>
      </c>
      <c r="D1" s="1269" t="s">
        <v>43</v>
      </c>
      <c r="E1" s="1270" t="s">
        <v>678</v>
      </c>
      <c r="F1" s="997">
        <f ca="1">J53</f>
        <v>31.66</v>
      </c>
      <c r="G1" s="1284">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4409</v>
      </c>
      <c r="C2" s="1287" t="s">
        <v>805</v>
      </c>
      <c r="D2" s="1287"/>
      <c r="E2" s="1293"/>
      <c r="F2" s="1294"/>
      <c r="G2" s="2475"/>
      <c r="H2" s="2465"/>
      <c r="I2" s="2465"/>
      <c r="J2" s="2465"/>
      <c r="K2" s="2466"/>
      <c r="L2" s="2465"/>
      <c r="M2" s="2465"/>
    </row>
    <row r="3" spans="1:37" ht="18" customHeight="1" thickBot="1">
      <c r="A3" s="1295" t="s">
        <v>806</v>
      </c>
      <c r="B3" s="1296">
        <f ca="1">IF(ISERROR(B2*10000/F43),0,ROUND(B2*10000/F43,0))</f>
        <v>5244</v>
      </c>
      <c r="C3" s="1287" t="s">
        <v>807</v>
      </c>
      <c r="D3" s="1287"/>
      <c r="E3" s="1293"/>
      <c r="F3" s="1294"/>
      <c r="G3" s="2475"/>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331</v>
      </c>
      <c r="D5" s="1271" t="s">
        <v>693</v>
      </c>
      <c r="E5" s="1006"/>
      <c r="F5" s="1007"/>
      <c r="G5" s="1290"/>
      <c r="H5" s="291">
        <v>1</v>
      </c>
      <c r="I5" s="292" t="s">
        <v>692</v>
      </c>
      <c r="J5" s="1005">
        <f ca="1">J6+J10+J12</f>
        <v>0</v>
      </c>
      <c r="K5" s="1271" t="s">
        <v>693</v>
      </c>
      <c r="L5" s="1006"/>
      <c r="M5" s="1007"/>
    </row>
    <row r="6" spans="1:37" ht="18" customHeight="1">
      <c r="A6" s="1004" t="s">
        <v>398</v>
      </c>
      <c r="B6" s="3408" t="s">
        <v>694</v>
      </c>
      <c r="C6" s="1009">
        <f ca="1">ROUND(F6*F8*F7*(1-F9)/10000,0)</f>
        <v>331</v>
      </c>
      <c r="D6" s="147" t="s">
        <v>2108</v>
      </c>
      <c r="E6" s="294" t="s">
        <v>696</v>
      </c>
      <c r="F6" s="295">
        <f ca="1">INDIRECT("'数据-取费表'!u"&amp;$G$1)</f>
        <v>1.2</v>
      </c>
      <c r="G6" s="1290"/>
      <c r="H6" s="1004" t="s">
        <v>398</v>
      </c>
      <c r="I6" s="3408" t="s">
        <v>694</v>
      </c>
      <c r="J6" s="293">
        <f ca="1">ROUND(M6*M8*M7*(1-M9)/10000,0)</f>
        <v>0</v>
      </c>
      <c r="K6" s="147" t="s">
        <v>2107</v>
      </c>
      <c r="L6" s="294" t="s">
        <v>696</v>
      </c>
      <c r="M6" s="295">
        <f ca="1">INDIRECT("'数据-取费表'!z"&amp;$G$1)</f>
        <v>0</v>
      </c>
    </row>
    <row r="7" spans="1:37" ht="18" customHeight="1">
      <c r="A7" s="1008"/>
      <c r="B7" s="3409"/>
      <c r="C7" s="1010"/>
      <c r="D7" s="299"/>
      <c r="E7" s="1011" t="s">
        <v>697</v>
      </c>
      <c r="F7" s="295">
        <f ca="1">IF(INDIRECT("'数据-取费表'!ah"&amp;$G$1)="",INDIRECT("'数据-取费表'!k"&amp;$G$1),INDIRECT("'数据-取费表'!ah"&amp;$G$1))</f>
        <v>8407.68</v>
      </c>
      <c r="G7" s="1290"/>
      <c r="H7" s="296"/>
      <c r="I7" s="3409"/>
      <c r="J7" s="298"/>
      <c r="K7" s="299"/>
      <c r="L7" s="294" t="s">
        <v>697</v>
      </c>
      <c r="M7" s="295">
        <f ca="1">F7</f>
        <v>8407.68</v>
      </c>
    </row>
    <row r="8" spans="1:37" ht="18" customHeight="1">
      <c r="A8" s="296"/>
      <c r="B8" s="3409"/>
      <c r="C8" s="298"/>
      <c r="D8" s="299"/>
      <c r="E8" s="294" t="s">
        <v>698</v>
      </c>
      <c r="F8" s="295">
        <f ca="1">INDIRECT("'数据-取费表'!ai"&amp;$G$1)</f>
        <v>365</v>
      </c>
      <c r="G8" s="1290"/>
      <c r="H8" s="296"/>
      <c r="I8" s="3409"/>
      <c r="J8" s="298"/>
      <c r="K8" s="299"/>
      <c r="L8" s="294" t="s">
        <v>698</v>
      </c>
      <c r="M8" s="295">
        <f ca="1">INDIRECT("'数据-取费表'!ai"&amp;$G$1)</f>
        <v>365</v>
      </c>
    </row>
    <row r="9" spans="1:37" ht="18" customHeight="1">
      <c r="A9" s="296"/>
      <c r="B9" s="3410"/>
      <c r="C9" s="298"/>
      <c r="D9" s="299"/>
      <c r="E9" s="294" t="s">
        <v>699</v>
      </c>
      <c r="F9" s="304">
        <f ca="1">INDIRECT("'数据-取费表'!w"&amp;$G$1)</f>
        <v>0.1</v>
      </c>
      <c r="G9" s="1290"/>
      <c r="H9" s="296"/>
      <c r="I9" s="3410"/>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t="s">
        <v>3845</v>
      </c>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2480</v>
      </c>
      <c r="D13" s="1016" t="s">
        <v>705</v>
      </c>
      <c r="E13" s="1016" t="s">
        <v>706</v>
      </c>
      <c r="F13" s="1017">
        <f ca="1">INDIRECT("'数据-取费表'!y"&amp;$G$1)</f>
        <v>0.66</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2690</v>
      </c>
      <c r="D14" s="1255" t="s">
        <v>708</v>
      </c>
      <c r="E14" s="1253"/>
      <c r="F14" s="311"/>
      <c r="G14" s="1290"/>
      <c r="H14" s="926" t="s">
        <v>398</v>
      </c>
      <c r="I14" s="294" t="s">
        <v>709</v>
      </c>
      <c r="J14" s="21">
        <f ca="1">C29</f>
        <v>3758</v>
      </c>
      <c r="K14" s="12"/>
      <c r="L14" s="757"/>
      <c r="M14" s="758"/>
    </row>
    <row r="15" spans="1:37" s="1302" customFormat="1" ht="18" customHeight="1" thickBot="1">
      <c r="A15" s="926" t="s">
        <v>399</v>
      </c>
      <c r="B15" s="294" t="s">
        <v>710</v>
      </c>
      <c r="C15" s="21">
        <f ca="1">ROUND(C14*F15,0)</f>
        <v>81</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38</v>
      </c>
      <c r="K16" s="1022" t="s">
        <v>715</v>
      </c>
      <c r="L16" s="1023"/>
      <c r="M16" s="1007"/>
    </row>
    <row r="17" spans="1:37" s="1302" customFormat="1" ht="18" customHeight="1">
      <c r="A17" s="926" t="s">
        <v>681</v>
      </c>
      <c r="B17" s="294" t="s">
        <v>716</v>
      </c>
      <c r="C17" s="21">
        <f ca="1">ROUND(F17*(F43+INDIRECT("'数据-取费表'!S"&amp;$G$1))/10000,0)</f>
        <v>168</v>
      </c>
      <c r="D17" s="294" t="s">
        <v>717</v>
      </c>
      <c r="E17" s="294" t="s">
        <v>718</v>
      </c>
      <c r="F17" s="23">
        <f>'数据-取费表'!B35</f>
        <v>200</v>
      </c>
      <c r="G17" s="1301"/>
      <c r="H17" s="926" t="s">
        <v>398</v>
      </c>
      <c r="I17" s="294" t="s">
        <v>719</v>
      </c>
      <c r="J17" s="2136">
        <f ca="1">ROUND(IF(AND(项目基本情况!B11="自然人",项目基本情况!B10="北京市"),J6*M17/(1+'数据-取费表'!C42),J18+J19+J20),2)</f>
        <v>0.84</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40</v>
      </c>
      <c r="D18" s="294" t="s">
        <v>711</v>
      </c>
      <c r="E18" s="294" t="s">
        <v>712</v>
      </c>
      <c r="F18" s="314">
        <f>'数据-取费表'!B36</f>
        <v>1.4999999999999999E-2</v>
      </c>
      <c r="G18" s="1301"/>
      <c r="H18" s="926" t="s">
        <v>397</v>
      </c>
      <c r="I18" s="294" t="s">
        <v>723</v>
      </c>
      <c r="J18" s="21">
        <f ca="1">ROUND(J6*M18/(1+'数据-取费表'!C42),2)</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2979</v>
      </c>
      <c r="D19" s="123" t="s">
        <v>726</v>
      </c>
      <c r="E19" s="1267"/>
      <c r="F19" s="23"/>
      <c r="G19" s="1290"/>
      <c r="H19" s="926" t="s">
        <v>399</v>
      </c>
      <c r="I19" s="294" t="s">
        <v>727</v>
      </c>
      <c r="J19" s="21">
        <f ca="1">IF(K19="按租金收入计税",ROUND(J6*M19/(1+'数据-取费表'!C42),2),ROUND(C29*M19*0.7,2))</f>
        <v>0</v>
      </c>
      <c r="K19" s="1276" t="s">
        <v>3328</v>
      </c>
      <c r="L19" s="294" t="s">
        <v>712</v>
      </c>
      <c r="M19" s="314">
        <f>IF(K19="按租金收入计税",'数据-取费表'!B51,'数据-取费表'!B50)</f>
        <v>0.12</v>
      </c>
    </row>
    <row r="20" spans="1:37" s="1302" customFormat="1" ht="18" customHeight="1">
      <c r="A20" s="926" t="s">
        <v>402</v>
      </c>
      <c r="B20" s="294" t="s">
        <v>728</v>
      </c>
      <c r="C20" s="21">
        <f ca="1">ROUND(C19*F20,0)</f>
        <v>60</v>
      </c>
      <c r="D20" s="315" t="s">
        <v>729</v>
      </c>
      <c r="E20" s="294" t="s">
        <v>712</v>
      </c>
      <c r="F20" s="314">
        <f>'数据-取费表'!B37</f>
        <v>0.02</v>
      </c>
      <c r="G20" s="1301"/>
      <c r="H20" s="926" t="s">
        <v>680</v>
      </c>
      <c r="I20" s="147" t="s">
        <v>730</v>
      </c>
      <c r="J20" s="22">
        <f ca="1">ROUND(M20*M21/10000,2)</f>
        <v>0.84</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5613.04</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37.58</v>
      </c>
      <c r="K22" s="1254" t="s">
        <v>739</v>
      </c>
      <c r="L22" s="294" t="s">
        <v>712</v>
      </c>
      <c r="M22" s="320">
        <f ca="1">INDIRECT("'数据-取费表'!Ak"&amp;$G$1)</f>
        <v>0.01</v>
      </c>
    </row>
    <row r="23" spans="1:37" s="1302" customFormat="1" ht="18" customHeight="1">
      <c r="A23" s="926" t="s">
        <v>397</v>
      </c>
      <c r="B23" s="294" t="s">
        <v>740</v>
      </c>
      <c r="C23" s="21">
        <f ca="1">IF('数据-取费表'!B22&lt;=1,ROUND(C19*F24*F23/2,0)+ROUND(C20*F24*F23/2,0),ROUND(C19*(POWER((1+F24),F23/2)-1),0)+ROUND(C20*(POWER((1+F24),F23/2)-1),0))</f>
        <v>132</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ROUND(J13*M23,2)</f>
        <v>0</v>
      </c>
      <c r="K23" s="1254" t="s">
        <v>743</v>
      </c>
      <c r="L23" s="294" t="s">
        <v>712</v>
      </c>
      <c r="M23" s="321">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3.4500000000000003E-2</v>
      </c>
      <c r="G24" s="1301"/>
      <c r="H24" s="1024" t="s">
        <v>683</v>
      </c>
      <c r="I24" s="1025" t="s">
        <v>728</v>
      </c>
      <c r="J24" s="1026">
        <f ca="1">ROUND(J5*M24,2)</f>
        <v>0</v>
      </c>
      <c r="K24" s="1027" t="s">
        <v>748</v>
      </c>
      <c r="L24" s="1025" t="s">
        <v>712</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-38</v>
      </c>
      <c r="K25" s="1030" t="s">
        <v>753</v>
      </c>
      <c r="L25" s="1031"/>
      <c r="M25" s="1032"/>
    </row>
    <row r="26" spans="1:37">
      <c r="A26" s="926" t="s">
        <v>397</v>
      </c>
      <c r="B26" s="294" t="s">
        <v>754</v>
      </c>
      <c r="C26" s="21">
        <f ca="1">ROUND((C19+C20)*F26,0)</f>
        <v>304</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3758</v>
      </c>
      <c r="D29" s="1027"/>
      <c r="E29" s="1025"/>
      <c r="F29" s="1028"/>
      <c r="G29" s="1301"/>
      <c r="H29" s="325" t="s">
        <v>396</v>
      </c>
      <c r="I29" s="326" t="s">
        <v>768</v>
      </c>
      <c r="J29" s="327">
        <f ca="1">ROUND(J26/(1+F40)^F41,0)</f>
        <v>0</v>
      </c>
      <c r="K29" s="328" t="s">
        <v>769</v>
      </c>
      <c r="L29" s="329"/>
      <c r="M29" s="330">
        <f ca="1">INDIRECT("'数据-取费表'!k"&amp;$G$1)</f>
        <v>8407.68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104</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ROUND(IF(AND(项目基本情况!B11="自然人",项目基本情况!B10="北京市"),C6*F31/(1+'数据-取费表'!C42),C32+C33+C34),2)</f>
        <v>56.01</v>
      </c>
      <c r="D31" s="1255" t="s">
        <v>720</v>
      </c>
      <c r="E31" s="1254" t="s">
        <v>770</v>
      </c>
      <c r="F31" s="2135" t="str">
        <f>IF(项目基本情况!B11="企业","——",IF(M47="住宅",IF(F6*F7*F8/12/(1+'数据-取费表'!F30)&gt;100000,4%,2.5%),IF(F6*F7*F8/12/(1+'数据-取费表'!F30)&gt;100000,12%,7%)))</f>
        <v>——</v>
      </c>
      <c r="G31" s="1290"/>
      <c r="H31" s="2566" t="s">
        <v>2298</v>
      </c>
      <c r="I31" s="1303"/>
      <c r="J31" s="1304"/>
      <c r="K31" s="121"/>
      <c r="L31" s="2468"/>
      <c r="M31" s="2469"/>
    </row>
    <row r="32" spans="1:37" ht="18" customHeight="1">
      <c r="A32" s="926" t="s">
        <v>397</v>
      </c>
      <c r="B32" s="294" t="s">
        <v>723</v>
      </c>
      <c r="C32" s="21">
        <f ca="1">IF(项目基本情况!B11="自然人","——",ROUND(C6*F32/(1+'数据-取费表'!C42),2))</f>
        <v>17.34</v>
      </c>
      <c r="D32" s="1254" t="s">
        <v>724</v>
      </c>
      <c r="E32" s="294" t="s">
        <v>712</v>
      </c>
      <c r="F32" s="322">
        <f>'数据-取费表'!B41</f>
        <v>5.5000000000000007E-2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37.83</v>
      </c>
      <c r="D33" s="1276" t="s">
        <v>3328</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IF(项目基本情况!B11="自然人","——",ROUND(F34*F35/10000,2))</f>
        <v>0.84</v>
      </c>
      <c r="D34" s="316" t="s">
        <v>731</v>
      </c>
      <c r="E34" s="294" t="s">
        <v>732</v>
      </c>
      <c r="F34" s="317">
        <f>'数据-取费表'!B52</f>
        <v>1.5</v>
      </c>
      <c r="G34" s="1290"/>
      <c r="H34" s="2467"/>
      <c r="I34" s="1303"/>
      <c r="J34" s="1304"/>
      <c r="K34" s="2472"/>
      <c r="L34" s="2473"/>
      <c r="M34" s="2473"/>
    </row>
    <row r="35" spans="1:18" ht="18" customHeight="1">
      <c r="A35" s="1038"/>
      <c r="B35" s="1036"/>
      <c r="C35" s="26"/>
      <c r="D35" s="319"/>
      <c r="E35" s="294" t="s">
        <v>736</v>
      </c>
      <c r="F35" s="295">
        <f ca="1">INDIRECT("'数据-取费表'!r"&amp;$G$1)</f>
        <v>5613.04</v>
      </c>
      <c r="G35" s="1290"/>
      <c r="H35" s="2467"/>
      <c r="I35" s="1303"/>
      <c r="J35" s="1304"/>
      <c r="K35" s="2471"/>
      <c r="L35" s="2470"/>
      <c r="M35" s="2470"/>
    </row>
    <row r="36" spans="1:18" ht="18" customHeight="1">
      <c r="A36" s="1037" t="s">
        <v>402</v>
      </c>
      <c r="B36" s="294" t="s">
        <v>738</v>
      </c>
      <c r="C36" s="21">
        <f ca="1">ROUND(C29*F36,2)</f>
        <v>37.58</v>
      </c>
      <c r="D36" s="1254" t="s">
        <v>771</v>
      </c>
      <c r="E36" s="294" t="s">
        <v>712</v>
      </c>
      <c r="F36" s="320">
        <f ca="1">INDIRECT("'数据-取费表'!Ak"&amp;$G$1)</f>
        <v>0.01</v>
      </c>
      <c r="G36" s="1290"/>
      <c r="H36" s="2470"/>
      <c r="I36" s="1303"/>
      <c r="J36" s="1304"/>
      <c r="K36" s="2327"/>
      <c r="L36" s="2470"/>
      <c r="M36" s="2470"/>
    </row>
    <row r="37" spans="1:18" ht="18" customHeight="1">
      <c r="A37" s="926" t="s">
        <v>437</v>
      </c>
      <c r="B37" s="294" t="s">
        <v>742</v>
      </c>
      <c r="C37" s="21">
        <f ca="1">ROUND(C13*F37,2)</f>
        <v>3.72</v>
      </c>
      <c r="D37" s="1254" t="s">
        <v>743</v>
      </c>
      <c r="E37" s="294" t="s">
        <v>712</v>
      </c>
      <c r="F37" s="321">
        <f ca="1">INDIRECT("'数据-取费表'!Al"&amp;$G$1)</f>
        <v>1.5E-3</v>
      </c>
      <c r="G37" s="1290"/>
      <c r="H37" s="2470"/>
      <c r="I37" s="1303"/>
      <c r="J37" s="1304"/>
      <c r="K37" s="2327"/>
      <c r="L37" s="2470"/>
      <c r="M37" s="2470"/>
    </row>
    <row r="38" spans="1:18" ht="18" customHeight="1" thickBot="1">
      <c r="A38" s="1024" t="s">
        <v>683</v>
      </c>
      <c r="B38" s="1025" t="s">
        <v>728</v>
      </c>
      <c r="C38" s="1026">
        <f ca="1">ROUND(C5*F38,2)</f>
        <v>6.62</v>
      </c>
      <c r="D38" s="1027" t="s">
        <v>748</v>
      </c>
      <c r="E38" s="1025" t="s">
        <v>712</v>
      </c>
      <c r="F38" s="1021">
        <f ca="1">INDIRECT("'数据-取费表'!Am"&amp;$G$1)</f>
        <v>0.02</v>
      </c>
      <c r="G38" s="1290"/>
      <c r="H38" s="2470"/>
      <c r="I38" s="1303"/>
      <c r="J38" s="1304"/>
      <c r="K38" s="2468"/>
      <c r="L38" s="2470"/>
      <c r="M38" s="2470"/>
    </row>
    <row r="39" spans="1:18" ht="24.6" customHeight="1" thickTop="1">
      <c r="A39" s="1014" t="s">
        <v>394</v>
      </c>
      <c r="B39" s="1029" t="s">
        <v>752</v>
      </c>
      <c r="C39" s="302">
        <f ca="1">C5-C30</f>
        <v>227</v>
      </c>
      <c r="D39" s="1030" t="s">
        <v>753</v>
      </c>
      <c r="E39" s="1031"/>
      <c r="F39" s="1032"/>
      <c r="G39" s="1290"/>
      <c r="H39" s="2470"/>
      <c r="I39" s="1303"/>
      <c r="J39" s="1304"/>
      <c r="K39" s="2468"/>
      <c r="L39" s="2470"/>
      <c r="M39" s="2470"/>
    </row>
    <row r="40" spans="1:18" ht="18" customHeight="1">
      <c r="A40" s="291" t="s">
        <v>395</v>
      </c>
      <c r="B40" s="292" t="s">
        <v>774</v>
      </c>
      <c r="C40" s="293">
        <f ca="1">ROUND(C39*(1-((1+F42)/(1+F40))^F41)/(F40-F42),0)</f>
        <v>4257</v>
      </c>
      <c r="D40" s="316" t="s">
        <v>758</v>
      </c>
      <c r="E40" s="294" t="s">
        <v>759</v>
      </c>
      <c r="F40" s="304">
        <f ca="1">INDIRECT("'数据-取费表'!I"&amp;$G$1)</f>
        <v>5.5E-2</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31.66</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c r="I42" s="1303"/>
      <c r="J42" s="1304"/>
      <c r="K42" s="2327"/>
      <c r="L42" s="121"/>
      <c r="M42" s="121"/>
    </row>
    <row r="43" spans="1:18" ht="18" customHeight="1" thickBot="1">
      <c r="A43" s="325" t="s">
        <v>396</v>
      </c>
      <c r="B43" s="326" t="s">
        <v>776</v>
      </c>
      <c r="C43" s="327">
        <f ca="1">ROUND(C40*10000/F43,0)</f>
        <v>5063</v>
      </c>
      <c r="D43" s="328" t="s">
        <v>777</v>
      </c>
      <c r="E43" s="329" t="s">
        <v>778</v>
      </c>
      <c r="F43" s="330">
        <f ca="1">INDIRECT("'数据-取费表'!k"&amp;$G$1)</f>
        <v>8407.68</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808</v>
      </c>
      <c r="P45" s="1364"/>
      <c r="Q45" s="1364"/>
      <c r="R45" s="1364"/>
    </row>
    <row r="46" spans="1:18" s="1290" customFormat="1" ht="13.5" thickBot="1">
      <c r="A46" s="1309" t="s">
        <v>809</v>
      </c>
      <c r="C46" s="1310">
        <f ca="1">C68-C40</f>
        <v>-4880</v>
      </c>
      <c r="D46" s="1311" t="str">
        <f>C2</f>
        <v>万元</v>
      </c>
      <c r="E46" s="1305"/>
      <c r="F46" s="1305"/>
      <c r="I46" s="1312" t="s">
        <v>810</v>
      </c>
      <c r="J46" s="1313"/>
      <c r="K46" s="1314"/>
      <c r="L46" s="1315">
        <f ca="1">IF(M47="住宅",0,IF(L48&gt;J51,L60,J60))</f>
        <v>152</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t="s">
        <v>3846</v>
      </c>
      <c r="K47" s="1321" t="s">
        <v>816</v>
      </c>
      <c r="L47" s="1322">
        <f ca="1">INDIRECT("'数据-取费表'!d"&amp;$G$1)</f>
        <v>50</v>
      </c>
      <c r="M47" s="1286" t="str">
        <f>IF(ISNUMBER(FIND("住宅",C1)),"住宅","非住宅")</f>
        <v>非住宅</v>
      </c>
      <c r="O47" s="1323" t="s">
        <v>403</v>
      </c>
      <c r="P47" s="1324" t="s">
        <v>817</v>
      </c>
      <c r="Q47" s="1325">
        <f ca="1">C40+J29</f>
        <v>4257</v>
      </c>
      <c r="R47" s="1325" t="s">
        <v>818</v>
      </c>
    </row>
    <row r="48" spans="1:18" s="1290" customFormat="1" ht="28.5" thickBot="1">
      <c r="A48" s="1045" t="s">
        <v>438</v>
      </c>
      <c r="B48" s="292" t="s">
        <v>692</v>
      </c>
      <c r="C48" s="1266">
        <f ca="1">C49+C53+C55</f>
        <v>0</v>
      </c>
      <c r="D48" s="1047"/>
      <c r="E48" s="1048"/>
      <c r="F48" s="906"/>
      <c r="G48" s="681"/>
      <c r="H48" s="682"/>
      <c r="I48" s="1326" t="s">
        <v>819</v>
      </c>
      <c r="J48" s="1327" t="s">
        <v>3402</v>
      </c>
      <c r="K48" s="1328" t="s">
        <v>820</v>
      </c>
      <c r="L48" s="1329">
        <f ca="1">INDIRECT("'数据-取费表'!f"&amp;$G$1)</f>
        <v>31.66</v>
      </c>
      <c r="O48" s="1323" t="s">
        <v>404</v>
      </c>
      <c r="P48" s="1324" t="s">
        <v>821</v>
      </c>
      <c r="Q48" s="1325">
        <f ca="1">J60</f>
        <v>152</v>
      </c>
      <c r="R48" s="1325" t="s">
        <v>822</v>
      </c>
    </row>
    <row r="49" spans="1:18" s="1290" customFormat="1" ht="13.5" thickBot="1">
      <c r="A49" s="919" t="s">
        <v>439</v>
      </c>
      <c r="B49" s="1277" t="s">
        <v>779</v>
      </c>
      <c r="C49" s="1049">
        <f ca="1">ROUND(F49*F51*F50*(1-F52)/10000,0)</f>
        <v>0</v>
      </c>
      <c r="D49" s="990" t="s">
        <v>2107</v>
      </c>
      <c r="E49" s="1278" t="s">
        <v>780</v>
      </c>
      <c r="F49" s="995"/>
      <c r="H49" s="682"/>
      <c r="I49" s="1326" t="s">
        <v>823</v>
      </c>
      <c r="J49" s="1330">
        <v>2007</v>
      </c>
      <c r="K49" s="1328" t="s">
        <v>824</v>
      </c>
      <c r="L49" s="1331"/>
      <c r="O49" s="1332" t="s">
        <v>405</v>
      </c>
      <c r="P49" s="1324" t="s">
        <v>825</v>
      </c>
      <c r="Q49" s="1325">
        <f ca="1">C29</f>
        <v>3758</v>
      </c>
      <c r="R49" s="1325" t="s">
        <v>818</v>
      </c>
    </row>
    <row r="50" spans="1:18" s="1290" customFormat="1" ht="13.5" thickBot="1">
      <c r="A50" s="920"/>
      <c r="B50" s="923"/>
      <c r="C50" s="1053"/>
      <c r="D50" s="897"/>
      <c r="E50" s="991" t="s">
        <v>697</v>
      </c>
      <c r="F50" s="992">
        <f ca="1">F7</f>
        <v>8407.68</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365</v>
      </c>
      <c r="I51" s="1336" t="s">
        <v>829</v>
      </c>
      <c r="J51" s="1329">
        <f>IF(J49="",J50,J49+J50-YEAR('数据-取费表'!B2))</f>
        <v>43</v>
      </c>
      <c r="K51" s="1337" t="s">
        <v>830</v>
      </c>
      <c r="L51" s="1338">
        <f ca="1">ROUND(-PV(INDIRECT("'数据-取费表'!h"&amp;$G$1),J51,(C39-C13*C76),0),0)</f>
        <v>937</v>
      </c>
      <c r="M51" s="1339"/>
      <c r="O51" s="1332" t="s">
        <v>407</v>
      </c>
      <c r="P51" s="1324" t="s">
        <v>831</v>
      </c>
      <c r="Q51" s="1335">
        <f>J52</f>
        <v>7.4999999999999997E-2</v>
      </c>
      <c r="R51" s="1325"/>
    </row>
    <row r="52" spans="1:18" s="1290" customFormat="1" ht="13.5" thickBot="1">
      <c r="A52" s="921"/>
      <c r="B52" s="923"/>
      <c r="C52" s="924"/>
      <c r="D52" s="897"/>
      <c r="E52" s="925" t="s">
        <v>699</v>
      </c>
      <c r="F52" s="989"/>
      <c r="I52" s="1340" t="s">
        <v>832</v>
      </c>
      <c r="J52" s="1341">
        <v>7.4999999999999997E-2</v>
      </c>
      <c r="K52" s="1340" t="s">
        <v>833</v>
      </c>
      <c r="L52" s="1341"/>
      <c r="O52" s="1332" t="s">
        <v>408</v>
      </c>
      <c r="P52" s="1324" t="s">
        <v>834</v>
      </c>
      <c r="Q52" s="1325">
        <f ca="1">J53</f>
        <v>31.66</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2">
        <f ca="1">IF(M47="住宅",IF(D1="——",MAX(J51,L48),MAX(J51,L48-'数据-取费表'!B24)),IF(D1="——",MIN(J51,L48),MIN(J51,L48-'数据-取费表'!B24)))</f>
        <v>31.66</v>
      </c>
      <c r="K53" s="3411" t="s">
        <v>837</v>
      </c>
      <c r="L53" s="3412"/>
      <c r="O53" s="1323" t="s">
        <v>409</v>
      </c>
      <c r="P53" s="1324" t="s">
        <v>838</v>
      </c>
      <c r="Q53" s="1325">
        <f ca="1">Q47+Q48</f>
        <v>4409</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0.189</v>
      </c>
      <c r="K55" s="1348" t="s">
        <v>841</v>
      </c>
      <c r="L55" s="1349"/>
      <c r="O55" s="1316" t="s">
        <v>811</v>
      </c>
      <c r="P55" s="1317" t="s">
        <v>812</v>
      </c>
      <c r="Q55" s="1318" t="s">
        <v>813</v>
      </c>
      <c r="R55" s="1318" t="s">
        <v>814</v>
      </c>
    </row>
    <row r="56" spans="1:18" s="1290" customFormat="1" ht="25.5" thickTop="1" thickBot="1">
      <c r="A56" s="901">
        <v>2</v>
      </c>
      <c r="B56" s="902" t="s">
        <v>704</v>
      </c>
      <c r="C56" s="224">
        <f ca="1">C13</f>
        <v>2480</v>
      </c>
      <c r="D56" s="1350"/>
      <c r="E56" s="1351"/>
      <c r="F56" s="1343"/>
      <c r="I56" s="1352" t="s">
        <v>842</v>
      </c>
      <c r="J56" s="1353" t="s">
        <v>3848</v>
      </c>
      <c r="K56" s="1326" t="s">
        <v>843</v>
      </c>
      <c r="L56" s="1329" t="str">
        <f ca="1">IF(L48&lt;J51,"——",L48-J53)</f>
        <v>——</v>
      </c>
      <c r="O56" s="1323" t="s">
        <v>403</v>
      </c>
      <c r="P56" s="1324" t="s">
        <v>817</v>
      </c>
      <c r="Q56" s="1325">
        <f ca="1">C40+J29</f>
        <v>4257</v>
      </c>
      <c r="R56" s="1325" t="s">
        <v>818</v>
      </c>
    </row>
    <row r="57" spans="1:18" s="1290" customFormat="1" ht="24.75" thickBot="1">
      <c r="A57" s="1354"/>
      <c r="B57" s="894" t="s">
        <v>767</v>
      </c>
      <c r="C57" s="230">
        <f ca="1">C29</f>
        <v>3758</v>
      </c>
      <c r="D57" s="1355"/>
      <c r="E57" s="1356"/>
      <c r="F57" s="1357"/>
      <c r="I57" s="1358" t="s">
        <v>844</v>
      </c>
      <c r="J57" s="1359">
        <f ca="1">IF(OR(M47="住宅",J51&lt;L48,J56="是"),"——",J51-L48)</f>
        <v>11.34</v>
      </c>
      <c r="K57" s="1326" t="s">
        <v>845</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42</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1</v>
      </c>
      <c r="D59" s="907" t="s">
        <v>720</v>
      </c>
      <c r="E59" s="908" t="s">
        <v>721</v>
      </c>
      <c r="F59" s="2135" t="str">
        <f>IF(项目基本情况!B11="企业","——",IF('数据-取费表'!B10="住宅",IF(F49*F50*F51/12/(1+'数据-取费表'!F30)&gt;100000,4%,2.5%),IF(F49*F50*F51/12/(1+'数据-取费表'!F30)&gt;100000,12%,7%)))</f>
        <v>——</v>
      </c>
      <c r="I59" s="1358" t="s">
        <v>851</v>
      </c>
      <c r="J59" s="1359">
        <f ca="1">IF(OR(M47="住宅",J51&lt;L48,J56="是"),"——",ROUND(C29*J58,0))</f>
        <v>1503</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5.5000000000000007E-2</v>
      </c>
      <c r="I60" s="1361" t="s">
        <v>853</v>
      </c>
      <c r="J60" s="1362">
        <f ca="1">IF(OR(M47="住宅",J51&lt;L48,J56="是"),"0",ROUND(J59/(1+J52)^J53,0))</f>
        <v>152</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IF(项目基本情况!B11="自然人","——",IF(D61="按租金收入计税",ROUND(C49*F61/(1+'数据-取费表'!C42),2),IF(D61="按房产原值计税",ROUND(C57*F61*0.7,2),INDIRECT("'数据-取费表'!Aj"&amp;$G$1))))</f>
        <v>0</v>
      </c>
      <c r="D61" s="1276" t="s">
        <v>3328</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IF(项目基本情况!B11="自然人","——",ROUND(F62*F63/10000,2))</f>
        <v>0.84</v>
      </c>
      <c r="D62" s="909" t="s">
        <v>731</v>
      </c>
      <c r="E62" s="894" t="s">
        <v>732</v>
      </c>
      <c r="F62" s="317">
        <f t="shared" si="0"/>
        <v>1.5</v>
      </c>
      <c r="I62" s="1365" t="s">
        <v>858</v>
      </c>
      <c r="J62" s="610" t="s">
        <v>859</v>
      </c>
      <c r="K62" s="610" t="s">
        <v>860</v>
      </c>
      <c r="L62" s="610" t="s">
        <v>861</v>
      </c>
      <c r="M62" s="1366" t="s">
        <v>862</v>
      </c>
      <c r="O62" s="1323" t="s">
        <v>409</v>
      </c>
      <c r="P62" s="1324" t="s">
        <v>838</v>
      </c>
      <c r="Q62" s="1325">
        <f ca="1">Q56+Q57</f>
        <v>4257</v>
      </c>
      <c r="R62" s="1325" t="s">
        <v>410</v>
      </c>
    </row>
    <row r="63" spans="1:18" s="1290" customFormat="1" ht="13.5" thickBot="1">
      <c r="A63" s="318"/>
      <c r="B63" s="900"/>
      <c r="C63" s="26"/>
      <c r="D63" s="910"/>
      <c r="E63" s="894" t="s">
        <v>736</v>
      </c>
      <c r="F63" s="295">
        <f t="shared" ca="1" si="0"/>
        <v>5613.04</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ROUND(C57*F64,2)</f>
        <v>37.58</v>
      </c>
      <c r="D64" s="908" t="s">
        <v>771</v>
      </c>
      <c r="E64" s="894" t="s">
        <v>712</v>
      </c>
      <c r="F64" s="320">
        <f t="shared" ca="1" si="0"/>
        <v>0.01</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ROUND(C56*F65,2)</f>
        <v>3.72</v>
      </c>
      <c r="D65" s="908" t="s">
        <v>743</v>
      </c>
      <c r="E65" s="894" t="s">
        <v>712</v>
      </c>
      <c r="F65" s="321">
        <f t="shared" ca="1" si="0"/>
        <v>1.5E-3</v>
      </c>
      <c r="I65" s="1365" t="s">
        <v>867</v>
      </c>
      <c r="J65" s="610">
        <v>40</v>
      </c>
      <c r="K65" s="610">
        <v>30</v>
      </c>
      <c r="L65" s="610">
        <v>50</v>
      </c>
      <c r="M65" s="1367">
        <v>0.02</v>
      </c>
      <c r="O65" s="1323" t="s">
        <v>403</v>
      </c>
      <c r="P65" s="1324" t="s">
        <v>817</v>
      </c>
      <c r="Q65" s="1325">
        <f ca="1">C40+J29</f>
        <v>4257</v>
      </c>
      <c r="R65" s="1325" t="s">
        <v>818</v>
      </c>
    </row>
    <row r="66" spans="1:18" s="1290" customFormat="1" ht="16.5" thickBot="1">
      <c r="A66" s="926" t="s">
        <v>793</v>
      </c>
      <c r="B66" s="894" t="s">
        <v>728</v>
      </c>
      <c r="C66" s="21">
        <f ca="1">ROUND(C48*F66,2)</f>
        <v>0</v>
      </c>
      <c r="D66" s="908" t="s">
        <v>748</v>
      </c>
      <c r="E66" s="894" t="s">
        <v>712</v>
      </c>
      <c r="F66" s="304">
        <f t="shared" ca="1" si="0"/>
        <v>0.02</v>
      </c>
      <c r="O66" s="1323" t="s">
        <v>404</v>
      </c>
      <c r="P66" s="1324" t="s">
        <v>846</v>
      </c>
      <c r="Q66" s="1325">
        <f ca="1">L60</f>
        <v>0</v>
      </c>
      <c r="R66" s="1325" t="s">
        <v>869</v>
      </c>
    </row>
    <row r="67" spans="1:18" s="1290" customFormat="1" ht="16.5" thickBot="1">
      <c r="A67" s="901" t="s">
        <v>394</v>
      </c>
      <c r="B67" s="911" t="s">
        <v>752</v>
      </c>
      <c r="C67" s="308">
        <f ca="1">C48-C58</f>
        <v>-42</v>
      </c>
      <c r="D67" s="907" t="s">
        <v>753</v>
      </c>
      <c r="E67" s="912"/>
      <c r="F67" s="913"/>
      <c r="O67" s="1332" t="s">
        <v>405</v>
      </c>
      <c r="P67" s="1324" t="s">
        <v>850</v>
      </c>
      <c r="Q67" s="1368">
        <f ca="1">L51</f>
        <v>937</v>
      </c>
      <c r="R67" s="1325" t="s">
        <v>870</v>
      </c>
    </row>
    <row r="68" spans="1:18" s="1290" customFormat="1" ht="16.5" thickBot="1">
      <c r="A68" s="891" t="s">
        <v>395</v>
      </c>
      <c r="B68" s="892" t="s">
        <v>774</v>
      </c>
      <c r="C68" s="293">
        <f ca="1">ROUND(C67*(1-((1+F70)/(1+F68))^F69)/(F68-F70),0)</f>
        <v>-623</v>
      </c>
      <c r="D68" s="909" t="s">
        <v>758</v>
      </c>
      <c r="E68" s="894" t="s">
        <v>759</v>
      </c>
      <c r="F68" s="304">
        <f ca="1">F40</f>
        <v>5.5E-2</v>
      </c>
      <c r="O68" s="1332" t="s">
        <v>406</v>
      </c>
      <c r="P68" s="1369" t="s">
        <v>871</v>
      </c>
      <c r="Q68" s="1325">
        <f ca="1">ROUND(Q69-Q70*Q71,0)</f>
        <v>53</v>
      </c>
      <c r="R68" s="1325" t="s">
        <v>414</v>
      </c>
    </row>
    <row r="69" spans="1:18" s="1290" customFormat="1" ht="13.5" thickBot="1">
      <c r="A69" s="895"/>
      <c r="B69" s="896"/>
      <c r="C69" s="298"/>
      <c r="D69" s="914" t="s">
        <v>762</v>
      </c>
      <c r="E69" s="894" t="s">
        <v>763</v>
      </c>
      <c r="F69" s="324">
        <f ca="1">F41</f>
        <v>31.66</v>
      </c>
      <c r="O69" s="1332" t="s">
        <v>411</v>
      </c>
      <c r="P69" s="1369" t="s">
        <v>872</v>
      </c>
      <c r="Q69" s="1325">
        <f ca="1">C39</f>
        <v>227</v>
      </c>
      <c r="R69" s="1325" t="s">
        <v>818</v>
      </c>
    </row>
    <row r="70" spans="1:18" s="1290" customFormat="1" ht="13.5" thickBot="1">
      <c r="A70" s="898"/>
      <c r="B70" s="899"/>
      <c r="C70" s="302"/>
      <c r="D70" s="910"/>
      <c r="E70" s="894" t="s">
        <v>766</v>
      </c>
      <c r="F70" s="989"/>
      <c r="O70" s="1332" t="s">
        <v>412</v>
      </c>
      <c r="P70" s="1369" t="s">
        <v>873</v>
      </c>
      <c r="Q70" s="1325">
        <f ca="1">C13</f>
        <v>2480</v>
      </c>
      <c r="R70" s="1325" t="s">
        <v>818</v>
      </c>
    </row>
    <row r="71" spans="1:18" s="1290" customFormat="1" ht="13.5" thickBot="1">
      <c r="A71" s="915" t="s">
        <v>396</v>
      </c>
      <c r="B71" s="916" t="s">
        <v>776</v>
      </c>
      <c r="C71" s="327">
        <f ca="1">ROUND(C68*10000/F71,0)</f>
        <v>-741</v>
      </c>
      <c r="D71" s="917" t="s">
        <v>777</v>
      </c>
      <c r="E71" s="918" t="s">
        <v>778</v>
      </c>
      <c r="F71" s="330">
        <f ca="1">F43</f>
        <v>8407.68</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174</v>
      </c>
      <c r="D75" s="1290"/>
      <c r="E75" s="1290"/>
      <c r="F75" s="1290"/>
      <c r="K75" s="1307"/>
      <c r="L75" s="1290"/>
      <c r="O75" s="1323" t="s">
        <v>409</v>
      </c>
      <c r="P75" s="1324" t="s">
        <v>838</v>
      </c>
      <c r="Q75" s="1325">
        <f ca="1">Q65+Q66</f>
        <v>4257</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0.23299999999999998</v>
      </c>
    </row>
    <row r="80" spans="1:18">
      <c r="B80" s="331" t="s">
        <v>800</v>
      </c>
      <c r="C80" s="266">
        <f ca="1">ROUND(C75/C39,3)</f>
        <v>0.76700000000000002</v>
      </c>
    </row>
    <row r="81" spans="2:3">
      <c r="B81" s="262" t="s">
        <v>801</v>
      </c>
      <c r="C81" s="230"/>
    </row>
    <row r="82" spans="2:3">
      <c r="B82" s="265" t="s">
        <v>802</v>
      </c>
      <c r="C82" s="267">
        <f ca="1">1-C83</f>
        <v>0.41700000000000004</v>
      </c>
    </row>
    <row r="83" spans="2:3">
      <c r="B83" s="265" t="s">
        <v>803</v>
      </c>
      <c r="C83" s="266">
        <f ca="1">ROUND(C13/C40,3)</f>
        <v>0.58299999999999996</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70" priority="3">
      <formula>$F$10="自定义"</formula>
    </cfRule>
  </conditionalFormatting>
  <conditionalFormatting sqref="C54">
    <cfRule type="expression" dxfId="69" priority="1">
      <formula>$F$53="自定义"</formula>
    </cfRule>
  </conditionalFormatting>
  <conditionalFormatting sqref="I55 I60">
    <cfRule type="expression" dxfId="68" priority="5">
      <formula>$J$51&gt;$L$48</formula>
    </cfRule>
  </conditionalFormatting>
  <conditionalFormatting sqref="J11">
    <cfRule type="expression" dxfId="67" priority="2">
      <formula>$M$10="自定义"</formula>
    </cfRule>
  </conditionalFormatting>
  <conditionalFormatting sqref="K55 K60">
    <cfRule type="expression" dxfId="66" priority="4">
      <formula>$L$48&gt;$J$51</formula>
    </cfRule>
  </conditionalFormatting>
  <dataValidations count="9">
    <dataValidation type="list" allowBlank="1" showInputMessage="1" showErrorMessage="1" sqref="D1" xr:uid="{F6D48B68-3A9E-420C-88AE-7C485246848A}">
      <formula1>"在建（套用方法）,土地（套用方法）,——"</formula1>
    </dataValidation>
    <dataValidation type="list" allowBlank="1" showInputMessage="1" showErrorMessage="1" sqref="M10 F10 F53" xr:uid="{4D9046D3-B36D-41FE-9A89-0132EC33275B}">
      <formula1>"押一,押二,押三,自定义"</formula1>
    </dataValidation>
    <dataValidation type="list" allowBlank="1" showInputMessage="1" showErrorMessage="1" sqref="L55" xr:uid="{65EE2562-5FEE-4E98-9E1B-09C6C55E9A3B}">
      <formula1>"比较法,基准地价,收益还原"</formula1>
    </dataValidation>
    <dataValidation type="list" allowBlank="1" showInputMessage="1" showErrorMessage="1" sqref="J56" xr:uid="{940A013A-5B92-4E2C-944D-83DC26359137}">
      <formula1>估价范围判定</formula1>
    </dataValidation>
    <dataValidation type="list" allowBlank="1" showInputMessage="1" showErrorMessage="1" sqref="J48" xr:uid="{995E4148-858B-4579-BD36-233F19E69BBC}">
      <formula1>"非生产用房,生产用房,受腐蚀的生产用房"</formula1>
    </dataValidation>
    <dataValidation type="list" allowBlank="1" showInputMessage="1" showErrorMessage="1" sqref="J47" xr:uid="{4E115A2D-F0AC-4FCE-85E9-BBD610AD21EE}">
      <formula1>"钢,钢混,砖混"</formula1>
    </dataValidation>
    <dataValidation type="list" allowBlank="1" showInputMessage="1" showErrorMessage="1" sqref="C1" xr:uid="{525AEF48-BD22-4289-8246-B62671C9E72B}">
      <formula1>项目类型</formula1>
    </dataValidation>
    <dataValidation type="list" allowBlank="1" showInputMessage="1" showErrorMessage="1" sqref="D33 D61" xr:uid="{44155AA4-C76C-4D2B-A3BC-F2138C736495}">
      <formula1>"按租金收入计税,按房产原值计税,按票据"</formula1>
    </dataValidation>
    <dataValidation type="list" allowBlank="1" showInputMessage="1" showErrorMessage="1" sqref="K19" xr:uid="{6FC9AC32-5589-4D90-88BC-C1DA324A0D26}">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2FD86-6C2B-4230-92D2-F6D6421EA5F4}">
  <sheetPr>
    <tabColor theme="7" tint="-0.499984740745262"/>
  </sheetPr>
  <dimension ref="A1:AK83"/>
  <sheetViews>
    <sheetView view="pageBreakPreview" zoomScale="70" zoomScaleNormal="70" zoomScaleSheetLayoutView="70" workbookViewId="0">
      <selection activeCell="D18" sqref="D17:D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3850</v>
      </c>
      <c r="D1" s="1269" t="s">
        <v>43</v>
      </c>
      <c r="E1" s="1270" t="s">
        <v>678</v>
      </c>
      <c r="F1" s="997">
        <f ca="1">J53</f>
        <v>31.66</v>
      </c>
      <c r="G1" s="1284">
        <f>MATCH(C1,'数据-取费表'!A6:A16,0)+5</f>
        <v>8</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2560</v>
      </c>
      <c r="C2" s="1287" t="s">
        <v>805</v>
      </c>
      <c r="D2" s="1287"/>
      <c r="E2" s="1293"/>
      <c r="F2" s="1294"/>
      <c r="G2" s="2475"/>
      <c r="H2" s="2465"/>
      <c r="I2" s="2465"/>
      <c r="J2" s="2465"/>
      <c r="K2" s="2466"/>
      <c r="L2" s="2465"/>
      <c r="M2" s="2465"/>
    </row>
    <row r="3" spans="1:37" ht="18" customHeight="1" thickBot="1">
      <c r="A3" s="1295" t="s">
        <v>806</v>
      </c>
      <c r="B3" s="1296">
        <f ca="1">IF(ISERROR(B2*10000/F43),0,ROUND(B2*10000/F43,0))</f>
        <v>5700</v>
      </c>
      <c r="C3" s="1287" t="s">
        <v>807</v>
      </c>
      <c r="D3" s="1287"/>
      <c r="E3" s="1293"/>
      <c r="F3" s="1294"/>
      <c r="G3" s="2475"/>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192</v>
      </c>
      <c r="D5" s="1271" t="s">
        <v>693</v>
      </c>
      <c r="E5" s="1006"/>
      <c r="F5" s="1007"/>
      <c r="G5" s="1290"/>
      <c r="H5" s="291">
        <v>1</v>
      </c>
      <c r="I5" s="292" t="s">
        <v>692</v>
      </c>
      <c r="J5" s="1005">
        <f ca="1">J6+J10+J12</f>
        <v>0</v>
      </c>
      <c r="K5" s="1271" t="s">
        <v>693</v>
      </c>
      <c r="L5" s="1006"/>
      <c r="M5" s="1007"/>
    </row>
    <row r="6" spans="1:37" ht="18" customHeight="1">
      <c r="A6" s="1004" t="s">
        <v>398</v>
      </c>
      <c r="B6" s="3408" t="s">
        <v>694</v>
      </c>
      <c r="C6" s="1009">
        <f ca="1">ROUND(F6*F8*F7*(1-F9)/10000,0)</f>
        <v>192</v>
      </c>
      <c r="D6" s="147" t="s">
        <v>2108</v>
      </c>
      <c r="E6" s="294" t="s">
        <v>696</v>
      </c>
      <c r="F6" s="295">
        <f ca="1">INDIRECT("'数据-取费表'!u"&amp;$G$1)</f>
        <v>1.3</v>
      </c>
      <c r="G6" s="1290"/>
      <c r="H6" s="1004" t="s">
        <v>398</v>
      </c>
      <c r="I6" s="3408" t="s">
        <v>694</v>
      </c>
      <c r="J6" s="293">
        <f ca="1">ROUND(M6*M8*M7*(1-M9)/10000,0)</f>
        <v>0</v>
      </c>
      <c r="K6" s="147" t="s">
        <v>2107</v>
      </c>
      <c r="L6" s="294" t="s">
        <v>696</v>
      </c>
      <c r="M6" s="295">
        <f ca="1">INDIRECT("'数据-取费表'!z"&amp;$G$1)</f>
        <v>0</v>
      </c>
    </row>
    <row r="7" spans="1:37" ht="18" customHeight="1">
      <c r="A7" s="1008"/>
      <c r="B7" s="3409"/>
      <c r="C7" s="1010"/>
      <c r="D7" s="299"/>
      <c r="E7" s="1011" t="s">
        <v>697</v>
      </c>
      <c r="F7" s="295">
        <f ca="1">IF(INDIRECT("'数据-取费表'!ah"&amp;$G$1)="",INDIRECT("'数据-取费表'!k"&amp;$G$1),INDIRECT("'数据-取费表'!ah"&amp;$G$1))</f>
        <v>4491.3300000000008</v>
      </c>
      <c r="G7" s="1290"/>
      <c r="H7" s="296"/>
      <c r="I7" s="3409"/>
      <c r="J7" s="298"/>
      <c r="K7" s="299"/>
      <c r="L7" s="294" t="s">
        <v>697</v>
      </c>
      <c r="M7" s="295">
        <f ca="1">F7</f>
        <v>4491.3300000000008</v>
      </c>
    </row>
    <row r="8" spans="1:37" ht="18" customHeight="1">
      <c r="A8" s="296"/>
      <c r="B8" s="3409"/>
      <c r="C8" s="298"/>
      <c r="D8" s="299"/>
      <c r="E8" s="294" t="s">
        <v>698</v>
      </c>
      <c r="F8" s="295">
        <f ca="1">INDIRECT("'数据-取费表'!ai"&amp;$G$1)</f>
        <v>365</v>
      </c>
      <c r="G8" s="1290"/>
      <c r="H8" s="296"/>
      <c r="I8" s="3409"/>
      <c r="J8" s="298"/>
      <c r="K8" s="299"/>
      <c r="L8" s="294" t="s">
        <v>698</v>
      </c>
      <c r="M8" s="295">
        <f ca="1">INDIRECT("'数据-取费表'!ai"&amp;$G$1)</f>
        <v>365</v>
      </c>
    </row>
    <row r="9" spans="1:37" ht="18" customHeight="1">
      <c r="A9" s="296"/>
      <c r="B9" s="3410"/>
      <c r="C9" s="298"/>
      <c r="D9" s="299"/>
      <c r="E9" s="294" t="s">
        <v>699</v>
      </c>
      <c r="F9" s="304">
        <f ca="1">INDIRECT("'数据-取费表'!w"&amp;$G$1)</f>
        <v>0.1</v>
      </c>
      <c r="G9" s="1290"/>
      <c r="H9" s="296"/>
      <c r="I9" s="3410"/>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t="s">
        <v>3845</v>
      </c>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1511</v>
      </c>
      <c r="D13" s="1016" t="s">
        <v>705</v>
      </c>
      <c r="E13" s="1016" t="s">
        <v>706</v>
      </c>
      <c r="F13" s="1017">
        <f ca="1">INDIRECT("'数据-取费表'!y"&amp;$G$1)</f>
        <v>0.72</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1437</v>
      </c>
      <c r="D14" s="1255" t="s">
        <v>708</v>
      </c>
      <c r="E14" s="1253"/>
      <c r="F14" s="311"/>
      <c r="G14" s="1290"/>
      <c r="H14" s="926" t="s">
        <v>398</v>
      </c>
      <c r="I14" s="294" t="s">
        <v>709</v>
      </c>
      <c r="J14" s="21">
        <f ca="1">C29</f>
        <v>2098</v>
      </c>
      <c r="K14" s="12"/>
      <c r="L14" s="757"/>
      <c r="M14" s="758"/>
    </row>
    <row r="15" spans="1:37" s="1302" customFormat="1" ht="18" customHeight="1" thickBot="1">
      <c r="A15" s="926" t="s">
        <v>399</v>
      </c>
      <c r="B15" s="294" t="s">
        <v>710</v>
      </c>
      <c r="C15" s="21">
        <f ca="1">ROUND(C14*F15,0)</f>
        <v>43</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21</v>
      </c>
      <c r="K16" s="1022" t="s">
        <v>715</v>
      </c>
      <c r="L16" s="1023"/>
      <c r="M16" s="1007"/>
    </row>
    <row r="17" spans="1:37" s="1302" customFormat="1" ht="18" customHeight="1">
      <c r="A17" s="926" t="s">
        <v>681</v>
      </c>
      <c r="B17" s="294" t="s">
        <v>716</v>
      </c>
      <c r="C17" s="21">
        <f ca="1">ROUND(F17*(F43+INDIRECT("'数据-取费表'!S"&amp;$G$1))/10000,0)</f>
        <v>90</v>
      </c>
      <c r="D17" s="294" t="s">
        <v>717</v>
      </c>
      <c r="E17" s="294" t="s">
        <v>718</v>
      </c>
      <c r="F17" s="23">
        <f>'数据-取费表'!B35</f>
        <v>200</v>
      </c>
      <c r="G17" s="1301"/>
      <c r="H17" s="926" t="s">
        <v>398</v>
      </c>
      <c r="I17" s="294" t="s">
        <v>719</v>
      </c>
      <c r="J17" s="2136">
        <f ca="1">ROUND(IF(AND(项目基本情况!B11="自然人",项目基本情况!B10="北京市"),J6*M17/(1+'数据-取费表'!C42),J18+J19+J20),2)</f>
        <v>0.45</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22</v>
      </c>
      <c r="D18" s="294" t="s">
        <v>711</v>
      </c>
      <c r="E18" s="294" t="s">
        <v>712</v>
      </c>
      <c r="F18" s="314">
        <f>'数据-取费表'!B36</f>
        <v>1.4999999999999999E-2</v>
      </c>
      <c r="G18" s="1301"/>
      <c r="H18" s="926" t="s">
        <v>397</v>
      </c>
      <c r="I18" s="294" t="s">
        <v>723</v>
      </c>
      <c r="J18" s="21">
        <f ca="1">ROUND(J6*M18/(1+'数据-取费表'!C42),2)</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1592</v>
      </c>
      <c r="D19" s="123" t="s">
        <v>726</v>
      </c>
      <c r="E19" s="1267"/>
      <c r="F19" s="23"/>
      <c r="G19" s="1290"/>
      <c r="H19" s="926" t="s">
        <v>399</v>
      </c>
      <c r="I19" s="294" t="s">
        <v>727</v>
      </c>
      <c r="J19" s="21">
        <f ca="1">IF(K19="按租金收入计税",ROUND(J6*M19/(1+'数据-取费表'!C42),2),ROUND(C29*M19*0.7,2))</f>
        <v>0</v>
      </c>
      <c r="K19" s="1276" t="s">
        <v>3328</v>
      </c>
      <c r="L19" s="294" t="s">
        <v>712</v>
      </c>
      <c r="M19" s="314">
        <f>IF(K19="按租金收入计税",'数据-取费表'!B51,'数据-取费表'!B50)</f>
        <v>0.12</v>
      </c>
    </row>
    <row r="20" spans="1:37" s="1302" customFormat="1" ht="18" customHeight="1">
      <c r="A20" s="926" t="s">
        <v>402</v>
      </c>
      <c r="B20" s="294" t="s">
        <v>728</v>
      </c>
      <c r="C20" s="21">
        <f ca="1">ROUND(C19*F20,0)</f>
        <v>32</v>
      </c>
      <c r="D20" s="315" t="s">
        <v>729</v>
      </c>
      <c r="E20" s="294" t="s">
        <v>712</v>
      </c>
      <c r="F20" s="314">
        <f>'数据-取费表'!B37</f>
        <v>0.02</v>
      </c>
      <c r="G20" s="1301"/>
      <c r="H20" s="926" t="s">
        <v>680</v>
      </c>
      <c r="I20" s="147" t="s">
        <v>730</v>
      </c>
      <c r="J20" s="22">
        <f ca="1">ROUND(M20*M21/10000,2)</f>
        <v>0.45</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2998.45</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20.98</v>
      </c>
      <c r="K22" s="1254" t="s">
        <v>739</v>
      </c>
      <c r="L22" s="294" t="s">
        <v>712</v>
      </c>
      <c r="M22" s="320">
        <f ca="1">INDIRECT("'数据-取费表'!Ak"&amp;$G$1)</f>
        <v>0.01</v>
      </c>
    </row>
    <row r="23" spans="1:37" s="1302" customFormat="1" ht="18" customHeight="1">
      <c r="A23" s="926" t="s">
        <v>397</v>
      </c>
      <c r="B23" s="294" t="s">
        <v>740</v>
      </c>
      <c r="C23" s="21">
        <f ca="1">IF('数据-取费表'!B22&lt;=1,ROUND(C19*F24*F23/2,0)+ROUND(C20*F24*F23/2,0),ROUND(C19*(POWER((1+F24),F23/2)-1),0)+ROUND(C20*(POWER((1+F24),F23/2)-1),0))</f>
        <v>70</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ROUND(J13*M23,2)</f>
        <v>0</v>
      </c>
      <c r="K23" s="1254" t="s">
        <v>743</v>
      </c>
      <c r="L23" s="294" t="s">
        <v>712</v>
      </c>
      <c r="M23" s="321">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3.4500000000000003E-2</v>
      </c>
      <c r="G24" s="1301"/>
      <c r="H24" s="1024" t="s">
        <v>683</v>
      </c>
      <c r="I24" s="1025" t="s">
        <v>728</v>
      </c>
      <c r="J24" s="1026">
        <f ca="1">ROUND(J5*M24,2)</f>
        <v>0</v>
      </c>
      <c r="K24" s="1027" t="s">
        <v>748</v>
      </c>
      <c r="L24" s="1025" t="s">
        <v>712</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-21</v>
      </c>
      <c r="K25" s="1030" t="s">
        <v>753</v>
      </c>
      <c r="L25" s="1031"/>
      <c r="M25" s="1032"/>
    </row>
    <row r="26" spans="1:37">
      <c r="A26" s="926" t="s">
        <v>397</v>
      </c>
      <c r="B26" s="294" t="s">
        <v>754</v>
      </c>
      <c r="C26" s="21">
        <f ca="1">ROUND((C19+C20)*F26,0)</f>
        <v>244</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2098</v>
      </c>
      <c r="D29" s="1027"/>
      <c r="E29" s="1025"/>
      <c r="F29" s="1028"/>
      <c r="G29" s="1301"/>
      <c r="H29" s="325" t="s">
        <v>396</v>
      </c>
      <c r="I29" s="326" t="s">
        <v>768</v>
      </c>
      <c r="J29" s="327">
        <f ca="1">ROUND(J26/(1+F40)^F41,0)</f>
        <v>0</v>
      </c>
      <c r="K29" s="328" t="s">
        <v>769</v>
      </c>
      <c r="L29" s="329"/>
      <c r="M29" s="330">
        <f ca="1">INDIRECT("'数据-取费表'!k"&amp;$G$1)</f>
        <v>4491.3300000000008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60</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ROUND(IF(AND(项目基本情况!B11="自然人",项目基本情况!B10="北京市"),C6*F31/(1+'数据-取费表'!C42),C32+C33+C34),2)</f>
        <v>32.450000000000003</v>
      </c>
      <c r="D31" s="1255" t="s">
        <v>720</v>
      </c>
      <c r="E31" s="1254" t="s">
        <v>770</v>
      </c>
      <c r="F31" s="2135" t="str">
        <f>IF(项目基本情况!B11="企业","——",IF(M47="住宅",IF(F6*F7*F8/12/(1+'数据-取费表'!F30)&gt;100000,4%,2.5%),IF(F6*F7*F8/12/(1+'数据-取费表'!F30)&gt;100000,12%,7%)))</f>
        <v>——</v>
      </c>
      <c r="G31" s="1290"/>
      <c r="H31" s="2566" t="s">
        <v>2298</v>
      </c>
      <c r="I31" s="1303"/>
      <c r="J31" s="1304"/>
      <c r="K31" s="121"/>
      <c r="L31" s="2468"/>
      <c r="M31" s="2469"/>
    </row>
    <row r="32" spans="1:37" ht="18" customHeight="1">
      <c r="A32" s="926" t="s">
        <v>397</v>
      </c>
      <c r="B32" s="294" t="s">
        <v>723</v>
      </c>
      <c r="C32" s="21">
        <f ca="1">IF(项目基本情况!B11="自然人","——",ROUND(C6*F32/(1+'数据-取费表'!C42),2))</f>
        <v>10.06</v>
      </c>
      <c r="D32" s="1254" t="s">
        <v>724</v>
      </c>
      <c r="E32" s="294" t="s">
        <v>712</v>
      </c>
      <c r="F32" s="322">
        <f>'数据-取费表'!B41</f>
        <v>5.5000000000000007E-2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21.94</v>
      </c>
      <c r="D33" s="1276" t="s">
        <v>3328</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IF(项目基本情况!B11="自然人","——",ROUND(F34*F35/10000,2))</f>
        <v>0.45</v>
      </c>
      <c r="D34" s="316" t="s">
        <v>731</v>
      </c>
      <c r="E34" s="294" t="s">
        <v>732</v>
      </c>
      <c r="F34" s="317">
        <f>'数据-取费表'!B52</f>
        <v>1.5</v>
      </c>
      <c r="G34" s="1290"/>
      <c r="H34" s="2467"/>
      <c r="I34" s="1303"/>
      <c r="J34" s="1304"/>
      <c r="K34" s="2472"/>
      <c r="L34" s="2473"/>
      <c r="M34" s="2473"/>
    </row>
    <row r="35" spans="1:18" ht="18" customHeight="1">
      <c r="A35" s="1038"/>
      <c r="B35" s="1036"/>
      <c r="C35" s="26"/>
      <c r="D35" s="319"/>
      <c r="E35" s="294" t="s">
        <v>736</v>
      </c>
      <c r="F35" s="295">
        <f ca="1">INDIRECT("'数据-取费表'!r"&amp;$G$1)</f>
        <v>2998.45</v>
      </c>
      <c r="G35" s="1290"/>
      <c r="H35" s="2467"/>
      <c r="I35" s="1303"/>
      <c r="J35" s="1304"/>
      <c r="K35" s="2471"/>
      <c r="L35" s="2470"/>
      <c r="M35" s="2470"/>
    </row>
    <row r="36" spans="1:18" ht="18" customHeight="1">
      <c r="A36" s="1037" t="s">
        <v>402</v>
      </c>
      <c r="B36" s="294" t="s">
        <v>738</v>
      </c>
      <c r="C36" s="21">
        <f ca="1">ROUND(C29*F36,2)</f>
        <v>20.98</v>
      </c>
      <c r="D36" s="1254" t="s">
        <v>771</v>
      </c>
      <c r="E36" s="294" t="s">
        <v>712</v>
      </c>
      <c r="F36" s="320">
        <f ca="1">INDIRECT("'数据-取费表'!Ak"&amp;$G$1)</f>
        <v>0.01</v>
      </c>
      <c r="G36" s="1290"/>
      <c r="H36" s="2470"/>
      <c r="I36" s="1303"/>
      <c r="J36" s="1304"/>
      <c r="K36" s="2327"/>
      <c r="L36" s="2470"/>
      <c r="M36" s="2470"/>
    </row>
    <row r="37" spans="1:18" ht="18" customHeight="1">
      <c r="A37" s="926" t="s">
        <v>437</v>
      </c>
      <c r="B37" s="294" t="s">
        <v>742</v>
      </c>
      <c r="C37" s="21">
        <f ca="1">ROUND(C13*F37,2)</f>
        <v>2.27</v>
      </c>
      <c r="D37" s="1254" t="s">
        <v>743</v>
      </c>
      <c r="E37" s="294" t="s">
        <v>712</v>
      </c>
      <c r="F37" s="321">
        <f ca="1">INDIRECT("'数据-取费表'!Al"&amp;$G$1)</f>
        <v>1.5E-3</v>
      </c>
      <c r="G37" s="1290"/>
      <c r="H37" s="2470"/>
      <c r="I37" s="1303"/>
      <c r="J37" s="1304"/>
      <c r="K37" s="2327"/>
      <c r="L37" s="2470"/>
      <c r="M37" s="2470"/>
    </row>
    <row r="38" spans="1:18" ht="18" customHeight="1" thickBot="1">
      <c r="A38" s="1024" t="s">
        <v>683</v>
      </c>
      <c r="B38" s="1025" t="s">
        <v>728</v>
      </c>
      <c r="C38" s="1026">
        <f ca="1">ROUND(C5*F38,2)</f>
        <v>3.84</v>
      </c>
      <c r="D38" s="1027" t="s">
        <v>748</v>
      </c>
      <c r="E38" s="1025" t="s">
        <v>712</v>
      </c>
      <c r="F38" s="1021">
        <f ca="1">INDIRECT("'数据-取费表'!Am"&amp;$G$1)</f>
        <v>0.02</v>
      </c>
      <c r="G38" s="1290"/>
      <c r="H38" s="2470"/>
      <c r="I38" s="1303"/>
      <c r="J38" s="1304"/>
      <c r="K38" s="2468"/>
      <c r="L38" s="2470"/>
      <c r="M38" s="2470"/>
    </row>
    <row r="39" spans="1:18" ht="24.6" customHeight="1" thickTop="1">
      <c r="A39" s="1014" t="s">
        <v>394</v>
      </c>
      <c r="B39" s="1029" t="s">
        <v>752</v>
      </c>
      <c r="C39" s="302">
        <f ca="1">C5-C30</f>
        <v>132</v>
      </c>
      <c r="D39" s="1030" t="s">
        <v>753</v>
      </c>
      <c r="E39" s="1031"/>
      <c r="F39" s="1032"/>
      <c r="G39" s="1290"/>
      <c r="H39" s="2470"/>
      <c r="I39" s="1303"/>
      <c r="J39" s="1304"/>
      <c r="K39" s="2468"/>
      <c r="L39" s="2470"/>
      <c r="M39" s="2470"/>
    </row>
    <row r="40" spans="1:18" ht="18" customHeight="1">
      <c r="A40" s="291" t="s">
        <v>395</v>
      </c>
      <c r="B40" s="292" t="s">
        <v>774</v>
      </c>
      <c r="C40" s="293">
        <f ca="1">ROUND(C39*(1-((1+F42)/(1+F40))^F41)/(F40-F42),0)</f>
        <v>2475</v>
      </c>
      <c r="D40" s="316" t="s">
        <v>758</v>
      </c>
      <c r="E40" s="294" t="s">
        <v>759</v>
      </c>
      <c r="F40" s="304">
        <f ca="1">INDIRECT("'数据-取费表'!I"&amp;$G$1)</f>
        <v>5.5E-2</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31.66</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c r="I42" s="1303"/>
      <c r="J42" s="1304"/>
      <c r="K42" s="2327"/>
      <c r="L42" s="121"/>
      <c r="M42" s="121"/>
    </row>
    <row r="43" spans="1:18" ht="18" customHeight="1" thickBot="1">
      <c r="A43" s="325" t="s">
        <v>396</v>
      </c>
      <c r="B43" s="326" t="s">
        <v>776</v>
      </c>
      <c r="C43" s="327">
        <f ca="1">ROUND(C40*10000/F43,0)</f>
        <v>5511</v>
      </c>
      <c r="D43" s="328" t="s">
        <v>777</v>
      </c>
      <c r="E43" s="329" t="s">
        <v>778</v>
      </c>
      <c r="F43" s="330">
        <f ca="1">INDIRECT("'数据-取费表'!k"&amp;$G$1)</f>
        <v>4491.3300000000008</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808</v>
      </c>
      <c r="P45" s="1364"/>
      <c r="Q45" s="1364"/>
      <c r="R45" s="1364"/>
    </row>
    <row r="46" spans="1:18" s="1290" customFormat="1" ht="13.5" thickBot="1">
      <c r="A46" s="1309" t="s">
        <v>809</v>
      </c>
      <c r="C46" s="1310">
        <f ca="1">C68-C40</f>
        <v>-2816</v>
      </c>
      <c r="D46" s="1311" t="str">
        <f>C2</f>
        <v>万元</v>
      </c>
      <c r="E46" s="1305"/>
      <c r="F46" s="1305"/>
      <c r="I46" s="1312" t="s">
        <v>810</v>
      </c>
      <c r="J46" s="1313"/>
      <c r="K46" s="1314"/>
      <c r="L46" s="1315">
        <f ca="1">IF(M47="住宅",0,IF(L48&gt;J51,L60,J60))</f>
        <v>85</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t="s">
        <v>3846</v>
      </c>
      <c r="K47" s="1321" t="s">
        <v>816</v>
      </c>
      <c r="L47" s="1322">
        <f ca="1">INDIRECT("'数据-取费表'!d"&amp;$G$1)</f>
        <v>50</v>
      </c>
      <c r="M47" s="1286" t="str">
        <f>IF(ISNUMBER(FIND("住宅",C1)),"住宅","非住宅")</f>
        <v>非住宅</v>
      </c>
      <c r="O47" s="1323" t="s">
        <v>403</v>
      </c>
      <c r="P47" s="1324" t="s">
        <v>817</v>
      </c>
      <c r="Q47" s="1325">
        <f ca="1">C40+J29</f>
        <v>2475</v>
      </c>
      <c r="R47" s="1325" t="s">
        <v>818</v>
      </c>
    </row>
    <row r="48" spans="1:18" s="1290" customFormat="1" ht="28.5" thickBot="1">
      <c r="A48" s="1045" t="s">
        <v>438</v>
      </c>
      <c r="B48" s="292" t="s">
        <v>692</v>
      </c>
      <c r="C48" s="1266">
        <f ca="1">C49+C53+C55</f>
        <v>0</v>
      </c>
      <c r="D48" s="1047"/>
      <c r="E48" s="1048"/>
      <c r="F48" s="906"/>
      <c r="G48" s="681"/>
      <c r="H48" s="682"/>
      <c r="I48" s="1326" t="s">
        <v>819</v>
      </c>
      <c r="J48" s="1327" t="s">
        <v>3402</v>
      </c>
      <c r="K48" s="1328" t="s">
        <v>820</v>
      </c>
      <c r="L48" s="1329">
        <f ca="1">INDIRECT("'数据-取费表'!f"&amp;$G$1)</f>
        <v>31.66</v>
      </c>
      <c r="O48" s="1323" t="s">
        <v>404</v>
      </c>
      <c r="P48" s="1324" t="s">
        <v>821</v>
      </c>
      <c r="Q48" s="1325">
        <f ca="1">J60</f>
        <v>85</v>
      </c>
      <c r="R48" s="1325" t="s">
        <v>822</v>
      </c>
    </row>
    <row r="49" spans="1:18" s="1290" customFormat="1" ht="13.5" thickBot="1">
      <c r="A49" s="919" t="s">
        <v>439</v>
      </c>
      <c r="B49" s="1277" t="s">
        <v>779</v>
      </c>
      <c r="C49" s="1049">
        <f ca="1">ROUND(F49*F51*F50*(1-F52)/10000,0)</f>
        <v>0</v>
      </c>
      <c r="D49" s="990" t="s">
        <v>2107</v>
      </c>
      <c r="E49" s="1278" t="s">
        <v>780</v>
      </c>
      <c r="F49" s="995"/>
      <c r="H49" s="682"/>
      <c r="I49" s="1326" t="s">
        <v>823</v>
      </c>
      <c r="J49" s="1330">
        <v>2007</v>
      </c>
      <c r="K49" s="1328" t="s">
        <v>824</v>
      </c>
      <c r="L49" s="1331"/>
      <c r="O49" s="1332" t="s">
        <v>405</v>
      </c>
      <c r="P49" s="1324" t="s">
        <v>825</v>
      </c>
      <c r="Q49" s="1325">
        <f ca="1">C29</f>
        <v>2098</v>
      </c>
      <c r="R49" s="1325" t="s">
        <v>818</v>
      </c>
    </row>
    <row r="50" spans="1:18" s="1290" customFormat="1" ht="13.5" thickBot="1">
      <c r="A50" s="920"/>
      <c r="B50" s="923"/>
      <c r="C50" s="1053"/>
      <c r="D50" s="897"/>
      <c r="E50" s="991" t="s">
        <v>697</v>
      </c>
      <c r="F50" s="992">
        <f ca="1">F7</f>
        <v>4491.3300000000008</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365</v>
      </c>
      <c r="I51" s="1336" t="s">
        <v>829</v>
      </c>
      <c r="J51" s="1329">
        <f>IF(J49="",J50,J49+J50-YEAR('数据-取费表'!B2))</f>
        <v>43</v>
      </c>
      <c r="K51" s="1337" t="s">
        <v>830</v>
      </c>
      <c r="L51" s="1338">
        <f ca="1">ROUND(-PV(INDIRECT("'数据-取费表'!h"&amp;$G$1),J51,(C39-C13*C76),0),0)</f>
        <v>460</v>
      </c>
      <c r="M51" s="1339"/>
      <c r="O51" s="1332" t="s">
        <v>407</v>
      </c>
      <c r="P51" s="1324" t="s">
        <v>831</v>
      </c>
      <c r="Q51" s="1335">
        <f>J52</f>
        <v>7.4999999999999997E-2</v>
      </c>
      <c r="R51" s="1325"/>
    </row>
    <row r="52" spans="1:18" s="1290" customFormat="1" ht="13.5" thickBot="1">
      <c r="A52" s="921"/>
      <c r="B52" s="923"/>
      <c r="C52" s="924"/>
      <c r="D52" s="897"/>
      <c r="E52" s="925" t="s">
        <v>699</v>
      </c>
      <c r="F52" s="989"/>
      <c r="I52" s="1340" t="s">
        <v>832</v>
      </c>
      <c r="J52" s="1341">
        <v>7.4999999999999997E-2</v>
      </c>
      <c r="K52" s="1340" t="s">
        <v>833</v>
      </c>
      <c r="L52" s="1341"/>
      <c r="O52" s="1332" t="s">
        <v>408</v>
      </c>
      <c r="P52" s="1324" t="s">
        <v>834</v>
      </c>
      <c r="Q52" s="1325">
        <f ca="1">J53</f>
        <v>31.66</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2">
        <f ca="1">IF(M47="住宅",IF(D1="——",MAX(J51,L48),MAX(J51,L48-'数据-取费表'!B24)),IF(D1="——",MIN(J51,L48),MIN(J51,L48-'数据-取费表'!B24)))</f>
        <v>31.66</v>
      </c>
      <c r="K53" s="3411" t="s">
        <v>837</v>
      </c>
      <c r="L53" s="3412"/>
      <c r="O53" s="1323" t="s">
        <v>409</v>
      </c>
      <c r="P53" s="1324" t="s">
        <v>838</v>
      </c>
      <c r="Q53" s="1325">
        <f ca="1">Q47+Q48</f>
        <v>2560</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0.189</v>
      </c>
      <c r="K55" s="1348" t="s">
        <v>841</v>
      </c>
      <c r="L55" s="1349"/>
      <c r="O55" s="1316" t="s">
        <v>811</v>
      </c>
      <c r="P55" s="1317" t="s">
        <v>812</v>
      </c>
      <c r="Q55" s="1318" t="s">
        <v>813</v>
      </c>
      <c r="R55" s="1318" t="s">
        <v>814</v>
      </c>
    </row>
    <row r="56" spans="1:18" s="1290" customFormat="1" ht="25.5" thickTop="1" thickBot="1">
      <c r="A56" s="901">
        <v>2</v>
      </c>
      <c r="B56" s="902" t="s">
        <v>704</v>
      </c>
      <c r="C56" s="224">
        <f ca="1">C13</f>
        <v>1511</v>
      </c>
      <c r="D56" s="1350"/>
      <c r="E56" s="1351"/>
      <c r="F56" s="1343"/>
      <c r="I56" s="1352" t="s">
        <v>842</v>
      </c>
      <c r="J56" s="1353" t="s">
        <v>3848</v>
      </c>
      <c r="K56" s="1326" t="s">
        <v>843</v>
      </c>
      <c r="L56" s="1329" t="str">
        <f ca="1">IF(L48&lt;J51,"——",L48-J53)</f>
        <v>——</v>
      </c>
      <c r="O56" s="1323" t="s">
        <v>403</v>
      </c>
      <c r="P56" s="1324" t="s">
        <v>817</v>
      </c>
      <c r="Q56" s="1325">
        <f ca="1">C40+J29</f>
        <v>2475</v>
      </c>
      <c r="R56" s="1325" t="s">
        <v>818</v>
      </c>
    </row>
    <row r="57" spans="1:18" s="1290" customFormat="1" ht="24.75" thickBot="1">
      <c r="A57" s="1354"/>
      <c r="B57" s="894" t="s">
        <v>767</v>
      </c>
      <c r="C57" s="230">
        <f ca="1">C29</f>
        <v>2098</v>
      </c>
      <c r="D57" s="1355"/>
      <c r="E57" s="1356"/>
      <c r="F57" s="1357"/>
      <c r="I57" s="1358" t="s">
        <v>844</v>
      </c>
      <c r="J57" s="1359">
        <f ca="1">IF(OR(M47="住宅",J51&lt;L48,J56="是"),"——",J51-L48)</f>
        <v>11.34</v>
      </c>
      <c r="K57" s="1326" t="s">
        <v>845</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23</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f ca="1">IF(OR(M47="住宅",J51&lt;L48,J56="是"),"——",ROUND(C29*J58,0))</f>
        <v>839</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5.5000000000000007E-2</v>
      </c>
      <c r="I60" s="1361" t="s">
        <v>853</v>
      </c>
      <c r="J60" s="1362">
        <f ca="1">IF(OR(M47="住宅",J51&lt;L48,J56="是"),"0",ROUND(J59/(1+J52)^J53,0))</f>
        <v>85</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IF(项目基本情况!B11="自然人","——",IF(D61="按租金收入计税",ROUND(C49*F61/(1+'数据-取费表'!C42),2),IF(D61="按房产原值计税",ROUND(C57*F61*0.7,2),INDIRECT("'数据-取费表'!Aj"&amp;$G$1))))</f>
        <v>0</v>
      </c>
      <c r="D61" s="1276" t="s">
        <v>3328</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IF(项目基本情况!B11="自然人","——",ROUND(F62*F63/10000,2))</f>
        <v>0.45</v>
      </c>
      <c r="D62" s="909" t="s">
        <v>731</v>
      </c>
      <c r="E62" s="894" t="s">
        <v>732</v>
      </c>
      <c r="F62" s="317">
        <f t="shared" si="0"/>
        <v>1.5</v>
      </c>
      <c r="I62" s="1365" t="s">
        <v>858</v>
      </c>
      <c r="J62" s="610" t="s">
        <v>859</v>
      </c>
      <c r="K62" s="610" t="s">
        <v>860</v>
      </c>
      <c r="L62" s="610" t="s">
        <v>861</v>
      </c>
      <c r="M62" s="1366" t="s">
        <v>862</v>
      </c>
      <c r="O62" s="1323" t="s">
        <v>409</v>
      </c>
      <c r="P62" s="1324" t="s">
        <v>838</v>
      </c>
      <c r="Q62" s="1325">
        <f ca="1">Q56+Q57</f>
        <v>2475</v>
      </c>
      <c r="R62" s="1325" t="s">
        <v>410</v>
      </c>
    </row>
    <row r="63" spans="1:18" s="1290" customFormat="1" ht="13.5" thickBot="1">
      <c r="A63" s="318"/>
      <c r="B63" s="900"/>
      <c r="C63" s="26"/>
      <c r="D63" s="910"/>
      <c r="E63" s="894" t="s">
        <v>736</v>
      </c>
      <c r="F63" s="295">
        <f t="shared" ca="1" si="0"/>
        <v>2998.45</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ROUND(C57*F64,2)</f>
        <v>20.98</v>
      </c>
      <c r="D64" s="908" t="s">
        <v>771</v>
      </c>
      <c r="E64" s="894" t="s">
        <v>712</v>
      </c>
      <c r="F64" s="320">
        <f t="shared" ca="1" si="0"/>
        <v>0.01</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ROUND(C56*F65,2)</f>
        <v>2.27</v>
      </c>
      <c r="D65" s="908" t="s">
        <v>743</v>
      </c>
      <c r="E65" s="894" t="s">
        <v>712</v>
      </c>
      <c r="F65" s="321">
        <f t="shared" ca="1" si="0"/>
        <v>1.5E-3</v>
      </c>
      <c r="I65" s="1365" t="s">
        <v>867</v>
      </c>
      <c r="J65" s="610">
        <v>40</v>
      </c>
      <c r="K65" s="610">
        <v>30</v>
      </c>
      <c r="L65" s="610">
        <v>50</v>
      </c>
      <c r="M65" s="1367">
        <v>0.02</v>
      </c>
      <c r="O65" s="1323" t="s">
        <v>403</v>
      </c>
      <c r="P65" s="1324" t="s">
        <v>817</v>
      </c>
      <c r="Q65" s="1325">
        <f ca="1">C40+J29</f>
        <v>2475</v>
      </c>
      <c r="R65" s="1325" t="s">
        <v>818</v>
      </c>
    </row>
    <row r="66" spans="1:18" s="1290" customFormat="1" ht="16.5" thickBot="1">
      <c r="A66" s="926" t="s">
        <v>793</v>
      </c>
      <c r="B66" s="894" t="s">
        <v>728</v>
      </c>
      <c r="C66" s="21">
        <f ca="1">ROUND(C48*F66,2)</f>
        <v>0</v>
      </c>
      <c r="D66" s="908" t="s">
        <v>748</v>
      </c>
      <c r="E66" s="894" t="s">
        <v>712</v>
      </c>
      <c r="F66" s="304">
        <f t="shared" ca="1" si="0"/>
        <v>0.02</v>
      </c>
      <c r="O66" s="1323" t="s">
        <v>404</v>
      </c>
      <c r="P66" s="1324" t="s">
        <v>846</v>
      </c>
      <c r="Q66" s="1325">
        <f ca="1">L60</f>
        <v>0</v>
      </c>
      <c r="R66" s="1325" t="s">
        <v>869</v>
      </c>
    </row>
    <row r="67" spans="1:18" s="1290" customFormat="1" ht="16.5" thickBot="1">
      <c r="A67" s="901" t="s">
        <v>394</v>
      </c>
      <c r="B67" s="911" t="s">
        <v>752</v>
      </c>
      <c r="C67" s="308">
        <f ca="1">C48-C58</f>
        <v>-23</v>
      </c>
      <c r="D67" s="907" t="s">
        <v>753</v>
      </c>
      <c r="E67" s="912"/>
      <c r="F67" s="913"/>
      <c r="O67" s="1332" t="s">
        <v>405</v>
      </c>
      <c r="P67" s="1324" t="s">
        <v>850</v>
      </c>
      <c r="Q67" s="1368">
        <f ca="1">L51</f>
        <v>460</v>
      </c>
      <c r="R67" s="1325" t="s">
        <v>870</v>
      </c>
    </row>
    <row r="68" spans="1:18" s="1290" customFormat="1" ht="16.5" thickBot="1">
      <c r="A68" s="891" t="s">
        <v>395</v>
      </c>
      <c r="B68" s="892" t="s">
        <v>774</v>
      </c>
      <c r="C68" s="293">
        <f ca="1">ROUND(C67*(1-((1+F70)/(1+F68))^F69)/(F68-F70),0)</f>
        <v>-341</v>
      </c>
      <c r="D68" s="909" t="s">
        <v>758</v>
      </c>
      <c r="E68" s="894" t="s">
        <v>759</v>
      </c>
      <c r="F68" s="304">
        <f ca="1">F40</f>
        <v>5.5E-2</v>
      </c>
      <c r="O68" s="1332" t="s">
        <v>406</v>
      </c>
      <c r="P68" s="1369" t="s">
        <v>871</v>
      </c>
      <c r="Q68" s="1325">
        <f ca="1">ROUND(Q69-Q70*Q71,0)</f>
        <v>26</v>
      </c>
      <c r="R68" s="1325" t="s">
        <v>414</v>
      </c>
    </row>
    <row r="69" spans="1:18" s="1290" customFormat="1" ht="13.5" thickBot="1">
      <c r="A69" s="895"/>
      <c r="B69" s="896"/>
      <c r="C69" s="298"/>
      <c r="D69" s="914" t="s">
        <v>762</v>
      </c>
      <c r="E69" s="894" t="s">
        <v>763</v>
      </c>
      <c r="F69" s="324">
        <f ca="1">F41</f>
        <v>31.66</v>
      </c>
      <c r="O69" s="1332" t="s">
        <v>411</v>
      </c>
      <c r="P69" s="1369" t="s">
        <v>872</v>
      </c>
      <c r="Q69" s="1325">
        <f ca="1">C39</f>
        <v>132</v>
      </c>
      <c r="R69" s="1325" t="s">
        <v>818</v>
      </c>
    </row>
    <row r="70" spans="1:18" s="1290" customFormat="1" ht="13.5" thickBot="1">
      <c r="A70" s="898"/>
      <c r="B70" s="899"/>
      <c r="C70" s="302"/>
      <c r="D70" s="910"/>
      <c r="E70" s="894" t="s">
        <v>766</v>
      </c>
      <c r="F70" s="989"/>
      <c r="O70" s="1332" t="s">
        <v>412</v>
      </c>
      <c r="P70" s="1369" t="s">
        <v>873</v>
      </c>
      <c r="Q70" s="1325">
        <f ca="1">C13</f>
        <v>1511</v>
      </c>
      <c r="R70" s="1325" t="s">
        <v>818</v>
      </c>
    </row>
    <row r="71" spans="1:18" s="1290" customFormat="1" ht="13.5" thickBot="1">
      <c r="A71" s="915" t="s">
        <v>396</v>
      </c>
      <c r="B71" s="916" t="s">
        <v>776</v>
      </c>
      <c r="C71" s="327">
        <f ca="1">ROUND(C68*10000/F71,0)</f>
        <v>-759</v>
      </c>
      <c r="D71" s="917" t="s">
        <v>777</v>
      </c>
      <c r="E71" s="918" t="s">
        <v>778</v>
      </c>
      <c r="F71" s="330">
        <f ca="1">F43</f>
        <v>4491.3300000000008</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106</v>
      </c>
      <c r="D75" s="1290"/>
      <c r="E75" s="1290"/>
      <c r="F75" s="1290"/>
      <c r="K75" s="1307"/>
      <c r="L75" s="1290"/>
      <c r="O75" s="1323" t="s">
        <v>409</v>
      </c>
      <c r="P75" s="1324" t="s">
        <v>838</v>
      </c>
      <c r="Q75" s="1325">
        <f ca="1">Q65+Q66</f>
        <v>2475</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0.19699999999999995</v>
      </c>
    </row>
    <row r="80" spans="1:18">
      <c r="B80" s="331" t="s">
        <v>800</v>
      </c>
      <c r="C80" s="266">
        <f ca="1">ROUND(C75/C39,3)</f>
        <v>0.80300000000000005</v>
      </c>
    </row>
    <row r="81" spans="2:3">
      <c r="B81" s="262" t="s">
        <v>801</v>
      </c>
      <c r="C81" s="230"/>
    </row>
    <row r="82" spans="2:3">
      <c r="B82" s="265" t="s">
        <v>802</v>
      </c>
      <c r="C82" s="267">
        <f ca="1">1-C83</f>
        <v>0.38900000000000001</v>
      </c>
    </row>
    <row r="83" spans="2:3">
      <c r="B83" s="265" t="s">
        <v>803</v>
      </c>
      <c r="C83" s="266">
        <f ca="1">ROUND(C13/C40,3)</f>
        <v>0.61099999999999999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5" priority="3">
      <formula>$F$10="自定义"</formula>
    </cfRule>
  </conditionalFormatting>
  <conditionalFormatting sqref="C54">
    <cfRule type="expression" dxfId="64" priority="1">
      <formula>$F$53="自定义"</formula>
    </cfRule>
  </conditionalFormatting>
  <conditionalFormatting sqref="I55 I60">
    <cfRule type="expression" dxfId="63" priority="5">
      <formula>$J$51&gt;$L$48</formula>
    </cfRule>
  </conditionalFormatting>
  <conditionalFormatting sqref="J11">
    <cfRule type="expression" dxfId="62" priority="2">
      <formula>$M$10="自定义"</formula>
    </cfRule>
  </conditionalFormatting>
  <conditionalFormatting sqref="K55 K60">
    <cfRule type="expression" dxfId="61" priority="4">
      <formula>$L$48&gt;$J$51</formula>
    </cfRule>
  </conditionalFormatting>
  <dataValidations count="9">
    <dataValidation type="list" allowBlank="1" showInputMessage="1" showErrorMessage="1" sqref="D1" xr:uid="{C83804BA-8BED-4A63-A9DD-D5A32EA7515F}">
      <formula1>"在建（套用方法）,土地（套用方法）,——"</formula1>
    </dataValidation>
    <dataValidation type="list" allowBlank="1" showInputMessage="1" showErrorMessage="1" sqref="M10 F10 F53" xr:uid="{448667F4-A4B9-4259-B1B8-C9731406F8C0}">
      <formula1>"押一,押二,押三,自定义"</formula1>
    </dataValidation>
    <dataValidation type="list" allowBlank="1" showInputMessage="1" showErrorMessage="1" sqref="L55" xr:uid="{8986EEA0-57FE-4B1C-AD13-4B694D70E5AF}">
      <formula1>"比较法,基准地价,收益还原"</formula1>
    </dataValidation>
    <dataValidation type="list" allowBlank="1" showInputMessage="1" showErrorMessage="1" sqref="J56" xr:uid="{E5391457-EADA-4ACC-B8AA-AEAE9F787E9D}">
      <formula1>估价范围判定</formula1>
    </dataValidation>
    <dataValidation type="list" allowBlank="1" showInputMessage="1" showErrorMessage="1" sqref="J48" xr:uid="{748A4F76-B358-41E8-BB4A-474F15692877}">
      <formula1>"非生产用房,生产用房,受腐蚀的生产用房"</formula1>
    </dataValidation>
    <dataValidation type="list" allowBlank="1" showInputMessage="1" showErrorMessage="1" sqref="J47" xr:uid="{9D0481B6-6243-4CA1-B922-C588D06E2118}">
      <formula1>"钢,钢混,砖混"</formula1>
    </dataValidation>
    <dataValidation type="list" allowBlank="1" showInputMessage="1" showErrorMessage="1" sqref="C1" xr:uid="{FA92D798-82CC-4BAE-89B0-7DF2956A60B1}">
      <formula1>项目类型</formula1>
    </dataValidation>
    <dataValidation type="list" allowBlank="1" showInputMessage="1" showErrorMessage="1" sqref="D33 D61" xr:uid="{FADEE658-0958-4837-B360-3ECF43EB71CC}">
      <formula1>"按租金收入计税,按房产原值计税,按票据"</formula1>
    </dataValidation>
    <dataValidation type="list" allowBlank="1" showInputMessage="1" showErrorMessage="1" sqref="K19" xr:uid="{0B6A15DF-A8DD-4941-BA80-CE6E9D97E462}">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561F7-2D13-487F-9861-4E12FA2448C8}">
  <sheetPr>
    <tabColor theme="8" tint="-0.499984740745262"/>
  </sheetPr>
  <dimension ref="A1:AK83"/>
  <sheetViews>
    <sheetView view="pageBreakPreview" zoomScale="70" zoomScaleNormal="70" zoomScaleSheetLayoutView="70" workbookViewId="0">
      <selection activeCell="D39" sqref="D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3851</v>
      </c>
      <c r="D1" s="1269" t="s">
        <v>43</v>
      </c>
      <c r="E1" s="1270" t="s">
        <v>678</v>
      </c>
      <c r="F1" s="997">
        <f ca="1">J53</f>
        <v>31.66</v>
      </c>
      <c r="G1" s="1284">
        <f>MATCH(C1,'数据-取费表'!A6:A16,0)+5</f>
        <v>9</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22738</v>
      </c>
      <c r="C2" s="1287" t="s">
        <v>805</v>
      </c>
      <c r="D2" s="1287"/>
      <c r="E2" s="1293"/>
      <c r="F2" s="1294"/>
      <c r="G2" s="2475"/>
      <c r="H2" s="2465"/>
      <c r="I2" s="2465"/>
      <c r="J2" s="2465"/>
      <c r="K2" s="2466"/>
      <c r="L2" s="2465"/>
      <c r="M2" s="2465"/>
    </row>
    <row r="3" spans="1:37" ht="18" customHeight="1" thickBot="1">
      <c r="A3" s="1295" t="s">
        <v>806</v>
      </c>
      <c r="B3" s="1296">
        <f ca="1">IF(ISERROR(B2*10000/F43),0,ROUND(B2*10000/F43,0))</f>
        <v>5424</v>
      </c>
      <c r="C3" s="1287" t="s">
        <v>807</v>
      </c>
      <c r="D3" s="1287"/>
      <c r="E3" s="1293"/>
      <c r="F3" s="1294"/>
      <c r="G3" s="2475"/>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1792</v>
      </c>
      <c r="D5" s="1271" t="s">
        <v>693</v>
      </c>
      <c r="E5" s="1006"/>
      <c r="F5" s="1007"/>
      <c r="G5" s="1290"/>
      <c r="H5" s="291">
        <v>1</v>
      </c>
      <c r="I5" s="292" t="s">
        <v>692</v>
      </c>
      <c r="J5" s="1005">
        <f ca="1">J6+J10+J12</f>
        <v>0</v>
      </c>
      <c r="K5" s="1271" t="s">
        <v>693</v>
      </c>
      <c r="L5" s="1006"/>
      <c r="M5" s="1007"/>
    </row>
    <row r="6" spans="1:37" ht="18" customHeight="1">
      <c r="A6" s="1004" t="s">
        <v>398</v>
      </c>
      <c r="B6" s="3408" t="s">
        <v>694</v>
      </c>
      <c r="C6" s="1009">
        <f ca="1">ROUND(F6*F8*F7*(1-F9)/10000,0)</f>
        <v>1790</v>
      </c>
      <c r="D6" s="147" t="s">
        <v>2108</v>
      </c>
      <c r="E6" s="294" t="s">
        <v>696</v>
      </c>
      <c r="F6" s="295">
        <f ca="1">INDIRECT("'数据-取费表'!u"&amp;$G$1)</f>
        <v>1.3</v>
      </c>
      <c r="G6" s="1290"/>
      <c r="H6" s="1004" t="s">
        <v>398</v>
      </c>
      <c r="I6" s="3408" t="s">
        <v>694</v>
      </c>
      <c r="J6" s="293">
        <f ca="1">ROUND(M6*M8*M7*(1-M9)/10000,0)</f>
        <v>0</v>
      </c>
      <c r="K6" s="147" t="s">
        <v>2107</v>
      </c>
      <c r="L6" s="294" t="s">
        <v>696</v>
      </c>
      <c r="M6" s="295">
        <f ca="1">INDIRECT("'数据-取费表'!z"&amp;$G$1)</f>
        <v>0</v>
      </c>
    </row>
    <row r="7" spans="1:37" ht="18" customHeight="1">
      <c r="A7" s="1008"/>
      <c r="B7" s="3409"/>
      <c r="C7" s="1010"/>
      <c r="D7" s="299"/>
      <c r="E7" s="1011" t="s">
        <v>697</v>
      </c>
      <c r="F7" s="295">
        <f ca="1">IF(INDIRECT("'数据-取费表'!ah"&amp;$G$1)="",INDIRECT("'数据-取费表'!k"&amp;$G$1),INDIRECT("'数据-取费表'!ah"&amp;$G$1))</f>
        <v>41922.74</v>
      </c>
      <c r="G7" s="1290"/>
      <c r="H7" s="296"/>
      <c r="I7" s="3409"/>
      <c r="J7" s="298"/>
      <c r="K7" s="299"/>
      <c r="L7" s="294" t="s">
        <v>697</v>
      </c>
      <c r="M7" s="295">
        <f ca="1">F7</f>
        <v>41922.74</v>
      </c>
    </row>
    <row r="8" spans="1:37" ht="18" customHeight="1">
      <c r="A8" s="296"/>
      <c r="B8" s="3409"/>
      <c r="C8" s="298"/>
      <c r="D8" s="299"/>
      <c r="E8" s="294" t="s">
        <v>698</v>
      </c>
      <c r="F8" s="295">
        <f ca="1">INDIRECT("'数据-取费表'!ai"&amp;$G$1)</f>
        <v>365</v>
      </c>
      <c r="G8" s="1290"/>
      <c r="H8" s="296"/>
      <c r="I8" s="3409"/>
      <c r="J8" s="298"/>
      <c r="K8" s="299"/>
      <c r="L8" s="294" t="s">
        <v>698</v>
      </c>
      <c r="M8" s="295">
        <f ca="1">INDIRECT("'数据-取费表'!ai"&amp;$G$1)</f>
        <v>365</v>
      </c>
    </row>
    <row r="9" spans="1:37" ht="18" customHeight="1">
      <c r="A9" s="296"/>
      <c r="B9" s="3410"/>
      <c r="C9" s="298"/>
      <c r="D9" s="299"/>
      <c r="E9" s="294" t="s">
        <v>699</v>
      </c>
      <c r="F9" s="304">
        <f ca="1">INDIRECT("'数据-取费表'!w"&amp;$G$1)</f>
        <v>0.1</v>
      </c>
      <c r="G9" s="1290"/>
      <c r="H9" s="296"/>
      <c r="I9" s="3410"/>
      <c r="J9" s="298"/>
      <c r="K9" s="299"/>
      <c r="L9" s="305" t="s">
        <v>699</v>
      </c>
      <c r="M9" s="306">
        <f ca="1">INDIRECT("'数据-取费表'!ab"&amp;$G$1)</f>
        <v>0</v>
      </c>
    </row>
    <row r="10" spans="1:37" ht="18" customHeight="1">
      <c r="A10" s="1004" t="s">
        <v>402</v>
      </c>
      <c r="B10" s="1272" t="s">
        <v>700</v>
      </c>
      <c r="C10" s="308">
        <f ca="1">ROUND(IF(F10="押一",C6/12*F11,IF(F10="押二",C6/12*2*F11,IF(F10="押三",C6/12*3*F11,C11*F11))),0)</f>
        <v>2</v>
      </c>
      <c r="D10" s="150" t="s">
        <v>2115</v>
      </c>
      <c r="E10" s="305" t="s">
        <v>701</v>
      </c>
      <c r="F10" s="1051" t="s">
        <v>3845</v>
      </c>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19498</v>
      </c>
      <c r="D13" s="1016" t="s">
        <v>705</v>
      </c>
      <c r="E13" s="1016" t="s">
        <v>706</v>
      </c>
      <c r="F13" s="1017">
        <f ca="1">INDIRECT("'数据-取费表'!y"&amp;$G$1)</f>
        <v>0.72</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18865</v>
      </c>
      <c r="D14" s="1255" t="s">
        <v>708</v>
      </c>
      <c r="E14" s="1253"/>
      <c r="F14" s="311"/>
      <c r="G14" s="1290"/>
      <c r="H14" s="926" t="s">
        <v>398</v>
      </c>
      <c r="I14" s="294" t="s">
        <v>709</v>
      </c>
      <c r="J14" s="21">
        <f ca="1">C29</f>
        <v>27081</v>
      </c>
      <c r="K14" s="12"/>
      <c r="L14" s="757"/>
      <c r="M14" s="758"/>
    </row>
    <row r="15" spans="1:37" s="1302" customFormat="1" ht="18" customHeight="1" thickBot="1">
      <c r="A15" s="926" t="s">
        <v>399</v>
      </c>
      <c r="B15" s="294" t="s">
        <v>710</v>
      </c>
      <c r="C15" s="21">
        <f ca="1">ROUND(C14*F15,0)</f>
        <v>566</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275</v>
      </c>
      <c r="K16" s="1022" t="s">
        <v>715</v>
      </c>
      <c r="L16" s="1023"/>
      <c r="M16" s="1007"/>
    </row>
    <row r="17" spans="1:37" s="1302" customFormat="1" ht="18" customHeight="1">
      <c r="A17" s="926" t="s">
        <v>681</v>
      </c>
      <c r="B17" s="294" t="s">
        <v>716</v>
      </c>
      <c r="C17" s="21">
        <f ca="1">ROUND(F17*(F43+INDIRECT("'数据-取费表'!S"&amp;$G$1))/10000,0)</f>
        <v>838</v>
      </c>
      <c r="D17" s="294" t="s">
        <v>717</v>
      </c>
      <c r="E17" s="294" t="s">
        <v>718</v>
      </c>
      <c r="F17" s="23">
        <f>'数据-取费表'!B35</f>
        <v>200</v>
      </c>
      <c r="G17" s="1301"/>
      <c r="H17" s="926" t="s">
        <v>398</v>
      </c>
      <c r="I17" s="294" t="s">
        <v>719</v>
      </c>
      <c r="J17" s="2136">
        <f ca="1">ROUND(IF(AND(项目基本情况!B11="自然人",项目基本情况!B10="北京市"),J6*M17/(1+'数据-取费表'!C42),J18+J19+J20),2)</f>
        <v>4.2</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283</v>
      </c>
      <c r="D18" s="294" t="s">
        <v>711</v>
      </c>
      <c r="E18" s="294" t="s">
        <v>712</v>
      </c>
      <c r="F18" s="314">
        <f>'数据-取费表'!B36</f>
        <v>1.4999999999999999E-2</v>
      </c>
      <c r="G18" s="1301"/>
      <c r="H18" s="926" t="s">
        <v>397</v>
      </c>
      <c r="I18" s="294" t="s">
        <v>723</v>
      </c>
      <c r="J18" s="21">
        <f ca="1">ROUND(J6*M18/(1+'数据-取费表'!C42),2)</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20552</v>
      </c>
      <c r="D19" s="123" t="s">
        <v>726</v>
      </c>
      <c r="E19" s="1267"/>
      <c r="F19" s="23"/>
      <c r="G19" s="1290"/>
      <c r="H19" s="926" t="s">
        <v>399</v>
      </c>
      <c r="I19" s="294" t="s">
        <v>727</v>
      </c>
      <c r="J19" s="21">
        <f ca="1">IF(K19="按租金收入计税",ROUND(J6*M19/(1+'数据-取费表'!C42),2),ROUND(C29*M19*0.7,2))</f>
        <v>0</v>
      </c>
      <c r="K19" s="1276" t="s">
        <v>3328</v>
      </c>
      <c r="L19" s="294" t="s">
        <v>712</v>
      </c>
      <c r="M19" s="314">
        <f>IF(K19="按租金收入计税",'数据-取费表'!B51,'数据-取费表'!B50)</f>
        <v>0.12</v>
      </c>
    </row>
    <row r="20" spans="1:37" s="1302" customFormat="1" ht="18" customHeight="1">
      <c r="A20" s="926" t="s">
        <v>402</v>
      </c>
      <c r="B20" s="294" t="s">
        <v>728</v>
      </c>
      <c r="C20" s="21">
        <f ca="1">ROUND(C19*F20,0)</f>
        <v>411</v>
      </c>
      <c r="D20" s="315" t="s">
        <v>729</v>
      </c>
      <c r="E20" s="294" t="s">
        <v>712</v>
      </c>
      <c r="F20" s="314">
        <f>'数据-取费表'!B37</f>
        <v>0.02</v>
      </c>
      <c r="G20" s="1301"/>
      <c r="H20" s="926" t="s">
        <v>680</v>
      </c>
      <c r="I20" s="147" t="s">
        <v>730</v>
      </c>
      <c r="J20" s="22">
        <f ca="1">ROUND(M20*M21/10000,2)</f>
        <v>4.2</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27987.99</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270.81</v>
      </c>
      <c r="K22" s="1254" t="s">
        <v>739</v>
      </c>
      <c r="L22" s="294" t="s">
        <v>712</v>
      </c>
      <c r="M22" s="320">
        <f ca="1">INDIRECT("'数据-取费表'!Ak"&amp;$G$1)</f>
        <v>0.01</v>
      </c>
    </row>
    <row r="23" spans="1:37" s="1302" customFormat="1" ht="18" customHeight="1">
      <c r="A23" s="926" t="s">
        <v>397</v>
      </c>
      <c r="B23" s="294" t="s">
        <v>740</v>
      </c>
      <c r="C23" s="21">
        <f ca="1">IF('数据-取费表'!B22&lt;=1,ROUND(C19*F24*F23/2,0)+ROUND(C20*F24*F23/2,0),ROUND(C19*(POWER((1+F24),F23/2)-1),0)+ROUND(C20*(POWER((1+F24),F23/2)-1),0))</f>
        <v>908</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ROUND(J13*M23,2)</f>
        <v>0</v>
      </c>
      <c r="K23" s="1254" t="s">
        <v>743</v>
      </c>
      <c r="L23" s="294" t="s">
        <v>712</v>
      </c>
      <c r="M23" s="321">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3.4500000000000003E-2</v>
      </c>
      <c r="G24" s="1301"/>
      <c r="H24" s="1024" t="s">
        <v>683</v>
      </c>
      <c r="I24" s="1025" t="s">
        <v>728</v>
      </c>
      <c r="J24" s="1026">
        <f ca="1">ROUND(J5*M24,2)</f>
        <v>0</v>
      </c>
      <c r="K24" s="1027" t="s">
        <v>748</v>
      </c>
      <c r="L24" s="1025" t="s">
        <v>712</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-275</v>
      </c>
      <c r="K25" s="1030" t="s">
        <v>753</v>
      </c>
      <c r="L25" s="1031"/>
      <c r="M25" s="1032"/>
    </row>
    <row r="26" spans="1:37">
      <c r="A26" s="926" t="s">
        <v>397</v>
      </c>
      <c r="B26" s="294" t="s">
        <v>754</v>
      </c>
      <c r="C26" s="21">
        <f ca="1">ROUND((C19+C20)*F26,0)</f>
        <v>3144</v>
      </c>
      <c r="D26" s="315" t="s">
        <v>755</v>
      </c>
      <c r="E26" s="305" t="s">
        <v>756</v>
      </c>
      <c r="F26" s="304">
        <f ca="1">INDIRECT("'数据-取费表'!q"&amp;$G$1)</f>
        <v>0.15</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3.0000000000000001E-3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27081</v>
      </c>
      <c r="D29" s="1027"/>
      <c r="E29" s="1025"/>
      <c r="F29" s="1028"/>
      <c r="G29" s="1301"/>
      <c r="H29" s="325" t="s">
        <v>396</v>
      </c>
      <c r="I29" s="326" t="s">
        <v>768</v>
      </c>
      <c r="J29" s="327">
        <f ca="1">ROUND(J26/(1+F40)^F41,0)</f>
        <v>0</v>
      </c>
      <c r="K29" s="328" t="s">
        <v>769</v>
      </c>
      <c r="L29" s="329"/>
      <c r="M29" s="330">
        <f ca="1">INDIRECT("'数据-取费表'!k"&amp;$G$1)</f>
        <v>41922.74</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638</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ROUND(IF(AND(项目基本情况!B11="自然人",项目基本情况!B10="北京市"),C6*F31/(1+'数据-取费表'!C42),C32+C33+C34),2)</f>
        <v>302.52999999999997</v>
      </c>
      <c r="D31" s="1255" t="s">
        <v>720</v>
      </c>
      <c r="E31" s="1254" t="s">
        <v>770</v>
      </c>
      <c r="F31" s="2135" t="str">
        <f>IF(项目基本情况!B11="企业","——",IF(M47="住宅",IF(F6*F7*F8/12/(1+'数据-取费表'!F30)&gt;100000,4%,2.5%),IF(F6*F7*F8/12/(1+'数据-取费表'!F30)&gt;100000,12%,7%)))</f>
        <v>——</v>
      </c>
      <c r="G31" s="1290"/>
      <c r="H31" s="2566" t="s">
        <v>2298</v>
      </c>
      <c r="I31" s="1303"/>
      <c r="J31" s="1304"/>
      <c r="K31" s="121"/>
      <c r="L31" s="2468"/>
      <c r="M31" s="2469"/>
    </row>
    <row r="32" spans="1:37" ht="18" customHeight="1">
      <c r="A32" s="926" t="s">
        <v>397</v>
      </c>
      <c r="B32" s="294" t="s">
        <v>723</v>
      </c>
      <c r="C32" s="21">
        <f ca="1">IF(项目基本情况!B11="自然人","——",ROUND(C6*F32/(1+'数据-取费表'!C42),2))</f>
        <v>93.76</v>
      </c>
      <c r="D32" s="1254" t="s">
        <v>724</v>
      </c>
      <c r="E32" s="294" t="s">
        <v>712</v>
      </c>
      <c r="F32" s="322">
        <f>'数据-取费表'!B41</f>
        <v>5.5000000000000007E-2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204.57</v>
      </c>
      <c r="D33" s="1276" t="s">
        <v>3328</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IF(项目基本情况!B11="自然人","——",ROUND(F34*F35/10000,2))</f>
        <v>4.2</v>
      </c>
      <c r="D34" s="316" t="s">
        <v>731</v>
      </c>
      <c r="E34" s="294" t="s">
        <v>732</v>
      </c>
      <c r="F34" s="317">
        <f>'数据-取费表'!B52</f>
        <v>1.5</v>
      </c>
      <c r="G34" s="1290"/>
      <c r="H34" s="2467"/>
      <c r="I34" s="1303"/>
      <c r="J34" s="1304"/>
      <c r="K34" s="2472"/>
      <c r="L34" s="2473"/>
      <c r="M34" s="2473"/>
    </row>
    <row r="35" spans="1:18" ht="18" customHeight="1">
      <c r="A35" s="1038"/>
      <c r="B35" s="1036"/>
      <c r="C35" s="26"/>
      <c r="D35" s="319"/>
      <c r="E35" s="294" t="s">
        <v>736</v>
      </c>
      <c r="F35" s="295">
        <f ca="1">INDIRECT("'数据-取费表'!r"&amp;$G$1)</f>
        <v>27987.99</v>
      </c>
      <c r="G35" s="1290"/>
      <c r="H35" s="2467"/>
      <c r="I35" s="1303"/>
      <c r="J35" s="1304"/>
      <c r="K35" s="2471"/>
      <c r="L35" s="2470"/>
      <c r="M35" s="2470"/>
    </row>
    <row r="36" spans="1:18" ht="18" customHeight="1">
      <c r="A36" s="1037" t="s">
        <v>402</v>
      </c>
      <c r="B36" s="294" t="s">
        <v>738</v>
      </c>
      <c r="C36" s="21">
        <f ca="1">ROUND(C29*F36,2)</f>
        <v>270.81</v>
      </c>
      <c r="D36" s="1254" t="s">
        <v>771</v>
      </c>
      <c r="E36" s="294" t="s">
        <v>712</v>
      </c>
      <c r="F36" s="320">
        <f ca="1">INDIRECT("'数据-取费表'!Ak"&amp;$G$1)</f>
        <v>0.01</v>
      </c>
      <c r="G36" s="1290"/>
      <c r="H36" s="2470"/>
      <c r="I36" s="1303"/>
      <c r="J36" s="1304"/>
      <c r="K36" s="2327"/>
      <c r="L36" s="2470"/>
      <c r="M36" s="2470"/>
    </row>
    <row r="37" spans="1:18" ht="18" customHeight="1">
      <c r="A37" s="926" t="s">
        <v>437</v>
      </c>
      <c r="B37" s="294" t="s">
        <v>742</v>
      </c>
      <c r="C37" s="21">
        <f ca="1">ROUND(C13*F37,2)</f>
        <v>29.25</v>
      </c>
      <c r="D37" s="1254" t="s">
        <v>743</v>
      </c>
      <c r="E37" s="294" t="s">
        <v>712</v>
      </c>
      <c r="F37" s="321">
        <f ca="1">INDIRECT("'数据-取费表'!Al"&amp;$G$1)</f>
        <v>1.5E-3</v>
      </c>
      <c r="G37" s="1290"/>
      <c r="H37" s="2470"/>
      <c r="I37" s="1303"/>
      <c r="J37" s="1304"/>
      <c r="K37" s="2327"/>
      <c r="L37" s="2470"/>
      <c r="M37" s="2470"/>
    </row>
    <row r="38" spans="1:18" ht="18" customHeight="1" thickBot="1">
      <c r="A38" s="1024" t="s">
        <v>683</v>
      </c>
      <c r="B38" s="1025" t="s">
        <v>728</v>
      </c>
      <c r="C38" s="1026">
        <f ca="1">ROUND(C5*F38,2)</f>
        <v>35.840000000000003</v>
      </c>
      <c r="D38" s="1027" t="s">
        <v>748</v>
      </c>
      <c r="E38" s="1025" t="s">
        <v>712</v>
      </c>
      <c r="F38" s="1021">
        <f ca="1">INDIRECT("'数据-取费表'!Am"&amp;$G$1)</f>
        <v>0.02</v>
      </c>
      <c r="G38" s="1290"/>
      <c r="H38" s="2470"/>
      <c r="I38" s="1303"/>
      <c r="J38" s="1304"/>
      <c r="K38" s="2468"/>
      <c r="L38" s="2470"/>
      <c r="M38" s="2470"/>
    </row>
    <row r="39" spans="1:18" ht="24.6" customHeight="1" thickTop="1">
      <c r="A39" s="1014" t="s">
        <v>394</v>
      </c>
      <c r="B39" s="1029" t="s">
        <v>752</v>
      </c>
      <c r="C39" s="302">
        <f ca="1">C5-C30</f>
        <v>1154</v>
      </c>
      <c r="D39" s="1030" t="s">
        <v>753</v>
      </c>
      <c r="E39" s="1031"/>
      <c r="F39" s="1032"/>
      <c r="G39" s="1290"/>
      <c r="H39" s="2470"/>
      <c r="I39" s="1303"/>
      <c r="J39" s="1304"/>
      <c r="K39" s="2468"/>
      <c r="L39" s="2470"/>
      <c r="M39" s="2470"/>
    </row>
    <row r="40" spans="1:18" ht="18" customHeight="1">
      <c r="A40" s="291" t="s">
        <v>395</v>
      </c>
      <c r="B40" s="292" t="s">
        <v>774</v>
      </c>
      <c r="C40" s="293">
        <f ca="1">ROUND(C39*(1-((1+F42)/(1+F40))^F41)/(F40-F42),0)</f>
        <v>21641</v>
      </c>
      <c r="D40" s="316" t="s">
        <v>758</v>
      </c>
      <c r="E40" s="294" t="s">
        <v>759</v>
      </c>
      <c r="F40" s="304">
        <f ca="1">INDIRECT("'数据-取费表'!I"&amp;$G$1)</f>
        <v>5.5E-2</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31.66</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c r="I42" s="1303"/>
      <c r="J42" s="1304"/>
      <c r="K42" s="2327"/>
      <c r="L42" s="121"/>
      <c r="M42" s="121"/>
    </row>
    <row r="43" spans="1:18" ht="18" customHeight="1" thickBot="1">
      <c r="A43" s="325" t="s">
        <v>396</v>
      </c>
      <c r="B43" s="326" t="s">
        <v>776</v>
      </c>
      <c r="C43" s="327">
        <f ca="1">ROUND(C40*10000/F43,0)</f>
        <v>5162</v>
      </c>
      <c r="D43" s="328" t="s">
        <v>777</v>
      </c>
      <c r="E43" s="329" t="s">
        <v>778</v>
      </c>
      <c r="F43" s="330">
        <f ca="1">INDIRECT("'数据-取费表'!k"&amp;$G$1)</f>
        <v>41922.74</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808</v>
      </c>
      <c r="P45" s="1364"/>
      <c r="Q45" s="1364"/>
      <c r="R45" s="1364"/>
    </row>
    <row r="46" spans="1:18" s="1290" customFormat="1" ht="13.5" thickBot="1">
      <c r="A46" s="1309" t="s">
        <v>809</v>
      </c>
      <c r="C46" s="1310">
        <f ca="1">C68-C40</f>
        <v>-26154</v>
      </c>
      <c r="D46" s="1311" t="str">
        <f>C2</f>
        <v>万元</v>
      </c>
      <c r="E46" s="1305"/>
      <c r="F46" s="1305"/>
      <c r="I46" s="1312" t="s">
        <v>810</v>
      </c>
      <c r="J46" s="1313"/>
      <c r="K46" s="1314"/>
      <c r="L46" s="1315">
        <f ca="1">IF(M47="住宅",0,IF(L48&gt;J51,L60,J60))</f>
        <v>1097</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t="s">
        <v>3846</v>
      </c>
      <c r="K47" s="1321" t="s">
        <v>816</v>
      </c>
      <c r="L47" s="1322">
        <f ca="1">INDIRECT("'数据-取费表'!d"&amp;$G$1)</f>
        <v>50</v>
      </c>
      <c r="M47" s="1286" t="str">
        <f>IF(ISNUMBER(FIND("住宅",C1)),"住宅","非住宅")</f>
        <v>非住宅</v>
      </c>
      <c r="O47" s="1323" t="s">
        <v>403</v>
      </c>
      <c r="P47" s="1324" t="s">
        <v>817</v>
      </c>
      <c r="Q47" s="1325">
        <f ca="1">C40+J29</f>
        <v>21641</v>
      </c>
      <c r="R47" s="1325" t="s">
        <v>818</v>
      </c>
    </row>
    <row r="48" spans="1:18" s="1290" customFormat="1" ht="28.5" thickBot="1">
      <c r="A48" s="1045" t="s">
        <v>438</v>
      </c>
      <c r="B48" s="292" t="s">
        <v>692</v>
      </c>
      <c r="C48" s="1266">
        <f ca="1">C49+C53+C55</f>
        <v>0</v>
      </c>
      <c r="D48" s="1047"/>
      <c r="E48" s="1048"/>
      <c r="F48" s="906"/>
      <c r="G48" s="681"/>
      <c r="H48" s="682"/>
      <c r="I48" s="1326" t="s">
        <v>819</v>
      </c>
      <c r="J48" s="1327" t="s">
        <v>3402</v>
      </c>
      <c r="K48" s="1328" t="s">
        <v>820</v>
      </c>
      <c r="L48" s="1329">
        <f ca="1">INDIRECT("'数据-取费表'!f"&amp;$G$1)</f>
        <v>31.66</v>
      </c>
      <c r="O48" s="1323" t="s">
        <v>404</v>
      </c>
      <c r="P48" s="1324" t="s">
        <v>821</v>
      </c>
      <c r="Q48" s="1325">
        <f ca="1">J60</f>
        <v>1097</v>
      </c>
      <c r="R48" s="1325" t="s">
        <v>822</v>
      </c>
    </row>
    <row r="49" spans="1:18" s="1290" customFormat="1" ht="13.5" thickBot="1">
      <c r="A49" s="919" t="s">
        <v>439</v>
      </c>
      <c r="B49" s="1277" t="s">
        <v>779</v>
      </c>
      <c r="C49" s="1049">
        <f ca="1">ROUND(F49*F51*F50*(1-F52)/10000,0)</f>
        <v>0</v>
      </c>
      <c r="D49" s="990" t="s">
        <v>2107</v>
      </c>
      <c r="E49" s="1278" t="s">
        <v>780</v>
      </c>
      <c r="F49" s="995"/>
      <c r="H49" s="682"/>
      <c r="I49" s="1326" t="s">
        <v>823</v>
      </c>
      <c r="J49" s="1330">
        <v>2007</v>
      </c>
      <c r="K49" s="1328" t="s">
        <v>824</v>
      </c>
      <c r="L49" s="1331"/>
      <c r="O49" s="1332" t="s">
        <v>405</v>
      </c>
      <c r="P49" s="1324" t="s">
        <v>825</v>
      </c>
      <c r="Q49" s="1325">
        <f ca="1">C29</f>
        <v>27081</v>
      </c>
      <c r="R49" s="1325" t="s">
        <v>818</v>
      </c>
    </row>
    <row r="50" spans="1:18" s="1290" customFormat="1" ht="13.5" thickBot="1">
      <c r="A50" s="920"/>
      <c r="B50" s="923"/>
      <c r="C50" s="1053"/>
      <c r="D50" s="897"/>
      <c r="E50" s="991" t="s">
        <v>697</v>
      </c>
      <c r="F50" s="992">
        <f ca="1">F7</f>
        <v>41922.74</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365</v>
      </c>
      <c r="I51" s="1336" t="s">
        <v>829</v>
      </c>
      <c r="J51" s="1329">
        <f>IF(J49="",J50,J49+J50-YEAR('数据-取费表'!B2))</f>
        <v>43</v>
      </c>
      <c r="K51" s="1337" t="s">
        <v>830</v>
      </c>
      <c r="L51" s="1338">
        <f ca="1">ROUND(-PV(INDIRECT("'数据-取费表'!h"&amp;$G$1),J51,(C39-C13*C76),0),0)</f>
        <v>-3700</v>
      </c>
      <c r="M51" s="1339"/>
      <c r="O51" s="1332" t="s">
        <v>407</v>
      </c>
      <c r="P51" s="1324" t="s">
        <v>831</v>
      </c>
      <c r="Q51" s="1335">
        <f>J52</f>
        <v>7.4999999999999997E-2</v>
      </c>
      <c r="R51" s="1325"/>
    </row>
    <row r="52" spans="1:18" s="1290" customFormat="1" ht="13.5" thickBot="1">
      <c r="A52" s="921"/>
      <c r="B52" s="923"/>
      <c r="C52" s="924"/>
      <c r="D52" s="897"/>
      <c r="E52" s="925" t="s">
        <v>699</v>
      </c>
      <c r="F52" s="989"/>
      <c r="I52" s="1340" t="s">
        <v>832</v>
      </c>
      <c r="J52" s="1341">
        <v>7.4999999999999997E-2</v>
      </c>
      <c r="K52" s="1340" t="s">
        <v>833</v>
      </c>
      <c r="L52" s="1341"/>
      <c r="O52" s="1332" t="s">
        <v>408</v>
      </c>
      <c r="P52" s="1324" t="s">
        <v>834</v>
      </c>
      <c r="Q52" s="1325">
        <f ca="1">J53</f>
        <v>31.66</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2">
        <f ca="1">IF(M47="住宅",IF(D1="——",MAX(J51,L48),MAX(J51,L48-'数据-取费表'!B24)),IF(D1="——",MIN(J51,L48),MIN(J51,L48-'数据-取费表'!B24)))</f>
        <v>31.66</v>
      </c>
      <c r="K53" s="3411" t="s">
        <v>837</v>
      </c>
      <c r="L53" s="3412"/>
      <c r="O53" s="1323" t="s">
        <v>409</v>
      </c>
      <c r="P53" s="1324" t="s">
        <v>838</v>
      </c>
      <c r="Q53" s="1325">
        <f ca="1">Q47+Q48</f>
        <v>22738</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0.189</v>
      </c>
      <c r="K55" s="1348" t="s">
        <v>841</v>
      </c>
      <c r="L55" s="1349"/>
      <c r="O55" s="1316" t="s">
        <v>811</v>
      </c>
      <c r="P55" s="1317" t="s">
        <v>812</v>
      </c>
      <c r="Q55" s="1318" t="s">
        <v>813</v>
      </c>
      <c r="R55" s="1318" t="s">
        <v>814</v>
      </c>
    </row>
    <row r="56" spans="1:18" s="1290" customFormat="1" ht="25.5" thickTop="1" thickBot="1">
      <c r="A56" s="901">
        <v>2</v>
      </c>
      <c r="B56" s="902" t="s">
        <v>704</v>
      </c>
      <c r="C56" s="224">
        <f ca="1">C13</f>
        <v>19498</v>
      </c>
      <c r="D56" s="1350"/>
      <c r="E56" s="1351"/>
      <c r="F56" s="1343"/>
      <c r="I56" s="1352" t="s">
        <v>842</v>
      </c>
      <c r="J56" s="1353" t="s">
        <v>3848</v>
      </c>
      <c r="K56" s="1326" t="s">
        <v>843</v>
      </c>
      <c r="L56" s="1329" t="str">
        <f ca="1">IF(L48&lt;J51,"——",L48-J53)</f>
        <v>——</v>
      </c>
      <c r="O56" s="1323" t="s">
        <v>403</v>
      </c>
      <c r="P56" s="1324" t="s">
        <v>817</v>
      </c>
      <c r="Q56" s="1325">
        <f ca="1">C40+J29</f>
        <v>21641</v>
      </c>
      <c r="R56" s="1325" t="s">
        <v>818</v>
      </c>
    </row>
    <row r="57" spans="1:18" s="1290" customFormat="1" ht="24.75" thickBot="1">
      <c r="A57" s="1354"/>
      <c r="B57" s="894" t="s">
        <v>767</v>
      </c>
      <c r="C57" s="230">
        <f ca="1">C29</f>
        <v>27081</v>
      </c>
      <c r="D57" s="1355"/>
      <c r="E57" s="1356"/>
      <c r="F57" s="1357"/>
      <c r="I57" s="1358" t="s">
        <v>844</v>
      </c>
      <c r="J57" s="1359">
        <f ca="1">IF(OR(M47="住宅",J51&lt;L48,J56="是"),"——",J51-L48)</f>
        <v>11.34</v>
      </c>
      <c r="K57" s="1326" t="s">
        <v>845</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304</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4</v>
      </c>
      <c r="D59" s="907" t="s">
        <v>720</v>
      </c>
      <c r="E59" s="908" t="s">
        <v>721</v>
      </c>
      <c r="F59" s="2135" t="str">
        <f>IF(项目基本情况!B11="企业","——",IF('数据-取费表'!B10="住宅",IF(F49*F50*F51/12/(1+'数据-取费表'!F30)&gt;100000,4%,2.5%),IF(F49*F50*F51/12/(1+'数据-取费表'!F30)&gt;100000,12%,7%)))</f>
        <v>——</v>
      </c>
      <c r="I59" s="1358" t="s">
        <v>851</v>
      </c>
      <c r="J59" s="1359">
        <f ca="1">IF(OR(M47="住宅",J51&lt;L48,J56="是"),"——",ROUND(C29*J58,0))</f>
        <v>10832</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5.5000000000000007E-2</v>
      </c>
      <c r="I60" s="1361" t="s">
        <v>853</v>
      </c>
      <c r="J60" s="1362">
        <f ca="1">IF(OR(M47="住宅",J51&lt;L48,J56="是"),"0",ROUND(J59/(1+J52)^J53,0))</f>
        <v>1097</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IF(项目基本情况!B11="自然人","——",IF(D61="按租金收入计税",ROUND(C49*F61/(1+'数据-取费表'!C42),2),IF(D61="按房产原值计税",ROUND(C57*F61*0.7,2),INDIRECT("'数据-取费表'!Aj"&amp;$G$1))))</f>
        <v>0</v>
      </c>
      <c r="D61" s="1276" t="s">
        <v>3328</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IF(项目基本情况!B11="自然人","——",ROUND(F62*F63/10000,2))</f>
        <v>4.2</v>
      </c>
      <c r="D62" s="909" t="s">
        <v>731</v>
      </c>
      <c r="E62" s="894" t="s">
        <v>732</v>
      </c>
      <c r="F62" s="317">
        <f t="shared" si="0"/>
        <v>1.5</v>
      </c>
      <c r="I62" s="1365" t="s">
        <v>858</v>
      </c>
      <c r="J62" s="610" t="s">
        <v>859</v>
      </c>
      <c r="K62" s="610" t="s">
        <v>860</v>
      </c>
      <c r="L62" s="610" t="s">
        <v>861</v>
      </c>
      <c r="M62" s="1366" t="s">
        <v>862</v>
      </c>
      <c r="O62" s="1323" t="s">
        <v>409</v>
      </c>
      <c r="P62" s="1324" t="s">
        <v>838</v>
      </c>
      <c r="Q62" s="1325">
        <f ca="1">Q56+Q57</f>
        <v>21641</v>
      </c>
      <c r="R62" s="1325" t="s">
        <v>410</v>
      </c>
    </row>
    <row r="63" spans="1:18" s="1290" customFormat="1" ht="13.5" thickBot="1">
      <c r="A63" s="318"/>
      <c r="B63" s="900"/>
      <c r="C63" s="26"/>
      <c r="D63" s="910"/>
      <c r="E63" s="894" t="s">
        <v>736</v>
      </c>
      <c r="F63" s="295">
        <f t="shared" ca="1" si="0"/>
        <v>27987.99</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ROUND(C57*F64,2)</f>
        <v>270.81</v>
      </c>
      <c r="D64" s="908" t="s">
        <v>771</v>
      </c>
      <c r="E64" s="894" t="s">
        <v>712</v>
      </c>
      <c r="F64" s="320">
        <f t="shared" ca="1" si="0"/>
        <v>0.01</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ROUND(C56*F65,2)</f>
        <v>29.25</v>
      </c>
      <c r="D65" s="908" t="s">
        <v>743</v>
      </c>
      <c r="E65" s="894" t="s">
        <v>712</v>
      </c>
      <c r="F65" s="321">
        <f t="shared" ca="1" si="0"/>
        <v>1.5E-3</v>
      </c>
      <c r="I65" s="1365" t="s">
        <v>867</v>
      </c>
      <c r="J65" s="610">
        <v>40</v>
      </c>
      <c r="K65" s="610">
        <v>30</v>
      </c>
      <c r="L65" s="610">
        <v>50</v>
      </c>
      <c r="M65" s="1367">
        <v>0.02</v>
      </c>
      <c r="O65" s="1323" t="s">
        <v>403</v>
      </c>
      <c r="P65" s="1324" t="s">
        <v>817</v>
      </c>
      <c r="Q65" s="1325">
        <f ca="1">C40+J29</f>
        <v>21641</v>
      </c>
      <c r="R65" s="1325" t="s">
        <v>818</v>
      </c>
    </row>
    <row r="66" spans="1:18" s="1290" customFormat="1" ht="16.5" thickBot="1">
      <c r="A66" s="926" t="s">
        <v>793</v>
      </c>
      <c r="B66" s="894" t="s">
        <v>728</v>
      </c>
      <c r="C66" s="21">
        <f ca="1">ROUND(C48*F66,2)</f>
        <v>0</v>
      </c>
      <c r="D66" s="908" t="s">
        <v>748</v>
      </c>
      <c r="E66" s="894" t="s">
        <v>712</v>
      </c>
      <c r="F66" s="304">
        <f t="shared" ca="1" si="0"/>
        <v>0.02</v>
      </c>
      <c r="O66" s="1323" t="s">
        <v>404</v>
      </c>
      <c r="P66" s="1324" t="s">
        <v>846</v>
      </c>
      <c r="Q66" s="1325">
        <f ca="1">L60</f>
        <v>0</v>
      </c>
      <c r="R66" s="1325" t="s">
        <v>869</v>
      </c>
    </row>
    <row r="67" spans="1:18" s="1290" customFormat="1" ht="16.5" thickBot="1">
      <c r="A67" s="901" t="s">
        <v>394</v>
      </c>
      <c r="B67" s="911" t="s">
        <v>752</v>
      </c>
      <c r="C67" s="308">
        <f ca="1">C48-C58</f>
        <v>-304</v>
      </c>
      <c r="D67" s="907" t="s">
        <v>753</v>
      </c>
      <c r="E67" s="912"/>
      <c r="F67" s="913"/>
      <c r="O67" s="1332" t="s">
        <v>405</v>
      </c>
      <c r="P67" s="1324" t="s">
        <v>850</v>
      </c>
      <c r="Q67" s="1368">
        <f ca="1">L51</f>
        <v>-3700</v>
      </c>
      <c r="R67" s="1325" t="s">
        <v>870</v>
      </c>
    </row>
    <row r="68" spans="1:18" s="1290" customFormat="1" ht="16.5" thickBot="1">
      <c r="A68" s="891" t="s">
        <v>395</v>
      </c>
      <c r="B68" s="892" t="s">
        <v>774</v>
      </c>
      <c r="C68" s="293">
        <f ca="1">ROUND(C67*(1-((1+F70)/(1+F68))^F69)/(F68-F70),0)</f>
        <v>-4513</v>
      </c>
      <c r="D68" s="909" t="s">
        <v>758</v>
      </c>
      <c r="E68" s="894" t="s">
        <v>759</v>
      </c>
      <c r="F68" s="304">
        <f ca="1">F40</f>
        <v>5.5E-2</v>
      </c>
      <c r="O68" s="1332" t="s">
        <v>406</v>
      </c>
      <c r="P68" s="1369" t="s">
        <v>871</v>
      </c>
      <c r="Q68" s="1325">
        <f ca="1">ROUND(Q69-Q70*Q71,0)</f>
        <v>-211</v>
      </c>
      <c r="R68" s="1325" t="s">
        <v>414</v>
      </c>
    </row>
    <row r="69" spans="1:18" s="1290" customFormat="1" ht="13.5" thickBot="1">
      <c r="A69" s="895"/>
      <c r="B69" s="896"/>
      <c r="C69" s="298"/>
      <c r="D69" s="914" t="s">
        <v>762</v>
      </c>
      <c r="E69" s="894" t="s">
        <v>763</v>
      </c>
      <c r="F69" s="324">
        <f ca="1">F41</f>
        <v>31.66</v>
      </c>
      <c r="O69" s="1332" t="s">
        <v>411</v>
      </c>
      <c r="P69" s="1369" t="s">
        <v>872</v>
      </c>
      <c r="Q69" s="1325">
        <f ca="1">C39</f>
        <v>1154</v>
      </c>
      <c r="R69" s="1325" t="s">
        <v>818</v>
      </c>
    </row>
    <row r="70" spans="1:18" s="1290" customFormat="1" ht="13.5" thickBot="1">
      <c r="A70" s="898"/>
      <c r="B70" s="899"/>
      <c r="C70" s="302"/>
      <c r="D70" s="910"/>
      <c r="E70" s="894" t="s">
        <v>766</v>
      </c>
      <c r="F70" s="989"/>
      <c r="O70" s="1332" t="s">
        <v>412</v>
      </c>
      <c r="P70" s="1369" t="s">
        <v>873</v>
      </c>
      <c r="Q70" s="1325">
        <f ca="1">C13</f>
        <v>19498</v>
      </c>
      <c r="R70" s="1325" t="s">
        <v>818</v>
      </c>
    </row>
    <row r="71" spans="1:18" s="1290" customFormat="1" ht="13.5" thickBot="1">
      <c r="A71" s="915" t="s">
        <v>396</v>
      </c>
      <c r="B71" s="916" t="s">
        <v>776</v>
      </c>
      <c r="C71" s="327">
        <f ca="1">ROUND(C68*10000/F71,0)</f>
        <v>-1077</v>
      </c>
      <c r="D71" s="917" t="s">
        <v>777</v>
      </c>
      <c r="E71" s="918" t="s">
        <v>778</v>
      </c>
      <c r="F71" s="330">
        <f ca="1">F43</f>
        <v>41922.74</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1365</v>
      </c>
      <c r="D75" s="1290"/>
      <c r="E75" s="1290"/>
      <c r="F75" s="1290"/>
      <c r="K75" s="1307"/>
      <c r="L75" s="1290"/>
      <c r="O75" s="1323" t="s">
        <v>409</v>
      </c>
      <c r="P75" s="1324" t="s">
        <v>838</v>
      </c>
      <c r="Q75" s="1325">
        <f ca="1">Q65+Q66</f>
        <v>21641</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-0.18300000000000005</v>
      </c>
    </row>
    <row r="80" spans="1:18">
      <c r="B80" s="331" t="s">
        <v>800</v>
      </c>
      <c r="C80" s="266">
        <f ca="1">ROUND(C75/C39,3)</f>
        <v>1.1830000000000001</v>
      </c>
    </row>
    <row r="81" spans="2:3">
      <c r="B81" s="262" t="s">
        <v>801</v>
      </c>
      <c r="C81" s="230"/>
    </row>
    <row r="82" spans="2:3">
      <c r="B82" s="265" t="s">
        <v>802</v>
      </c>
      <c r="C82" s="267">
        <f ca="1">1-C83</f>
        <v>9.8999999999999977E-2</v>
      </c>
    </row>
    <row r="83" spans="2:3">
      <c r="B83" s="265" t="s">
        <v>803</v>
      </c>
      <c r="C83" s="266">
        <f ca="1">ROUND(C13/C40,3)</f>
        <v>0.90100000000000002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60" priority="3">
      <formula>$F$10="自定义"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J11">
    <cfRule type="expression" dxfId="57" priority="2">
      <formula>$M$10="自定义"</formula>
    </cfRule>
  </conditionalFormatting>
  <conditionalFormatting sqref="K55 K60">
    <cfRule type="expression" dxfId="56" priority="4">
      <formula>$L$48&gt;$J$51</formula>
    </cfRule>
  </conditionalFormatting>
  <dataValidations count="9">
    <dataValidation type="list" allowBlank="1" showInputMessage="1" showErrorMessage="1" sqref="D1" xr:uid="{6F8E9B2B-833D-4658-87AC-9B2A2BC56627}">
      <formula1>"在建（套用方法）,土地（套用方法）,——"</formula1>
    </dataValidation>
    <dataValidation type="list" allowBlank="1" showInputMessage="1" showErrorMessage="1" sqref="M10 F10 F53" xr:uid="{B17E66CD-6DF3-4055-B143-51523634120F}">
      <formula1>"押一,押二,押三,自定义"</formula1>
    </dataValidation>
    <dataValidation type="list" allowBlank="1" showInputMessage="1" showErrorMessage="1" sqref="L55" xr:uid="{D53D27BA-A54C-4F0C-987B-B4BDB7B7CD9E}">
      <formula1>"比较法,基准地价,收益还原"</formula1>
    </dataValidation>
    <dataValidation type="list" allowBlank="1" showInputMessage="1" showErrorMessage="1" sqref="J56" xr:uid="{EFB0FA53-9446-4762-B5B2-6F04802E655C}">
      <formula1>估价范围判定</formula1>
    </dataValidation>
    <dataValidation type="list" allowBlank="1" showInputMessage="1" showErrorMessage="1" sqref="J48" xr:uid="{08EC1306-5C69-4E7C-854B-3430CB173CBD}">
      <formula1>"非生产用房,生产用房,受腐蚀的生产用房"</formula1>
    </dataValidation>
    <dataValidation type="list" allowBlank="1" showInputMessage="1" showErrorMessage="1" sqref="J47" xr:uid="{7DFEAFF5-032C-41A0-9817-C24AEBB6F21A}">
      <formula1>"钢,钢混,砖混"</formula1>
    </dataValidation>
    <dataValidation type="list" allowBlank="1" showInputMessage="1" showErrorMessage="1" sqref="C1" xr:uid="{7E212B35-F558-4B92-BEF8-423F585FC9EB}">
      <formula1>项目类型</formula1>
    </dataValidation>
    <dataValidation type="list" allowBlank="1" showInputMessage="1" showErrorMessage="1" sqref="D33 D61" xr:uid="{5CF10828-5514-422C-864F-0BD041A486B7}">
      <formula1>"按租金收入计税,按房产原值计税,按票据"</formula1>
    </dataValidation>
    <dataValidation type="list" allowBlank="1" showInputMessage="1" showErrorMessage="1" sqref="K19" xr:uid="{61DBF027-7598-4CC0-95B7-0648325CADB4}">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B7A50-94D5-4FF7-B3CF-F26B5BF703FD}">
  <sheetPr>
    <tabColor theme="2" tint="-0.89999084444715716"/>
  </sheetPr>
  <dimension ref="A1:AK83"/>
  <sheetViews>
    <sheetView view="pageBreakPreview" zoomScale="70" zoomScaleNormal="70" zoomScaleSheetLayoutView="70" workbookViewId="0">
      <selection activeCell="C29" sqref="C2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3852</v>
      </c>
      <c r="D1" s="1269" t="s">
        <v>43</v>
      </c>
      <c r="E1" s="1270" t="s">
        <v>678</v>
      </c>
      <c r="F1" s="997">
        <f ca="1">J53</f>
        <v>31.66</v>
      </c>
      <c r="G1" s="1284">
        <f>MATCH(C1,'数据-取费表'!A6:A16,0)+5</f>
        <v>10</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198</v>
      </c>
      <c r="C2" s="1287" t="s">
        <v>805</v>
      </c>
      <c r="D2" s="1287"/>
      <c r="E2" s="1293"/>
      <c r="F2" s="1294"/>
      <c r="G2" s="2475"/>
      <c r="H2" s="2465"/>
      <c r="I2" s="2465"/>
      <c r="J2" s="2465"/>
      <c r="K2" s="2466"/>
      <c r="L2" s="2465"/>
      <c r="M2" s="2465"/>
    </row>
    <row r="3" spans="1:37" ht="18" customHeight="1" thickBot="1">
      <c r="A3" s="1295" t="s">
        <v>806</v>
      </c>
      <c r="B3" s="1296">
        <f ca="1">IF(ISERROR(B2*10000/F43),0,ROUND(B2*10000/F43,0))</f>
        <v>449</v>
      </c>
      <c r="C3" s="1287" t="s">
        <v>807</v>
      </c>
      <c r="D3" s="1287"/>
      <c r="E3" s="1293"/>
      <c r="F3" s="1294"/>
      <c r="G3" s="2475"/>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41</v>
      </c>
      <c r="D5" s="1271" t="s">
        <v>693</v>
      </c>
      <c r="E5" s="1006"/>
      <c r="F5" s="1007"/>
      <c r="G5" s="1290"/>
      <c r="H5" s="291">
        <v>1</v>
      </c>
      <c r="I5" s="292" t="s">
        <v>692</v>
      </c>
      <c r="J5" s="1005">
        <f ca="1">J6+J10+J12</f>
        <v>0</v>
      </c>
      <c r="K5" s="1271" t="s">
        <v>693</v>
      </c>
      <c r="L5" s="1006"/>
      <c r="M5" s="1007"/>
    </row>
    <row r="6" spans="1:37" ht="18" customHeight="1">
      <c r="A6" s="1004" t="s">
        <v>398</v>
      </c>
      <c r="B6" s="3408" t="s">
        <v>694</v>
      </c>
      <c r="C6" s="1009">
        <f ca="1">ROUND(F6*F8*F7*(1-F9)/10000,0)</f>
        <v>41</v>
      </c>
      <c r="D6" s="147" t="s">
        <v>2108</v>
      </c>
      <c r="E6" s="294" t="s">
        <v>696</v>
      </c>
      <c r="F6" s="295">
        <f ca="1">INDIRECT("'数据-取费表'!u"&amp;$G$1)</f>
        <v>300</v>
      </c>
      <c r="G6" s="1290"/>
      <c r="H6" s="1004" t="s">
        <v>398</v>
      </c>
      <c r="I6" s="3408" t="s">
        <v>694</v>
      </c>
      <c r="J6" s="293">
        <f ca="1">ROUND(M6*M8*M7*(1-M9)/10000,0)</f>
        <v>0</v>
      </c>
      <c r="K6" s="147" t="s">
        <v>2107</v>
      </c>
      <c r="L6" s="294" t="s">
        <v>696</v>
      </c>
      <c r="M6" s="295">
        <f ca="1">INDIRECT("'数据-取费表'!z"&amp;$G$1)</f>
        <v>0</v>
      </c>
    </row>
    <row r="7" spans="1:37" ht="18" customHeight="1">
      <c r="A7" s="1008"/>
      <c r="B7" s="3409"/>
      <c r="C7" s="1010"/>
      <c r="D7" s="299"/>
      <c r="E7" s="1011" t="s">
        <v>697</v>
      </c>
      <c r="F7" s="295">
        <f ca="1">IF(INDIRECT("'数据-取费表'!ah"&amp;$G$1)="",INDIRECT("'数据-取费表'!k"&amp;$G$1),INDIRECT("'数据-取费表'!ah"&amp;$G$1))</f>
        <v>126</v>
      </c>
      <c r="G7" s="1290"/>
      <c r="H7" s="296"/>
      <c r="I7" s="3409"/>
      <c r="J7" s="298"/>
      <c r="K7" s="299"/>
      <c r="L7" s="294" t="s">
        <v>697</v>
      </c>
      <c r="M7" s="295">
        <f ca="1">F7</f>
        <v>126</v>
      </c>
    </row>
    <row r="8" spans="1:37" ht="18" customHeight="1">
      <c r="A8" s="296"/>
      <c r="B8" s="3409"/>
      <c r="C8" s="298"/>
      <c r="D8" s="299"/>
      <c r="E8" s="294" t="s">
        <v>698</v>
      </c>
      <c r="F8" s="295">
        <f ca="1">INDIRECT("'数据-取费表'!ai"&amp;$G$1)</f>
        <v>12</v>
      </c>
      <c r="G8" s="1290"/>
      <c r="H8" s="296"/>
      <c r="I8" s="3409"/>
      <c r="J8" s="298"/>
      <c r="K8" s="299"/>
      <c r="L8" s="294" t="s">
        <v>698</v>
      </c>
      <c r="M8" s="295">
        <f ca="1">INDIRECT("'数据-取费表'!ai"&amp;$G$1)</f>
        <v>12</v>
      </c>
    </row>
    <row r="9" spans="1:37" ht="18" customHeight="1">
      <c r="A9" s="296"/>
      <c r="B9" s="3410"/>
      <c r="C9" s="298"/>
      <c r="D9" s="299"/>
      <c r="E9" s="294" t="s">
        <v>699</v>
      </c>
      <c r="F9" s="304">
        <f ca="1">INDIRECT("'数据-取费表'!w"&amp;$G$1)</f>
        <v>0.1</v>
      </c>
      <c r="G9" s="1290"/>
      <c r="H9" s="296"/>
      <c r="I9" s="3410"/>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t="s">
        <v>3853</v>
      </c>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1839</v>
      </c>
      <c r="D13" s="1016" t="s">
        <v>705</v>
      </c>
      <c r="E13" s="1016" t="s">
        <v>706</v>
      </c>
      <c r="F13" s="1017">
        <f ca="1">INDIRECT("'数据-取费表'!y"&amp;$G$1)</f>
        <v>0.72</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1983</v>
      </c>
      <c r="D14" s="1255" t="s">
        <v>708</v>
      </c>
      <c r="E14" s="1253"/>
      <c r="F14" s="311"/>
      <c r="G14" s="1290"/>
      <c r="H14" s="926" t="s">
        <v>398</v>
      </c>
      <c r="I14" s="294" t="s">
        <v>709</v>
      </c>
      <c r="J14" s="21">
        <f ca="1">C29</f>
        <v>2554</v>
      </c>
      <c r="K14" s="12"/>
      <c r="L14" s="757"/>
      <c r="M14" s="758"/>
    </row>
    <row r="15" spans="1:37" s="1302" customFormat="1" ht="18" customHeight="1" thickBot="1">
      <c r="A15" s="926" t="s">
        <v>399</v>
      </c>
      <c r="B15" s="294" t="s">
        <v>710</v>
      </c>
      <c r="C15" s="21">
        <f ca="1">ROUND(C14*F15,0)</f>
        <v>59</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26</v>
      </c>
      <c r="K16" s="1022" t="s">
        <v>715</v>
      </c>
      <c r="L16" s="1023"/>
      <c r="M16" s="1007"/>
    </row>
    <row r="17" spans="1:37" s="1302" customFormat="1" ht="18" customHeight="1">
      <c r="A17" s="926" t="s">
        <v>681</v>
      </c>
      <c r="B17" s="294" t="s">
        <v>716</v>
      </c>
      <c r="C17" s="21">
        <f ca="1">ROUND(F17*(F43+INDIRECT("'数据-取费表'!S"&amp;$G$1))/10000,0)</f>
        <v>88</v>
      </c>
      <c r="D17" s="294" t="s">
        <v>717</v>
      </c>
      <c r="E17" s="294" t="s">
        <v>718</v>
      </c>
      <c r="F17" s="23">
        <f>'数据-取费表'!B35</f>
        <v>200</v>
      </c>
      <c r="G17" s="1301"/>
      <c r="H17" s="926" t="s">
        <v>398</v>
      </c>
      <c r="I17" s="294" t="s">
        <v>719</v>
      </c>
      <c r="J17" s="2136">
        <f ca="1">ROUND(IF(AND(项目基本情况!B11="自然人",项目基本情况!B10="北京市"),J6*M17/(1+'数据-取费表'!C42),J18+J19+J20),2)</f>
        <v>0.44</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30</v>
      </c>
      <c r="D18" s="294" t="s">
        <v>711</v>
      </c>
      <c r="E18" s="294" t="s">
        <v>712</v>
      </c>
      <c r="F18" s="314">
        <f>'数据-取费表'!B36</f>
        <v>1.4999999999999999E-2</v>
      </c>
      <c r="G18" s="1301"/>
      <c r="H18" s="926" t="s">
        <v>397</v>
      </c>
      <c r="I18" s="294" t="s">
        <v>723</v>
      </c>
      <c r="J18" s="21">
        <f ca="1">ROUND(J6*M18/(1+'数据-取费表'!C42),2)</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2160</v>
      </c>
      <c r="D19" s="123" t="s">
        <v>726</v>
      </c>
      <c r="E19" s="1267"/>
      <c r="F19" s="23"/>
      <c r="G19" s="1290"/>
      <c r="H19" s="926" t="s">
        <v>399</v>
      </c>
      <c r="I19" s="294" t="s">
        <v>727</v>
      </c>
      <c r="J19" s="21">
        <f ca="1">IF(K19="按租金收入计税",ROUND(J6*M19/(1+'数据-取费表'!C42),2),ROUND(C29*M19*0.7,2))</f>
        <v>0</v>
      </c>
      <c r="K19" s="1276" t="s">
        <v>3328</v>
      </c>
      <c r="L19" s="294" t="s">
        <v>712</v>
      </c>
      <c r="M19" s="314">
        <f>IF(K19="按租金收入计税",'数据-取费表'!B51,'数据-取费表'!B50)</f>
        <v>0.12</v>
      </c>
    </row>
    <row r="20" spans="1:37" s="1302" customFormat="1" ht="18" customHeight="1">
      <c r="A20" s="926" t="s">
        <v>402</v>
      </c>
      <c r="B20" s="294" t="s">
        <v>728</v>
      </c>
      <c r="C20" s="21">
        <f ca="1">ROUND(C19*F20,0)</f>
        <v>43</v>
      </c>
      <c r="D20" s="315" t="s">
        <v>729</v>
      </c>
      <c r="E20" s="294" t="s">
        <v>712</v>
      </c>
      <c r="F20" s="314">
        <f>'数据-取费表'!B37</f>
        <v>0.02</v>
      </c>
      <c r="G20" s="1301"/>
      <c r="H20" s="926" t="s">
        <v>680</v>
      </c>
      <c r="I20" s="147" t="s">
        <v>730</v>
      </c>
      <c r="J20" s="22">
        <f ca="1">ROUND(M20*M21/10000,2)</f>
        <v>0.44</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2942.34</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25.54</v>
      </c>
      <c r="K22" s="1254" t="s">
        <v>739</v>
      </c>
      <c r="L22" s="294" t="s">
        <v>712</v>
      </c>
      <c r="M22" s="320">
        <f ca="1">INDIRECT("'数据-取费表'!Ak"&amp;$G$1)</f>
        <v>0.01</v>
      </c>
    </row>
    <row r="23" spans="1:37" s="1302" customFormat="1" ht="18" customHeight="1">
      <c r="A23" s="926" t="s">
        <v>397</v>
      </c>
      <c r="B23" s="294" t="s">
        <v>740</v>
      </c>
      <c r="C23" s="21">
        <f ca="1">IF('数据-取费表'!B22&lt;=1,ROUND(C19*F24*F23/2,0)+ROUND(C20*F24*F23/2,0),ROUND(C19*(POWER((1+F24),F23/2)-1),0)+ROUND(C20*(POWER((1+F24),F23/2)-1),0))</f>
        <v>96</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ROUND(J13*M23,2)</f>
        <v>0</v>
      </c>
      <c r="K23" s="1254" t="s">
        <v>743</v>
      </c>
      <c r="L23" s="294" t="s">
        <v>712</v>
      </c>
      <c r="M23" s="321">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3.4500000000000003E-2</v>
      </c>
      <c r="G24" s="1301"/>
      <c r="H24" s="1024" t="s">
        <v>683</v>
      </c>
      <c r="I24" s="1025" t="s">
        <v>728</v>
      </c>
      <c r="J24" s="1026">
        <f ca="1">ROUND(J5*M24,2)</f>
        <v>0</v>
      </c>
      <c r="K24" s="1027" t="s">
        <v>748</v>
      </c>
      <c r="L24" s="1025" t="s">
        <v>712</v>
      </c>
      <c r="M24" s="1021">
        <f ca="1">INDIRECT("'数据-取费表'!Am"&amp;$G$1)</f>
        <v>0.02</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-26</v>
      </c>
      <c r="K25" s="1030" t="s">
        <v>753</v>
      </c>
      <c r="L25" s="1031"/>
      <c r="M25" s="1032"/>
    </row>
    <row r="26" spans="1:37">
      <c r="A26" s="926" t="s">
        <v>397</v>
      </c>
      <c r="B26" s="294" t="s">
        <v>754</v>
      </c>
      <c r="C26" s="21">
        <f ca="1">ROUND((C19+C20)*F26,0)</f>
        <v>66</v>
      </c>
      <c r="D26" s="315" t="s">
        <v>755</v>
      </c>
      <c r="E26" s="305" t="s">
        <v>756</v>
      </c>
      <c r="F26" s="304">
        <f ca="1">INDIRECT("'数据-取费表'!q"&amp;$G$1)</f>
        <v>0.03</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5.9999999999999995E-4</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2554</v>
      </c>
      <c r="D29" s="1027"/>
      <c r="E29" s="1025"/>
      <c r="F29" s="1028"/>
      <c r="G29" s="1301"/>
      <c r="H29" s="325" t="s">
        <v>396</v>
      </c>
      <c r="I29" s="326" t="s">
        <v>768</v>
      </c>
      <c r="J29" s="327">
        <f ca="1">ROUND(J26/(1+F40)^F41,0)</f>
        <v>0</v>
      </c>
      <c r="K29" s="328" t="s">
        <v>769</v>
      </c>
      <c r="L29" s="329"/>
      <c r="M29" s="330">
        <f ca="1">INDIRECT("'数据-取费表'!k"&amp;$G$1)</f>
        <v>4407.28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36</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ROUND(IF(AND(项目基本情况!B11="自然人",项目基本情况!B10="北京市"),C6*F31/(1+'数据-取费表'!C42),C32+C33+C34),2)</f>
        <v>7.28</v>
      </c>
      <c r="D31" s="1255" t="s">
        <v>720</v>
      </c>
      <c r="E31" s="1254" t="s">
        <v>770</v>
      </c>
      <c r="F31" s="2135" t="str">
        <f>IF(项目基本情况!B11="企业","——",IF(M47="住宅",IF(F6*F7*F8/12/(1+'数据-取费表'!F30)&gt;100000,4%,2.5%),IF(F6*F7*F8/12/(1+'数据-取费表'!F30)&gt;100000,12%,7%)))</f>
        <v>——</v>
      </c>
      <c r="G31" s="1290"/>
      <c r="H31" s="2566" t="s">
        <v>2298</v>
      </c>
      <c r="I31" s="1303"/>
      <c r="J31" s="1304"/>
      <c r="K31" s="121"/>
      <c r="L31" s="2468"/>
      <c r="M31" s="2469"/>
    </row>
    <row r="32" spans="1:37" ht="18" customHeight="1">
      <c r="A32" s="926" t="s">
        <v>397</v>
      </c>
      <c r="B32" s="294" t="s">
        <v>723</v>
      </c>
      <c r="C32" s="21">
        <f ca="1">IF(项目基本情况!B11="自然人","——",ROUND(C6*F32/(1+'数据-取费表'!C42),2))</f>
        <v>2.15</v>
      </c>
      <c r="D32" s="1254" t="s">
        <v>724</v>
      </c>
      <c r="E32" s="294" t="s">
        <v>712</v>
      </c>
      <c r="F32" s="322">
        <f>'数据-取费表'!B41</f>
        <v>5.5000000000000007E-2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4.6900000000000004</v>
      </c>
      <c r="D33" s="1276" t="s">
        <v>3328</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IF(项目基本情况!B11="自然人","——",ROUND(F34*F35/10000,2))</f>
        <v>0.44</v>
      </c>
      <c r="D34" s="316" t="s">
        <v>731</v>
      </c>
      <c r="E34" s="294" t="s">
        <v>732</v>
      </c>
      <c r="F34" s="317">
        <f>'数据-取费表'!B52</f>
        <v>1.5</v>
      </c>
      <c r="G34" s="1290"/>
      <c r="H34" s="2467"/>
      <c r="I34" s="1303"/>
      <c r="J34" s="1304"/>
      <c r="K34" s="2472"/>
      <c r="L34" s="2473"/>
      <c r="M34" s="2473"/>
    </row>
    <row r="35" spans="1:18" ht="18" customHeight="1">
      <c r="A35" s="1038"/>
      <c r="B35" s="1036"/>
      <c r="C35" s="26"/>
      <c r="D35" s="319"/>
      <c r="E35" s="294" t="s">
        <v>736</v>
      </c>
      <c r="F35" s="295">
        <f ca="1">INDIRECT("'数据-取费表'!r"&amp;$G$1)</f>
        <v>2942.34</v>
      </c>
      <c r="G35" s="1290"/>
      <c r="H35" s="2467"/>
      <c r="I35" s="1303"/>
      <c r="J35" s="1304"/>
      <c r="K35" s="2471"/>
      <c r="L35" s="2470"/>
      <c r="M35" s="2470"/>
    </row>
    <row r="36" spans="1:18" ht="18" customHeight="1">
      <c r="A36" s="1037" t="s">
        <v>402</v>
      </c>
      <c r="B36" s="294" t="s">
        <v>738</v>
      </c>
      <c r="C36" s="21">
        <f ca="1">ROUND(C29*F36,2)</f>
        <v>25.54</v>
      </c>
      <c r="D36" s="1254" t="s">
        <v>771</v>
      </c>
      <c r="E36" s="294" t="s">
        <v>712</v>
      </c>
      <c r="F36" s="320">
        <f ca="1">INDIRECT("'数据-取费表'!Ak"&amp;$G$1)</f>
        <v>0.01</v>
      </c>
      <c r="G36" s="1290"/>
      <c r="H36" s="2470"/>
      <c r="I36" s="1303"/>
      <c r="J36" s="1304"/>
      <c r="K36" s="2327"/>
      <c r="L36" s="2470"/>
      <c r="M36" s="2470"/>
    </row>
    <row r="37" spans="1:18" ht="18" customHeight="1">
      <c r="A37" s="926" t="s">
        <v>437</v>
      </c>
      <c r="B37" s="294" t="s">
        <v>742</v>
      </c>
      <c r="C37" s="21">
        <f ca="1">ROUND(C13*F37,2)</f>
        <v>2.76</v>
      </c>
      <c r="D37" s="1254" t="s">
        <v>743</v>
      </c>
      <c r="E37" s="294" t="s">
        <v>712</v>
      </c>
      <c r="F37" s="321">
        <f ca="1">INDIRECT("'数据-取费表'!Al"&amp;$G$1)</f>
        <v>1.5E-3</v>
      </c>
      <c r="G37" s="1290"/>
      <c r="H37" s="2470"/>
      <c r="I37" s="1303"/>
      <c r="J37" s="1304"/>
      <c r="K37" s="2327"/>
      <c r="L37" s="2470"/>
      <c r="M37" s="2470"/>
    </row>
    <row r="38" spans="1:18" ht="18" customHeight="1" thickBot="1">
      <c r="A38" s="1024" t="s">
        <v>683</v>
      </c>
      <c r="B38" s="1025" t="s">
        <v>728</v>
      </c>
      <c r="C38" s="1026">
        <f ca="1">ROUND(C5*F38,2)</f>
        <v>0.82</v>
      </c>
      <c r="D38" s="1027" t="s">
        <v>748</v>
      </c>
      <c r="E38" s="1025" t="s">
        <v>712</v>
      </c>
      <c r="F38" s="1021">
        <f ca="1">INDIRECT("'数据-取费表'!Am"&amp;$G$1)</f>
        <v>0.02</v>
      </c>
      <c r="G38" s="1290"/>
      <c r="H38" s="2470"/>
      <c r="I38" s="1303"/>
      <c r="J38" s="1304"/>
      <c r="K38" s="2468"/>
      <c r="L38" s="2470"/>
      <c r="M38" s="2470"/>
    </row>
    <row r="39" spans="1:18" ht="24.6" customHeight="1" thickTop="1">
      <c r="A39" s="1014" t="s">
        <v>394</v>
      </c>
      <c r="B39" s="1029" t="s">
        <v>752</v>
      </c>
      <c r="C39" s="302">
        <f ca="1">C5-C30</f>
        <v>5</v>
      </c>
      <c r="D39" s="1030" t="s">
        <v>753</v>
      </c>
      <c r="E39" s="1031"/>
      <c r="F39" s="1032"/>
      <c r="G39" s="1290"/>
      <c r="H39" s="2470"/>
      <c r="I39" s="1303"/>
      <c r="J39" s="1304"/>
      <c r="K39" s="2468"/>
      <c r="L39" s="2470"/>
      <c r="M39" s="2470"/>
    </row>
    <row r="40" spans="1:18" ht="18" customHeight="1">
      <c r="A40" s="291" t="s">
        <v>395</v>
      </c>
      <c r="B40" s="292" t="s">
        <v>774</v>
      </c>
      <c r="C40" s="293">
        <f ca="1">ROUND(C39*(1-((1+F42)/(1+F40))^F41)/(F40-F42),0)</f>
        <v>94</v>
      </c>
      <c r="D40" s="316" t="s">
        <v>758</v>
      </c>
      <c r="E40" s="294" t="s">
        <v>759</v>
      </c>
      <c r="F40" s="304">
        <f ca="1">INDIRECT("'数据-取费表'!I"&amp;$G$1)</f>
        <v>5.5E-2</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31.66</v>
      </c>
      <c r="G41" s="1290"/>
      <c r="H41" s="121"/>
      <c r="I41" s="1303"/>
      <c r="J41" s="1304"/>
      <c r="K41" s="2327"/>
      <c r="L41" s="121"/>
      <c r="M41" s="121"/>
    </row>
    <row r="42" spans="1:18" ht="18" customHeight="1">
      <c r="A42" s="300"/>
      <c r="B42" s="301"/>
      <c r="C42" s="302"/>
      <c r="D42" s="319"/>
      <c r="E42" s="294" t="s">
        <v>766</v>
      </c>
      <c r="F42" s="304">
        <f ca="1">INDIRECT("'数据-取费表'!v"&amp;$G$1)</f>
        <v>0.02</v>
      </c>
      <c r="G42" s="1290"/>
      <c r="H42" s="121"/>
      <c r="I42" s="1303"/>
      <c r="J42" s="1304"/>
      <c r="K42" s="2327"/>
      <c r="L42" s="121"/>
      <c r="M42" s="121"/>
    </row>
    <row r="43" spans="1:18" ht="18" customHeight="1" thickBot="1">
      <c r="A43" s="325" t="s">
        <v>396</v>
      </c>
      <c r="B43" s="326" t="s">
        <v>776</v>
      </c>
      <c r="C43" s="327">
        <f ca="1">ROUND(C40*10000/F43,0)</f>
        <v>213</v>
      </c>
      <c r="D43" s="328" t="s">
        <v>777</v>
      </c>
      <c r="E43" s="329" t="s">
        <v>778</v>
      </c>
      <c r="F43" s="330">
        <f ca="1">INDIRECT("'数据-取费表'!k"&amp;$G$1)</f>
        <v>4407.28</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4" t="s">
        <v>808</v>
      </c>
      <c r="P45" s="1364"/>
      <c r="Q45" s="1364"/>
      <c r="R45" s="1364"/>
    </row>
    <row r="46" spans="1:18" s="1290" customFormat="1" ht="13.5" thickBot="1">
      <c r="A46" s="1309" t="s">
        <v>809</v>
      </c>
      <c r="C46" s="1310">
        <f ca="1">C68-C40</f>
        <v>-510</v>
      </c>
      <c r="D46" s="1311" t="str">
        <f>C2</f>
        <v>万元</v>
      </c>
      <c r="E46" s="1305"/>
      <c r="F46" s="1305"/>
      <c r="I46" s="1312" t="s">
        <v>810</v>
      </c>
      <c r="J46" s="1313"/>
      <c r="K46" s="1314"/>
      <c r="L46" s="1315">
        <f ca="1">IF(M47="住宅",0,IF(L48&gt;J51,L60,J60))</f>
        <v>104</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t="s">
        <v>3846</v>
      </c>
      <c r="K47" s="1321" t="s">
        <v>816</v>
      </c>
      <c r="L47" s="1322">
        <f ca="1">INDIRECT("'数据-取费表'!d"&amp;$G$1)</f>
        <v>50</v>
      </c>
      <c r="M47" s="1286" t="str">
        <f>IF(ISNUMBER(FIND("住宅",C1)),"住宅","非住宅")</f>
        <v>非住宅</v>
      </c>
      <c r="O47" s="1323" t="s">
        <v>403</v>
      </c>
      <c r="P47" s="1324" t="s">
        <v>817</v>
      </c>
      <c r="Q47" s="1325">
        <f ca="1">C40+J29</f>
        <v>94</v>
      </c>
      <c r="R47" s="1325" t="s">
        <v>818</v>
      </c>
    </row>
    <row r="48" spans="1:18" s="1290" customFormat="1" ht="28.5" thickBot="1">
      <c r="A48" s="1045" t="s">
        <v>438</v>
      </c>
      <c r="B48" s="292" t="s">
        <v>692</v>
      </c>
      <c r="C48" s="1266">
        <f ca="1">C49+C53+C55</f>
        <v>0</v>
      </c>
      <c r="D48" s="1047"/>
      <c r="E48" s="1048"/>
      <c r="F48" s="906"/>
      <c r="G48" s="681"/>
      <c r="H48" s="682"/>
      <c r="I48" s="1326" t="s">
        <v>819</v>
      </c>
      <c r="J48" s="1327" t="s">
        <v>3402</v>
      </c>
      <c r="K48" s="1328" t="s">
        <v>820</v>
      </c>
      <c r="L48" s="1329">
        <f ca="1">INDIRECT("'数据-取费表'!f"&amp;$G$1)</f>
        <v>31.66</v>
      </c>
      <c r="O48" s="1323" t="s">
        <v>404</v>
      </c>
      <c r="P48" s="1324" t="s">
        <v>821</v>
      </c>
      <c r="Q48" s="1325">
        <f ca="1">J60</f>
        <v>104</v>
      </c>
      <c r="R48" s="1325" t="s">
        <v>822</v>
      </c>
    </row>
    <row r="49" spans="1:18" s="1290" customFormat="1" ht="13.5" thickBot="1">
      <c r="A49" s="919" t="s">
        <v>439</v>
      </c>
      <c r="B49" s="1277" t="s">
        <v>779</v>
      </c>
      <c r="C49" s="1049">
        <f ca="1">ROUND(F49*F51*F50*(1-F52)/10000,0)</f>
        <v>0</v>
      </c>
      <c r="D49" s="990" t="s">
        <v>2107</v>
      </c>
      <c r="E49" s="1278" t="s">
        <v>780</v>
      </c>
      <c r="F49" s="995"/>
      <c r="H49" s="682"/>
      <c r="I49" s="1326" t="s">
        <v>823</v>
      </c>
      <c r="J49" s="1330">
        <v>2007</v>
      </c>
      <c r="K49" s="1328" t="s">
        <v>824</v>
      </c>
      <c r="L49" s="1331"/>
      <c r="O49" s="1332" t="s">
        <v>405</v>
      </c>
      <c r="P49" s="1324" t="s">
        <v>825</v>
      </c>
      <c r="Q49" s="1325">
        <f ca="1">C29</f>
        <v>2554</v>
      </c>
      <c r="R49" s="1325" t="s">
        <v>818</v>
      </c>
    </row>
    <row r="50" spans="1:18" s="1290" customFormat="1" ht="13.5" thickBot="1">
      <c r="A50" s="920"/>
      <c r="B50" s="923"/>
      <c r="C50" s="1053"/>
      <c r="D50" s="897"/>
      <c r="E50" s="991" t="s">
        <v>697</v>
      </c>
      <c r="F50" s="992">
        <f ca="1">F7</f>
        <v>126</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12</v>
      </c>
      <c r="I51" s="1336" t="s">
        <v>829</v>
      </c>
      <c r="J51" s="1329">
        <f>IF(J49="",J50,J49+J50-YEAR('数据-取费表'!B2))</f>
        <v>43</v>
      </c>
      <c r="K51" s="1337" t="s">
        <v>830</v>
      </c>
      <c r="L51" s="1338">
        <f ca="1">ROUND(-PV(INDIRECT("'数据-取费表'!h"&amp;$G$1),J51,(C39-C13*C76),0),0)</f>
        <v>-2171</v>
      </c>
      <c r="M51" s="1339"/>
      <c r="O51" s="1332" t="s">
        <v>407</v>
      </c>
      <c r="P51" s="1324" t="s">
        <v>831</v>
      </c>
      <c r="Q51" s="1335">
        <f>J52</f>
        <v>7.4999999999999997E-2</v>
      </c>
      <c r="R51" s="1325"/>
    </row>
    <row r="52" spans="1:18" s="1290" customFormat="1" ht="13.5" thickBot="1">
      <c r="A52" s="921"/>
      <c r="B52" s="923"/>
      <c r="C52" s="924"/>
      <c r="D52" s="897"/>
      <c r="E52" s="925" t="s">
        <v>699</v>
      </c>
      <c r="F52" s="989"/>
      <c r="I52" s="1340" t="s">
        <v>832</v>
      </c>
      <c r="J52" s="1341">
        <v>7.4999999999999997E-2</v>
      </c>
      <c r="K52" s="1340" t="s">
        <v>833</v>
      </c>
      <c r="L52" s="1341"/>
      <c r="O52" s="1332" t="s">
        <v>408</v>
      </c>
      <c r="P52" s="1324" t="s">
        <v>834</v>
      </c>
      <c r="Q52" s="1325">
        <f ca="1">J53</f>
        <v>31.66</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2">
        <f ca="1">IF(M47="住宅",IF(D1="——",MAX(J51,L48),MAX(J51,L48-'数据-取费表'!B24)),IF(D1="——",MIN(J51,L48),MIN(J51,L48-'数据-取费表'!B24)))</f>
        <v>31.66</v>
      </c>
      <c r="K53" s="3411" t="s">
        <v>837</v>
      </c>
      <c r="L53" s="3412"/>
      <c r="O53" s="1323" t="s">
        <v>409</v>
      </c>
      <c r="P53" s="1324" t="s">
        <v>838</v>
      </c>
      <c r="Q53" s="1325">
        <f ca="1">Q47+Q48</f>
        <v>198</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0.189</v>
      </c>
      <c r="K55" s="1348" t="s">
        <v>841</v>
      </c>
      <c r="L55" s="1349"/>
      <c r="O55" s="1316" t="s">
        <v>811</v>
      </c>
      <c r="P55" s="1317" t="s">
        <v>812</v>
      </c>
      <c r="Q55" s="1318" t="s">
        <v>813</v>
      </c>
      <c r="R55" s="1318" t="s">
        <v>814</v>
      </c>
    </row>
    <row r="56" spans="1:18" s="1290" customFormat="1" ht="25.5" thickTop="1" thickBot="1">
      <c r="A56" s="901">
        <v>2</v>
      </c>
      <c r="B56" s="902" t="s">
        <v>704</v>
      </c>
      <c r="C56" s="224">
        <f ca="1">C13</f>
        <v>1839</v>
      </c>
      <c r="D56" s="1350"/>
      <c r="E56" s="1351"/>
      <c r="F56" s="1343"/>
      <c r="I56" s="1352" t="s">
        <v>842</v>
      </c>
      <c r="J56" s="1353" t="s">
        <v>3848</v>
      </c>
      <c r="K56" s="1326" t="s">
        <v>843</v>
      </c>
      <c r="L56" s="1329" t="str">
        <f ca="1">IF(L48&lt;J51,"——",L48-J53)</f>
        <v>——</v>
      </c>
      <c r="O56" s="1323" t="s">
        <v>403</v>
      </c>
      <c r="P56" s="1324" t="s">
        <v>817</v>
      </c>
      <c r="Q56" s="1325">
        <f ca="1">C40+J29</f>
        <v>94</v>
      </c>
      <c r="R56" s="1325" t="s">
        <v>818</v>
      </c>
    </row>
    <row r="57" spans="1:18" s="1290" customFormat="1" ht="24.75" thickBot="1">
      <c r="A57" s="1354"/>
      <c r="B57" s="894" t="s">
        <v>767</v>
      </c>
      <c r="C57" s="230">
        <f ca="1">C29</f>
        <v>2554</v>
      </c>
      <c r="D57" s="1355"/>
      <c r="E57" s="1356"/>
      <c r="F57" s="1357"/>
      <c r="I57" s="1358" t="s">
        <v>844</v>
      </c>
      <c r="J57" s="1359">
        <f ca="1">IF(OR(M47="住宅",J51&lt;L48,J56="是"),"——",J51-L48)</f>
        <v>11.34</v>
      </c>
      <c r="K57" s="1326" t="s">
        <v>845</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28</v>
      </c>
      <c r="D58" s="904" t="s">
        <v>715</v>
      </c>
      <c r="E58" s="905"/>
      <c r="F58" s="906"/>
      <c r="I58" s="1358" t="s">
        <v>848</v>
      </c>
      <c r="J58" s="1360">
        <f ca="1">IF(J55&lt;0.4,0.4,J55)</f>
        <v>0.4</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f ca="1">IF(OR(M47="住宅",J51&lt;L48,J56="是"),"——",ROUND(C29*J58,0))</f>
        <v>1022</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5.5000000000000007E-2</v>
      </c>
      <c r="I60" s="1361" t="s">
        <v>853</v>
      </c>
      <c r="J60" s="1362">
        <f ca="1">IF(OR(M47="住宅",J51&lt;L48,J56="是"),"0",ROUND(J59/(1+J52)^J53,0))</f>
        <v>104</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IF(项目基本情况!B11="自然人","——",IF(D61="按租金收入计税",ROUND(C49*F61/(1+'数据-取费表'!C42),2),IF(D61="按房产原值计税",ROUND(C57*F61*0.7,2),INDIRECT("'数据-取费表'!Aj"&amp;$G$1))))</f>
        <v>0</v>
      </c>
      <c r="D61" s="1276" t="s">
        <v>3328</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IF(项目基本情况!B11="自然人","——",ROUND(F62*F63/10000,2))</f>
        <v>0.44</v>
      </c>
      <c r="D62" s="909" t="s">
        <v>731</v>
      </c>
      <c r="E62" s="894" t="s">
        <v>732</v>
      </c>
      <c r="F62" s="317">
        <f t="shared" si="0"/>
        <v>1.5</v>
      </c>
      <c r="I62" s="1365" t="s">
        <v>858</v>
      </c>
      <c r="J62" s="610" t="s">
        <v>859</v>
      </c>
      <c r="K62" s="610" t="s">
        <v>860</v>
      </c>
      <c r="L62" s="610" t="s">
        <v>861</v>
      </c>
      <c r="M62" s="1366" t="s">
        <v>862</v>
      </c>
      <c r="O62" s="1323" t="s">
        <v>409</v>
      </c>
      <c r="P62" s="1324" t="s">
        <v>838</v>
      </c>
      <c r="Q62" s="1325">
        <f ca="1">Q56+Q57</f>
        <v>94</v>
      </c>
      <c r="R62" s="1325" t="s">
        <v>410</v>
      </c>
    </row>
    <row r="63" spans="1:18" s="1290" customFormat="1" ht="13.5" thickBot="1">
      <c r="A63" s="318"/>
      <c r="B63" s="900"/>
      <c r="C63" s="26"/>
      <c r="D63" s="910"/>
      <c r="E63" s="894" t="s">
        <v>736</v>
      </c>
      <c r="F63" s="295">
        <f t="shared" ca="1" si="0"/>
        <v>2942.34</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ROUND(C57*F64,2)</f>
        <v>25.54</v>
      </c>
      <c r="D64" s="908" t="s">
        <v>771</v>
      </c>
      <c r="E64" s="894" t="s">
        <v>712</v>
      </c>
      <c r="F64" s="320">
        <f t="shared" ca="1" si="0"/>
        <v>0.01</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ROUND(C56*F65,2)</f>
        <v>2.76</v>
      </c>
      <c r="D65" s="908" t="s">
        <v>743</v>
      </c>
      <c r="E65" s="894" t="s">
        <v>712</v>
      </c>
      <c r="F65" s="321">
        <f t="shared" ca="1" si="0"/>
        <v>1.5E-3</v>
      </c>
      <c r="I65" s="1365" t="s">
        <v>867</v>
      </c>
      <c r="J65" s="610">
        <v>40</v>
      </c>
      <c r="K65" s="610">
        <v>30</v>
      </c>
      <c r="L65" s="610">
        <v>50</v>
      </c>
      <c r="M65" s="1367">
        <v>0.02</v>
      </c>
      <c r="O65" s="1323" t="s">
        <v>403</v>
      </c>
      <c r="P65" s="1324" t="s">
        <v>817</v>
      </c>
      <c r="Q65" s="1325">
        <f ca="1">C40+J29</f>
        <v>94</v>
      </c>
      <c r="R65" s="1325" t="s">
        <v>818</v>
      </c>
    </row>
    <row r="66" spans="1:18" s="1290" customFormat="1" ht="16.5" thickBot="1">
      <c r="A66" s="926" t="s">
        <v>793</v>
      </c>
      <c r="B66" s="894" t="s">
        <v>728</v>
      </c>
      <c r="C66" s="21">
        <f ca="1">ROUND(C48*F66,2)</f>
        <v>0</v>
      </c>
      <c r="D66" s="908" t="s">
        <v>748</v>
      </c>
      <c r="E66" s="894" t="s">
        <v>712</v>
      </c>
      <c r="F66" s="304">
        <f t="shared" ca="1" si="0"/>
        <v>0.02</v>
      </c>
      <c r="O66" s="1323" t="s">
        <v>404</v>
      </c>
      <c r="P66" s="1324" t="s">
        <v>846</v>
      </c>
      <c r="Q66" s="1325">
        <f ca="1">L60</f>
        <v>0</v>
      </c>
      <c r="R66" s="1325" t="s">
        <v>869</v>
      </c>
    </row>
    <row r="67" spans="1:18" s="1290" customFormat="1" ht="16.5" thickBot="1">
      <c r="A67" s="901" t="s">
        <v>394</v>
      </c>
      <c r="B67" s="911" t="s">
        <v>752</v>
      </c>
      <c r="C67" s="308">
        <f ca="1">C48-C58</f>
        <v>-28</v>
      </c>
      <c r="D67" s="907" t="s">
        <v>753</v>
      </c>
      <c r="E67" s="912"/>
      <c r="F67" s="913"/>
      <c r="O67" s="1332" t="s">
        <v>405</v>
      </c>
      <c r="P67" s="1324" t="s">
        <v>850</v>
      </c>
      <c r="Q67" s="1368">
        <f ca="1">L51</f>
        <v>-2171</v>
      </c>
      <c r="R67" s="1325" t="s">
        <v>870</v>
      </c>
    </row>
    <row r="68" spans="1:18" s="1290" customFormat="1" ht="16.5" thickBot="1">
      <c r="A68" s="891" t="s">
        <v>395</v>
      </c>
      <c r="B68" s="892" t="s">
        <v>774</v>
      </c>
      <c r="C68" s="293">
        <f ca="1">ROUND(C67*(1-((1+F70)/(1+F68))^F69)/(F68-F70),0)</f>
        <v>-416</v>
      </c>
      <c r="D68" s="909" t="s">
        <v>758</v>
      </c>
      <c r="E68" s="894" t="s">
        <v>759</v>
      </c>
      <c r="F68" s="304">
        <f ca="1">F40</f>
        <v>5.5E-2</v>
      </c>
      <c r="O68" s="1332" t="s">
        <v>406</v>
      </c>
      <c r="P68" s="1369" t="s">
        <v>871</v>
      </c>
      <c r="Q68" s="1325">
        <f ca="1">ROUND(Q69-Q70*Q71,0)</f>
        <v>-124</v>
      </c>
      <c r="R68" s="1325" t="s">
        <v>414</v>
      </c>
    </row>
    <row r="69" spans="1:18" s="1290" customFormat="1" ht="13.5" thickBot="1">
      <c r="A69" s="895"/>
      <c r="B69" s="896"/>
      <c r="C69" s="298"/>
      <c r="D69" s="914" t="s">
        <v>762</v>
      </c>
      <c r="E69" s="894" t="s">
        <v>763</v>
      </c>
      <c r="F69" s="324">
        <f ca="1">F41</f>
        <v>31.66</v>
      </c>
      <c r="O69" s="1332" t="s">
        <v>411</v>
      </c>
      <c r="P69" s="1369" t="s">
        <v>872</v>
      </c>
      <c r="Q69" s="1325">
        <f ca="1">C39</f>
        <v>5</v>
      </c>
      <c r="R69" s="1325" t="s">
        <v>818</v>
      </c>
    </row>
    <row r="70" spans="1:18" s="1290" customFormat="1" ht="13.5" thickBot="1">
      <c r="A70" s="898"/>
      <c r="B70" s="899"/>
      <c r="C70" s="302"/>
      <c r="D70" s="910"/>
      <c r="E70" s="894" t="s">
        <v>766</v>
      </c>
      <c r="F70" s="989"/>
      <c r="O70" s="1332" t="s">
        <v>412</v>
      </c>
      <c r="P70" s="1369" t="s">
        <v>873</v>
      </c>
      <c r="Q70" s="1325">
        <f ca="1">C13</f>
        <v>1839</v>
      </c>
      <c r="R70" s="1325" t="s">
        <v>818</v>
      </c>
    </row>
    <row r="71" spans="1:18" s="1290" customFormat="1" ht="13.5" thickBot="1">
      <c r="A71" s="915" t="s">
        <v>396</v>
      </c>
      <c r="B71" s="916" t="s">
        <v>776</v>
      </c>
      <c r="C71" s="327">
        <f ca="1">ROUND(C68*10000/F71,0)</f>
        <v>-944</v>
      </c>
      <c r="D71" s="917" t="s">
        <v>777</v>
      </c>
      <c r="E71" s="918" t="s">
        <v>778</v>
      </c>
      <c r="F71" s="330">
        <f ca="1">F43</f>
        <v>4407.28</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129</v>
      </c>
      <c r="D75" s="1290"/>
      <c r="E75" s="1290"/>
      <c r="F75" s="1290"/>
      <c r="K75" s="1307"/>
      <c r="L75" s="1290"/>
      <c r="O75" s="1323" t="s">
        <v>409</v>
      </c>
      <c r="P75" s="1324" t="s">
        <v>838</v>
      </c>
      <c r="Q75" s="1325">
        <f ca="1">Q65+Q66</f>
        <v>94</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-24.8</v>
      </c>
    </row>
    <row r="80" spans="1:18">
      <c r="B80" s="331" t="s">
        <v>800</v>
      </c>
      <c r="C80" s="266">
        <f ca="1">ROUND(C75/C39,3)</f>
        <v>25.8</v>
      </c>
    </row>
    <row r="81" spans="2:3">
      <c r="B81" s="262" t="s">
        <v>801</v>
      </c>
      <c r="C81" s="230"/>
    </row>
    <row r="82" spans="2:3">
      <c r="B82" s="265" t="s">
        <v>802</v>
      </c>
      <c r="C82" s="267">
        <f ca="1">1-C83</f>
        <v>-18.564</v>
      </c>
    </row>
    <row r="83" spans="2:3">
      <c r="B83" s="265" t="s">
        <v>803</v>
      </c>
      <c r="C83" s="266">
        <f ca="1">ROUND(C13/C40,3)</f>
        <v>19.564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55" priority="3">
      <formula>$F$10="自定义"</formula>
    </cfRule>
  </conditionalFormatting>
  <conditionalFormatting sqref="C54">
    <cfRule type="expression" dxfId="54" priority="1">
      <formula>$F$53="自定义"</formula>
    </cfRule>
  </conditionalFormatting>
  <conditionalFormatting sqref="I55 I60">
    <cfRule type="expression" dxfId="53" priority="5">
      <formula>$J$51&gt;$L$48</formula>
    </cfRule>
  </conditionalFormatting>
  <conditionalFormatting sqref="J11">
    <cfRule type="expression" dxfId="52" priority="2">
      <formula>$M$10="自定义"</formula>
    </cfRule>
  </conditionalFormatting>
  <conditionalFormatting sqref="K55 K60">
    <cfRule type="expression" dxfId="51" priority="4">
      <formula>$L$48&gt;$J$51</formula>
    </cfRule>
  </conditionalFormatting>
  <dataValidations count="9">
    <dataValidation type="list" allowBlank="1" showInputMessage="1" showErrorMessage="1" sqref="D1" xr:uid="{3E368175-FC67-4C46-A735-613E1ED3B64F}">
      <formula1>"在建（套用方法）,土地（套用方法）,——"</formula1>
    </dataValidation>
    <dataValidation type="list" allowBlank="1" showInputMessage="1" showErrorMessage="1" sqref="M10 F10 F53" xr:uid="{A339748C-1C5A-4155-B06F-8A7A0005AC98}">
      <formula1>"押一,押二,押三,自定义"</formula1>
    </dataValidation>
    <dataValidation type="list" allowBlank="1" showInputMessage="1" showErrorMessage="1" sqref="L55" xr:uid="{AE051286-EC52-4E8F-8AD3-37E8ED186126}">
      <formula1>"比较法,基准地价,收益还原"</formula1>
    </dataValidation>
    <dataValidation type="list" allowBlank="1" showInputMessage="1" showErrorMessage="1" sqref="J56" xr:uid="{518E8BFD-C238-4243-914C-0CC6F72E3946}">
      <formula1>估价范围判定</formula1>
    </dataValidation>
    <dataValidation type="list" allowBlank="1" showInputMessage="1" showErrorMessage="1" sqref="J48" xr:uid="{FC72A634-3967-4384-8570-47B7A7CC22CA}">
      <formula1>"非生产用房,生产用房,受腐蚀的生产用房"</formula1>
    </dataValidation>
    <dataValidation type="list" allowBlank="1" showInputMessage="1" showErrorMessage="1" sqref="J47" xr:uid="{75A23268-F9FC-4690-9821-F783B77FE598}">
      <formula1>"钢,钢混,砖混"</formula1>
    </dataValidation>
    <dataValidation type="list" allowBlank="1" showInputMessage="1" showErrorMessage="1" sqref="C1" xr:uid="{14C08C0E-0CFB-434F-9F37-700310EF933F}">
      <formula1>项目类型</formula1>
    </dataValidation>
    <dataValidation type="list" allowBlank="1" showInputMessage="1" showErrorMessage="1" sqref="D33 D61" xr:uid="{B6194809-7A12-4965-90BC-2AF4D75DF99C}">
      <formula1>"按租金收入计税,按房产原值计税,按票据"</formula1>
    </dataValidation>
    <dataValidation type="list" allowBlank="1" showInputMessage="1" showErrorMessage="1" sqref="K19" xr:uid="{1A63AF3A-8283-43C5-A10A-A583139E32A6}">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10" zoomScale="85" zoomScaleNormal="60" zoomScaleSheetLayoutView="85" workbookViewId="0">
      <selection activeCell="N24" sqref="N2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4" t="s">
        <v>1826</v>
      </c>
      <c r="C1" s="1139" t="s">
        <v>1662</v>
      </c>
      <c r="D1" s="1140" t="s">
        <v>3844</v>
      </c>
      <c r="E1" s="3128" t="s">
        <v>3860</v>
      </c>
      <c r="F1" s="1733" t="s">
        <v>3861</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e">
        <f ca="1">IF(E1="项目模式",IF(C2="——",ROUND(C43*D3/10000,0),ROUND(C43*D3/10000,0)-D2),IF(E1="单套模式",IF(C2="——",ROUND(C43*D3/10000,4),ROUND(C43*D3/10000,4)-D2)))</f>
        <v>#REF!</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t="e">
        <f ca="1">IF(C2="——",C43,ROUND(B2*10000/D3,0))</f>
        <v>#REF!</v>
      </c>
      <c r="C3" s="344" t="s">
        <v>1768</v>
      </c>
      <c r="D3" s="343">
        <f>IF(D1="",'数据-汇总表'!E3,SUMIF('数据-汇总表'!$C19:$C33,D1,'数据-汇总表'!$E19:$E33))</f>
        <v>24063.21</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1769</v>
      </c>
      <c r="B4" s="346"/>
      <c r="C4" s="3447" t="s">
        <v>1770</v>
      </c>
      <c r="D4" s="3448"/>
      <c r="E4" s="3449" t="s">
        <v>1771</v>
      </c>
      <c r="F4" s="3450"/>
      <c r="G4" s="3447" t="s">
        <v>1772</v>
      </c>
      <c r="H4" s="3448"/>
      <c r="I4" s="3447" t="s">
        <v>1773</v>
      </c>
      <c r="J4" s="3448"/>
      <c r="K4" s="537" t="s">
        <v>1774</v>
      </c>
      <c r="L4" s="858"/>
      <c r="M4" s="859"/>
      <c r="N4" s="859"/>
      <c r="O4" s="859"/>
      <c r="P4" s="3451" t="s">
        <v>1775</v>
      </c>
      <c r="Q4" s="3452"/>
      <c r="R4" s="3461" t="s">
        <v>1771</v>
      </c>
      <c r="S4" s="3462"/>
      <c r="T4" s="3461" t="s">
        <v>1772</v>
      </c>
      <c r="U4" s="3462"/>
      <c r="V4" s="3439" t="s">
        <v>1773</v>
      </c>
      <c r="W4" s="3439"/>
      <c r="X4" s="1263"/>
      <c r="Y4" s="3461" t="s">
        <v>1775</v>
      </c>
      <c r="Z4" s="3462"/>
      <c r="AA4" s="3444" t="s">
        <v>1771</v>
      </c>
      <c r="AB4" s="3445" t="s">
        <v>1772</v>
      </c>
      <c r="AC4" s="3444" t="s">
        <v>1773</v>
      </c>
    </row>
    <row r="5" spans="1:29" ht="15">
      <c r="A5" s="348"/>
      <c r="B5" s="349"/>
      <c r="C5" s="3465" t="s">
        <v>1673</v>
      </c>
      <c r="D5" s="3466"/>
      <c r="E5" s="3488" t="s">
        <v>3876</v>
      </c>
      <c r="F5" s="3458"/>
      <c r="G5" s="3489" t="s">
        <v>3877</v>
      </c>
      <c r="H5" s="3466"/>
      <c r="I5" s="3489" t="s">
        <v>3878</v>
      </c>
      <c r="J5" s="3466"/>
      <c r="K5" s="537"/>
      <c r="L5" s="858"/>
      <c r="M5" s="859"/>
      <c r="N5" s="859"/>
      <c r="O5" s="859"/>
      <c r="P5" s="3453"/>
      <c r="Q5" s="3454"/>
      <c r="R5" s="3463"/>
      <c r="S5" s="3464"/>
      <c r="T5" s="3463"/>
      <c r="U5" s="3464"/>
      <c r="V5" s="3439"/>
      <c r="W5" s="3439"/>
      <c r="X5" s="1263"/>
      <c r="Y5" s="3463"/>
      <c r="Z5" s="3464"/>
      <c r="AA5" s="3445"/>
      <c r="AB5" s="3445"/>
      <c r="AC5" s="3445"/>
    </row>
    <row r="6" spans="1:29" ht="15.75" thickBot="1">
      <c r="A6" s="350"/>
      <c r="B6" s="351"/>
      <c r="C6" s="3476" t="s">
        <v>1677</v>
      </c>
      <c r="D6" s="3477"/>
      <c r="E6" s="3478" t="s">
        <v>1677</v>
      </c>
      <c r="F6" s="3479"/>
      <c r="G6" s="3476" t="s">
        <v>1677</v>
      </c>
      <c r="H6" s="3477"/>
      <c r="I6" s="3476" t="s">
        <v>1677</v>
      </c>
      <c r="J6" s="3477"/>
      <c r="K6" s="537" t="s">
        <v>1678</v>
      </c>
      <c r="L6" s="858"/>
      <c r="M6" s="859"/>
      <c r="N6" s="859"/>
      <c r="O6" s="859"/>
      <c r="P6" s="3455"/>
      <c r="Q6" s="3456"/>
      <c r="R6" s="3463"/>
      <c r="S6" s="3464"/>
      <c r="T6" s="3472"/>
      <c r="U6" s="3473"/>
      <c r="V6" s="3439"/>
      <c r="W6" s="3439"/>
      <c r="X6" s="1263"/>
      <c r="Y6" s="3472"/>
      <c r="Z6" s="3473"/>
      <c r="AA6" s="3446"/>
      <c r="AB6" s="3446"/>
      <c r="AC6" s="3446"/>
    </row>
    <row r="7" spans="1:29" s="102" customFormat="1" ht="15.75" thickBot="1">
      <c r="A7" s="352" t="s">
        <v>1679</v>
      </c>
      <c r="B7" s="353"/>
      <c r="C7" s="354">
        <f>'数据-取费表'!B2</f>
        <v>45463</v>
      </c>
      <c r="D7" s="355">
        <v>100</v>
      </c>
      <c r="E7" s="3208" t="s">
        <v>3879</v>
      </c>
      <c r="F7" s="357">
        <f>SUMIF(52:52,YEAR(E7)&amp;"-"&amp;MONTH(E7),53:53)</f>
        <v>100</v>
      </c>
      <c r="G7" s="3208" t="s">
        <v>3879</v>
      </c>
      <c r="H7" s="355">
        <f>SUMIF(52:52,YEAR(G7)&amp;"-"&amp;MONTH(G7),53:53)</f>
        <v>100</v>
      </c>
      <c r="I7" s="3208" t="s">
        <v>3879</v>
      </c>
      <c r="J7" s="355">
        <f>SUMIF(52:52,YEAR(I7)&amp;"-"&amp;MONTH(I7),53:53)</f>
        <v>100</v>
      </c>
      <c r="K7" s="38"/>
      <c r="L7" s="860"/>
      <c r="M7" s="861"/>
      <c r="N7" s="861"/>
      <c r="O7" s="861"/>
      <c r="P7" s="3437" t="s">
        <v>1680</v>
      </c>
      <c r="Q7" s="3469"/>
      <c r="R7" s="664" t="s">
        <v>14</v>
      </c>
      <c r="S7" s="665">
        <f t="shared" ref="S7:S15" si="0">F7</f>
        <v>100</v>
      </c>
      <c r="T7" s="664" t="s">
        <v>14</v>
      </c>
      <c r="U7" s="665">
        <f t="shared" ref="U7:U15" si="1">H7</f>
        <v>100</v>
      </c>
      <c r="V7" s="664" t="s">
        <v>14</v>
      </c>
      <c r="W7" s="665">
        <f t="shared" ref="W7:W15" si="2">J7</f>
        <v>100</v>
      </c>
      <c r="X7" s="666"/>
      <c r="Y7" s="3437" t="s">
        <v>1680</v>
      </c>
      <c r="Z7" s="3438"/>
      <c r="AA7" s="50">
        <f>D7/F7</f>
        <v>1</v>
      </c>
      <c r="AB7" s="50">
        <f>D7/H7</f>
        <v>1</v>
      </c>
      <c r="AC7" s="50">
        <f>D7/J7</f>
        <v>1</v>
      </c>
    </row>
    <row r="8" spans="1:29" s="102" customFormat="1" ht="15.75" thickBot="1">
      <c r="A8" s="352" t="s">
        <v>1681</v>
      </c>
      <c r="B8" s="353"/>
      <c r="C8" s="358" t="s">
        <v>3671</v>
      </c>
      <c r="D8" s="355">
        <v>100</v>
      </c>
      <c r="E8" s="358" t="s">
        <v>3689</v>
      </c>
      <c r="F8" s="357">
        <f>SUMIF(55:55,E8,56:56)-SUMIF(55:55,C8,56:56)+100</f>
        <v>102</v>
      </c>
      <c r="G8" s="358" t="s">
        <v>3689</v>
      </c>
      <c r="H8" s="355">
        <f>SUMIF(55:55,G8,56:56)-SUMIF(55:55,C8,56:56)+100</f>
        <v>102</v>
      </c>
      <c r="I8" s="358" t="s">
        <v>3689</v>
      </c>
      <c r="J8" s="355">
        <f>SUMIF(55:55,I8,56:56)-SUMIF(55:55,C8,56:56)+100</f>
        <v>102</v>
      </c>
      <c r="K8" s="38"/>
      <c r="L8" s="860"/>
      <c r="M8" s="861"/>
      <c r="N8" s="861"/>
      <c r="O8" s="861"/>
      <c r="P8" s="3437" t="s">
        <v>1683</v>
      </c>
      <c r="Q8" s="3438"/>
      <c r="R8" s="664" t="s">
        <v>14</v>
      </c>
      <c r="S8" s="665">
        <f t="shared" si="0"/>
        <v>102</v>
      </c>
      <c r="T8" s="664" t="s">
        <v>14</v>
      </c>
      <c r="U8" s="665">
        <f t="shared" si="1"/>
        <v>102</v>
      </c>
      <c r="V8" s="664" t="s">
        <v>14</v>
      </c>
      <c r="W8" s="665">
        <f t="shared" si="2"/>
        <v>102</v>
      </c>
      <c r="X8" s="666"/>
      <c r="Y8" s="3437" t="s">
        <v>1683</v>
      </c>
      <c r="Z8" s="3438"/>
      <c r="AA8" s="50">
        <f t="shared" ref="AA8:AA40" si="3">D8/F8</f>
        <v>0.98039215686274506</v>
      </c>
      <c r="AB8" s="50">
        <f t="shared" ref="AB8:AB40" si="4">D8/H8</f>
        <v>0.98039215686274506</v>
      </c>
      <c r="AC8" s="50">
        <f t="shared" ref="AC8:AC40" si="5">D8/J8</f>
        <v>0.98039215686274506</v>
      </c>
    </row>
    <row r="9" spans="1:29" s="102" customFormat="1">
      <c r="A9" s="359" t="s">
        <v>1684</v>
      </c>
      <c r="B9" s="60" t="s">
        <v>1685</v>
      </c>
      <c r="C9" s="3209" t="s">
        <v>3880</v>
      </c>
      <c r="D9" s="59">
        <v>100</v>
      </c>
      <c r="E9" s="362" t="s">
        <v>3</v>
      </c>
      <c r="F9" s="59">
        <f>SUMIF(57:57,E9,58:58)-SUMIF(57:57,C9,58:58)+100</f>
        <v>100</v>
      </c>
      <c r="G9" s="361" t="s">
        <v>3</v>
      </c>
      <c r="H9" s="59">
        <f>SUMIF(57:57,G9,58:58)-SUMIF(57:57,C9,58:58)+100</f>
        <v>100</v>
      </c>
      <c r="I9" s="361" t="s">
        <v>3</v>
      </c>
      <c r="J9" s="59">
        <f>SUMIF(57:57,I9,58:58)-SUMIF(57:57,C9,58:58)+100</f>
        <v>100</v>
      </c>
      <c r="K9" s="38"/>
      <c r="L9" s="860"/>
      <c r="M9" s="861"/>
      <c r="N9" s="861"/>
      <c r="O9" s="862"/>
      <c r="P9" s="3435"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3"/>
      <c r="M10" s="864"/>
      <c r="N10" s="864"/>
      <c r="O10" s="865"/>
      <c r="P10" s="3435"/>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75" thickBot="1">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35"/>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50">
        <f t="shared" si="5"/>
        <v>1</v>
      </c>
    </row>
    <row r="12" spans="1:29" s="102" customFormat="1" ht="15" hidden="1">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0"/>
      <c r="M12" s="861"/>
      <c r="N12" s="861"/>
      <c r="O12" s="862"/>
      <c r="P12" s="3435"/>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50">
        <f>D12/J12</f>
        <v>1</v>
      </c>
    </row>
    <row r="13" spans="1:29" ht="15" hidden="1">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8"/>
      <c r="M13" s="859"/>
      <c r="N13" s="859"/>
      <c r="O13" s="867"/>
      <c r="P13" s="3435"/>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50">
        <f t="shared" si="5"/>
        <v>1</v>
      </c>
    </row>
    <row r="14" spans="1:29" ht="15.75" hidden="1"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68"/>
      <c r="M14" s="859"/>
      <c r="N14" s="859"/>
      <c r="O14" s="867"/>
      <c r="P14" s="3435"/>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50">
        <f t="shared" si="5"/>
        <v>1</v>
      </c>
    </row>
    <row r="15" spans="1:29" ht="15">
      <c r="A15" s="379" t="s">
        <v>1690</v>
      </c>
      <c r="B15" s="58" t="s">
        <v>1827</v>
      </c>
      <c r="C15" s="1815">
        <f>估价对象房地状况!G3</f>
        <v>0</v>
      </c>
      <c r="D15" s="380">
        <v>100</v>
      </c>
      <c r="E15" s="381"/>
      <c r="F15" s="382">
        <f>SUMIF(70:70,E16,71:71)-SUMIF(70:70,C16,71:71)+100</f>
        <v>100</v>
      </c>
      <c r="G15" s="383"/>
      <c r="H15" s="380">
        <f>SUMIF(70:70,G16,71:71)-SUMIF(70:70,C16,71:71)+100</f>
        <v>100</v>
      </c>
      <c r="I15" s="381"/>
      <c r="J15" s="380">
        <f>SUMIF(70:70,I16,71:71)-SUMIF(70:70,C16,71:71)+100</f>
        <v>100</v>
      </c>
      <c r="K15" s="540">
        <v>2</v>
      </c>
      <c r="L15" s="868"/>
      <c r="M15" s="859"/>
      <c r="N15" s="859"/>
      <c r="O15" s="867"/>
      <c r="P15" s="3440" t="s">
        <v>1691</v>
      </c>
      <c r="Q15" s="1261" t="str">
        <f t="shared" si="6"/>
        <v>产业集聚程度</v>
      </c>
      <c r="R15" s="667" t="s">
        <v>14</v>
      </c>
      <c r="S15" s="668">
        <f t="shared" si="0"/>
        <v>100</v>
      </c>
      <c r="T15" s="667" t="s">
        <v>14</v>
      </c>
      <c r="U15" s="668">
        <f t="shared" si="1"/>
        <v>100</v>
      </c>
      <c r="V15" s="667" t="s">
        <v>14</v>
      </c>
      <c r="W15" s="668">
        <f t="shared" si="2"/>
        <v>100</v>
      </c>
      <c r="X15" s="1263"/>
      <c r="Y15" s="3440" t="s">
        <v>1691</v>
      </c>
      <c r="Z15" s="1262" t="str">
        <f t="shared" si="7"/>
        <v>产业集聚程度</v>
      </c>
      <c r="AA15" s="1262">
        <f t="shared" si="3"/>
        <v>1</v>
      </c>
      <c r="AB15" s="1262">
        <f t="shared" si="4"/>
        <v>1</v>
      </c>
      <c r="AC15" s="1262">
        <f t="shared" si="5"/>
        <v>1</v>
      </c>
    </row>
    <row r="16" spans="1:29" ht="15">
      <c r="A16" s="367"/>
      <c r="B16" s="385"/>
      <c r="C16" s="386" t="s">
        <v>3676</v>
      </c>
      <c r="D16" s="387"/>
      <c r="E16" s="386" t="s">
        <v>3676</v>
      </c>
      <c r="F16" s="388"/>
      <c r="G16" s="386" t="s">
        <v>3676</v>
      </c>
      <c r="H16" s="389"/>
      <c r="I16" s="386" t="s">
        <v>3676</v>
      </c>
      <c r="J16" s="387"/>
      <c r="K16" s="541"/>
      <c r="L16" s="868"/>
      <c r="M16" s="859"/>
      <c r="N16" s="859"/>
      <c r="O16" s="867"/>
      <c r="P16" s="3441"/>
      <c r="Q16" s="1261"/>
      <c r="R16" s="667"/>
      <c r="S16" s="668"/>
      <c r="T16" s="667"/>
      <c r="U16" s="668"/>
      <c r="V16" s="667"/>
      <c r="W16" s="668"/>
      <c r="X16" s="1263"/>
      <c r="Y16" s="3441"/>
      <c r="Z16" s="1262"/>
      <c r="AA16" s="1262">
        <v>1</v>
      </c>
      <c r="AB16" s="1262">
        <v>1</v>
      </c>
      <c r="AC16" s="1262">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40">
        <v>2</v>
      </c>
      <c r="L17" s="868"/>
      <c r="M17" s="859"/>
      <c r="N17" s="859"/>
      <c r="O17" s="867"/>
      <c r="P17" s="3441"/>
      <c r="Q17" s="1261" t="str">
        <f>B17</f>
        <v>交通便捷度</v>
      </c>
      <c r="R17" s="667" t="s">
        <v>14</v>
      </c>
      <c r="S17" s="668">
        <f>F17</f>
        <v>100</v>
      </c>
      <c r="T17" s="667" t="s">
        <v>14</v>
      </c>
      <c r="U17" s="668">
        <f>H17</f>
        <v>100</v>
      </c>
      <c r="V17" s="667" t="s">
        <v>14</v>
      </c>
      <c r="W17" s="668">
        <f>J17</f>
        <v>100</v>
      </c>
      <c r="X17" s="1263"/>
      <c r="Y17" s="3441"/>
      <c r="Z17" s="1262" t="str">
        <f>Q17</f>
        <v>交通便捷度</v>
      </c>
      <c r="AA17" s="1262">
        <f t="shared" si="3"/>
        <v>1</v>
      </c>
      <c r="AB17" s="1262">
        <f t="shared" si="4"/>
        <v>1</v>
      </c>
      <c r="AC17" s="1262">
        <f t="shared" si="5"/>
        <v>1</v>
      </c>
    </row>
    <row r="18" spans="1:29" ht="15">
      <c r="A18" s="367"/>
      <c r="B18" s="395"/>
      <c r="C18" s="1753" t="s">
        <v>3677</v>
      </c>
      <c r="D18" s="389"/>
      <c r="E18" s="1753" t="s">
        <v>3677</v>
      </c>
      <c r="F18" s="392"/>
      <c r="G18" s="1753" t="s">
        <v>3677</v>
      </c>
      <c r="H18" s="387"/>
      <c r="I18" s="1753" t="s">
        <v>3677</v>
      </c>
      <c r="J18" s="387"/>
      <c r="K18" s="541"/>
      <c r="L18" s="868"/>
      <c r="M18" s="859"/>
      <c r="N18" s="859"/>
      <c r="O18" s="867"/>
      <c r="P18" s="3441"/>
      <c r="Q18" s="1261"/>
      <c r="R18" s="667"/>
      <c r="S18" s="668"/>
      <c r="T18" s="667"/>
      <c r="U18" s="668"/>
      <c r="V18" s="667"/>
      <c r="W18" s="668"/>
      <c r="X18" s="1263"/>
      <c r="Y18" s="3441"/>
      <c r="Z18" s="1262"/>
      <c r="AA18" s="1262">
        <v>1</v>
      </c>
      <c r="AB18" s="1262">
        <v>1</v>
      </c>
      <c r="AC18" s="1262">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40">
        <v>2</v>
      </c>
      <c r="L19" s="868"/>
      <c r="M19" s="859"/>
      <c r="N19" s="859"/>
      <c r="O19" s="867"/>
      <c r="P19" s="3441"/>
      <c r="Q19" s="1261" t="str">
        <f>B19</f>
        <v>公共配套设施</v>
      </c>
      <c r="R19" s="667" t="s">
        <v>14</v>
      </c>
      <c r="S19" s="668">
        <f>F19</f>
        <v>100</v>
      </c>
      <c r="T19" s="667" t="s">
        <v>14</v>
      </c>
      <c r="U19" s="668">
        <f>H19</f>
        <v>100</v>
      </c>
      <c r="V19" s="667" t="s">
        <v>14</v>
      </c>
      <c r="W19" s="668">
        <f>J19</f>
        <v>100</v>
      </c>
      <c r="X19" s="1263"/>
      <c r="Y19" s="3441"/>
      <c r="Z19" s="1262" t="str">
        <f>Q19</f>
        <v>公共配套设施</v>
      </c>
      <c r="AA19" s="1262">
        <f t="shared" si="3"/>
        <v>1</v>
      </c>
      <c r="AB19" s="1262">
        <f t="shared" si="4"/>
        <v>1</v>
      </c>
      <c r="AC19" s="1262">
        <f t="shared" si="5"/>
        <v>1</v>
      </c>
    </row>
    <row r="20" spans="1:29" ht="15">
      <c r="A20" s="367"/>
      <c r="B20" s="395"/>
      <c r="C20" s="1753" t="s">
        <v>3677</v>
      </c>
      <c r="D20" s="387"/>
      <c r="E20" s="1753" t="s">
        <v>3677</v>
      </c>
      <c r="F20" s="388"/>
      <c r="G20" s="1753" t="s">
        <v>3677</v>
      </c>
      <c r="H20" s="387"/>
      <c r="I20" s="1753" t="s">
        <v>3677</v>
      </c>
      <c r="J20" s="387"/>
      <c r="K20" s="541"/>
      <c r="L20" s="868"/>
      <c r="M20" s="859"/>
      <c r="N20" s="859"/>
      <c r="O20" s="867"/>
      <c r="P20" s="3441"/>
      <c r="Q20" s="1261"/>
      <c r="R20" s="667"/>
      <c r="S20" s="668"/>
      <c r="T20" s="667"/>
      <c r="U20" s="668"/>
      <c r="V20" s="667"/>
      <c r="W20" s="668"/>
      <c r="X20" s="1263"/>
      <c r="Y20" s="3441"/>
      <c r="Z20" s="1262"/>
      <c r="AA20" s="1262">
        <v>1</v>
      </c>
      <c r="AB20" s="1262">
        <v>1</v>
      </c>
      <c r="AC20" s="1262">
        <v>1</v>
      </c>
    </row>
    <row r="21" spans="1:29" ht="15">
      <c r="A21" s="367"/>
      <c r="B21" s="586"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40">
        <v>2</v>
      </c>
      <c r="L21" s="868"/>
      <c r="M21" s="859"/>
      <c r="N21" s="859"/>
      <c r="O21" s="867"/>
      <c r="P21" s="3441"/>
      <c r="Q21" s="1261" t="str">
        <f>B21</f>
        <v>基础设施水平</v>
      </c>
      <c r="R21" s="667" t="s">
        <v>14</v>
      </c>
      <c r="S21" s="668">
        <f>F21</f>
        <v>100</v>
      </c>
      <c r="T21" s="667" t="s">
        <v>14</v>
      </c>
      <c r="U21" s="668">
        <f>H21</f>
        <v>100</v>
      </c>
      <c r="V21" s="667" t="s">
        <v>14</v>
      </c>
      <c r="W21" s="668">
        <f>J21</f>
        <v>100</v>
      </c>
      <c r="X21" s="1263"/>
      <c r="Y21" s="3441"/>
      <c r="Z21" s="1262" t="str">
        <f>Q21</f>
        <v>基础设施水平</v>
      </c>
      <c r="AA21" s="1262">
        <f t="shared" ref="AA21" si="8">D21/F21</f>
        <v>1</v>
      </c>
      <c r="AB21" s="1262">
        <f t="shared" ref="AB21" si="9">D21/H21</f>
        <v>1</v>
      </c>
      <c r="AC21" s="1262">
        <f t="shared" ref="AC21" si="10">D21/J21</f>
        <v>1</v>
      </c>
    </row>
    <row r="22" spans="1:29" ht="15">
      <c r="A22" s="367"/>
      <c r="B22" s="586"/>
      <c r="C22" s="1753" t="s">
        <v>3678</v>
      </c>
      <c r="D22" s="387"/>
      <c r="E22" s="1753" t="s">
        <v>3678</v>
      </c>
      <c r="F22" s="388"/>
      <c r="G22" s="1753" t="s">
        <v>3678</v>
      </c>
      <c r="H22" s="387"/>
      <c r="I22" s="1753" t="s">
        <v>3678</v>
      </c>
      <c r="J22" s="387"/>
      <c r="K22" s="1062"/>
      <c r="L22" s="868"/>
      <c r="M22" s="859"/>
      <c r="N22" s="859"/>
      <c r="O22" s="867"/>
      <c r="P22" s="3441"/>
      <c r="Q22" s="1261"/>
      <c r="R22" s="667"/>
      <c r="S22" s="668"/>
      <c r="T22" s="667"/>
      <c r="U22" s="668"/>
      <c r="V22" s="667"/>
      <c r="W22" s="668"/>
      <c r="X22" s="1263"/>
      <c r="Y22" s="3441"/>
      <c r="Z22" s="1262"/>
      <c r="AA22" s="1262">
        <v>1</v>
      </c>
      <c r="AB22" s="1262">
        <v>1</v>
      </c>
      <c r="AC22" s="1262">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40">
        <v>2</v>
      </c>
      <c r="L23" s="868"/>
      <c r="M23" s="859"/>
      <c r="N23" s="859"/>
      <c r="O23" s="867"/>
      <c r="P23" s="3441"/>
      <c r="Q23" s="1261" t="str">
        <f>B23</f>
        <v>环境质量</v>
      </c>
      <c r="R23" s="667" t="s">
        <v>14</v>
      </c>
      <c r="S23" s="668">
        <f>F23</f>
        <v>100</v>
      </c>
      <c r="T23" s="667" t="s">
        <v>14</v>
      </c>
      <c r="U23" s="668">
        <f>H23</f>
        <v>100</v>
      </c>
      <c r="V23" s="667" t="s">
        <v>14</v>
      </c>
      <c r="W23" s="668">
        <f>J23</f>
        <v>100</v>
      </c>
      <c r="X23" s="1263"/>
      <c r="Y23" s="3441"/>
      <c r="Z23" s="1262" t="str">
        <f>Q23</f>
        <v>环境质量</v>
      </c>
      <c r="AA23" s="1262">
        <f t="shared" si="3"/>
        <v>1</v>
      </c>
      <c r="AB23" s="1262">
        <f t="shared" si="4"/>
        <v>1</v>
      </c>
      <c r="AC23" s="1262">
        <f t="shared" si="5"/>
        <v>1</v>
      </c>
    </row>
    <row r="24" spans="1:29" ht="15.75" thickBot="1">
      <c r="A24" s="367"/>
      <c r="B24" s="586"/>
      <c r="C24" s="386" t="s">
        <v>3677</v>
      </c>
      <c r="D24" s="387"/>
      <c r="E24" s="386" t="s">
        <v>3677</v>
      </c>
      <c r="F24" s="388"/>
      <c r="G24" s="386" t="s">
        <v>3677</v>
      </c>
      <c r="H24" s="387"/>
      <c r="I24" s="386" t="s">
        <v>3677</v>
      </c>
      <c r="J24" s="387"/>
      <c r="K24" s="541"/>
      <c r="L24" s="868"/>
      <c r="M24" s="859"/>
      <c r="N24" s="859"/>
      <c r="O24" s="867"/>
      <c r="P24" s="3441"/>
      <c r="Q24" s="1261"/>
      <c r="R24" s="667"/>
      <c r="S24" s="668"/>
      <c r="T24" s="667"/>
      <c r="U24" s="668"/>
      <c r="V24" s="667"/>
      <c r="W24" s="668"/>
      <c r="X24" s="1263"/>
      <c r="Y24" s="3441"/>
      <c r="Z24" s="1262"/>
      <c r="AA24" s="1262">
        <v>1</v>
      </c>
      <c r="AB24" s="1262">
        <v>1</v>
      </c>
      <c r="AC24" s="1262">
        <v>1</v>
      </c>
    </row>
    <row r="25" spans="1:29" ht="15" hidden="1">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41"/>
      <c r="Q25" s="1261">
        <f>B25</f>
        <v>111</v>
      </c>
      <c r="R25" s="667" t="s">
        <v>14</v>
      </c>
      <c r="S25" s="668">
        <f>F25</f>
        <v>100</v>
      </c>
      <c r="T25" s="667" t="s">
        <v>14</v>
      </c>
      <c r="U25" s="668">
        <f>H25</f>
        <v>100</v>
      </c>
      <c r="V25" s="667" t="s">
        <v>14</v>
      </c>
      <c r="W25" s="668">
        <f>J25</f>
        <v>100</v>
      </c>
      <c r="X25" s="1263"/>
      <c r="Y25" s="3441"/>
      <c r="Z25" s="1262">
        <f>Q25</f>
        <v>111</v>
      </c>
      <c r="AA25" s="1262">
        <f t="shared" si="3"/>
        <v>1</v>
      </c>
      <c r="AB25" s="1262">
        <f t="shared" si="4"/>
        <v>1</v>
      </c>
      <c r="AC25" s="1262">
        <f t="shared" si="5"/>
        <v>1</v>
      </c>
    </row>
    <row r="26" spans="1:29" ht="15" hidden="1">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41"/>
      <c r="Q26" s="1261">
        <f t="shared" ref="Q26:Q40" si="11">B26</f>
        <v>111</v>
      </c>
      <c r="R26" s="667" t="s">
        <v>14</v>
      </c>
      <c r="S26" s="668">
        <f>F26</f>
        <v>100</v>
      </c>
      <c r="T26" s="667" t="s">
        <v>14</v>
      </c>
      <c r="U26" s="668">
        <f>H26</f>
        <v>100</v>
      </c>
      <c r="V26" s="667" t="s">
        <v>14</v>
      </c>
      <c r="W26" s="668">
        <f>J26</f>
        <v>100</v>
      </c>
      <c r="X26" s="1263"/>
      <c r="Y26" s="3441"/>
      <c r="Z26" s="1262">
        <f>Q26</f>
        <v>111</v>
      </c>
      <c r="AA26" s="1262">
        <f t="shared" si="3"/>
        <v>1</v>
      </c>
      <c r="AB26" s="1262">
        <f t="shared" si="4"/>
        <v>1</v>
      </c>
      <c r="AC26" s="1262">
        <f t="shared" si="5"/>
        <v>1</v>
      </c>
    </row>
    <row r="27" spans="1:29" s="102" customFormat="1" ht="15" hidden="1">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41"/>
      <c r="Q27" s="530">
        <f t="shared" si="11"/>
        <v>111</v>
      </c>
      <c r="R27" s="664" t="s">
        <v>14</v>
      </c>
      <c r="S27" s="665">
        <f>F27</f>
        <v>100</v>
      </c>
      <c r="T27" s="664" t="s">
        <v>14</v>
      </c>
      <c r="U27" s="665">
        <f>H27</f>
        <v>100</v>
      </c>
      <c r="V27" s="664" t="s">
        <v>14</v>
      </c>
      <c r="W27" s="665">
        <f>J27</f>
        <v>100</v>
      </c>
      <c r="X27" s="666"/>
      <c r="Y27" s="3441"/>
      <c r="Z27" s="50">
        <f>Q27</f>
        <v>111</v>
      </c>
      <c r="AA27" s="1262">
        <f>D27/F27</f>
        <v>1</v>
      </c>
      <c r="AB27" s="1262">
        <f>D27/H27</f>
        <v>1</v>
      </c>
      <c r="AC27" s="1262">
        <f>D27/J27</f>
        <v>1</v>
      </c>
    </row>
    <row r="28" spans="1:29" ht="15.75" hidden="1"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41"/>
      <c r="Q28" s="1261">
        <f t="shared" si="11"/>
        <v>111</v>
      </c>
      <c r="R28" s="667" t="s">
        <v>14</v>
      </c>
      <c r="S28" s="668">
        <f t="shared" ref="S28:S40" si="12">F28</f>
        <v>100</v>
      </c>
      <c r="T28" s="667" t="s">
        <v>14</v>
      </c>
      <c r="U28" s="668">
        <f t="shared" ref="U28:U40" si="13">H28</f>
        <v>100</v>
      </c>
      <c r="V28" s="667" t="s">
        <v>14</v>
      </c>
      <c r="W28" s="668">
        <f t="shared" ref="W28:W40" si="14">J28</f>
        <v>100</v>
      </c>
      <c r="X28" s="1263"/>
      <c r="Y28" s="3441"/>
      <c r="Z28" s="1262">
        <f t="shared" ref="Z28:Z40" si="15">Q28</f>
        <v>111</v>
      </c>
      <c r="AA28" s="1262">
        <f t="shared" si="3"/>
        <v>1</v>
      </c>
      <c r="AB28" s="1262">
        <f t="shared" si="4"/>
        <v>1</v>
      </c>
      <c r="AC28" s="1262">
        <f t="shared" si="5"/>
        <v>1</v>
      </c>
    </row>
    <row r="29" spans="1:29" ht="28.5">
      <c r="A29" s="404" t="s">
        <v>1694</v>
      </c>
      <c r="B29" s="60" t="s">
        <v>1817</v>
      </c>
      <c r="C29" s="1762" t="s">
        <v>3881</v>
      </c>
      <c r="D29" s="405">
        <v>100</v>
      </c>
      <c r="E29" s="1762" t="s">
        <v>3881</v>
      </c>
      <c r="F29" s="400">
        <f>SUMIF(88:88,E29,89:89)-SUMIF(88:88,C29,89:89)+100</f>
        <v>100</v>
      </c>
      <c r="G29" s="1762" t="s">
        <v>3881</v>
      </c>
      <c r="H29" s="374">
        <f>SUMIF(88:88,G29,89:89)-SUMIF(88:88,C29,89:89)+100</f>
        <v>100</v>
      </c>
      <c r="I29" s="1762" t="s">
        <v>3881</v>
      </c>
      <c r="J29" s="405">
        <f>SUMIF(88:88,I29,89:89)-SUMIF(88:88,C29,89:89)+100</f>
        <v>100</v>
      </c>
      <c r="K29" s="538">
        <v>2</v>
      </c>
      <c r="L29" s="868"/>
      <c r="M29" s="859"/>
      <c r="N29" s="859"/>
      <c r="O29" s="867"/>
      <c r="P29" s="3442" t="s">
        <v>1696</v>
      </c>
      <c r="Q29" s="1261" t="str">
        <f t="shared" si="11"/>
        <v>建筑类型</v>
      </c>
      <c r="R29" s="667" t="s">
        <v>14</v>
      </c>
      <c r="S29" s="668">
        <f t="shared" si="12"/>
        <v>100</v>
      </c>
      <c r="T29" s="667" t="s">
        <v>14</v>
      </c>
      <c r="U29" s="668">
        <f t="shared" si="13"/>
        <v>100</v>
      </c>
      <c r="V29" s="667" t="s">
        <v>14</v>
      </c>
      <c r="W29" s="668">
        <f t="shared" si="14"/>
        <v>100</v>
      </c>
      <c r="X29" s="1263"/>
      <c r="Y29" s="3443"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407"/>
      <c r="F30" s="364">
        <f>LOOKUP(E30,91:91,92:92)-LOOKUP(C30,91:91,92:92)+100</f>
        <v>100</v>
      </c>
      <c r="G30" s="407"/>
      <c r="H30" s="119">
        <f>LOOKUP(G30,91:91,92:92)-LOOKUP(C30,91:91,92:92)+100</f>
        <v>100</v>
      </c>
      <c r="I30" s="407"/>
      <c r="J30" s="119">
        <f>LOOKUP(I30,91:91,92:92)-LOOKUP(C30,91:91,92:92)+100</f>
        <v>100</v>
      </c>
      <c r="K30" s="539"/>
      <c r="L30" s="866"/>
      <c r="M30" s="869"/>
      <c r="N30" s="869"/>
      <c r="O30" s="870"/>
      <c r="P30" s="3443"/>
      <c r="Q30" s="531" t="str">
        <f t="shared" si="11"/>
        <v>项目建筑规模</v>
      </c>
      <c r="R30" s="669" t="s">
        <v>14</v>
      </c>
      <c r="S30" s="670">
        <f t="shared" si="12"/>
        <v>100</v>
      </c>
      <c r="T30" s="669" t="s">
        <v>14</v>
      </c>
      <c r="U30" s="670">
        <f t="shared" si="13"/>
        <v>100</v>
      </c>
      <c r="V30" s="669" t="s">
        <v>14</v>
      </c>
      <c r="W30" s="670">
        <f t="shared" si="14"/>
        <v>100</v>
      </c>
      <c r="X30" s="671"/>
      <c r="Y30" s="3443"/>
      <c r="Z30" s="672" t="str">
        <f t="shared" si="15"/>
        <v>项目建筑规模</v>
      </c>
      <c r="AA30" s="1262">
        <f t="shared" si="3"/>
        <v>1</v>
      </c>
      <c r="AB30" s="1262">
        <f t="shared" si="4"/>
        <v>1</v>
      </c>
      <c r="AC30" s="1262">
        <f t="shared" si="5"/>
        <v>1</v>
      </c>
    </row>
    <row r="31" spans="1:29" ht="15">
      <c r="A31" s="409"/>
      <c r="B31" s="364" t="s">
        <v>1698</v>
      </c>
      <c r="C31" s="399" t="s">
        <v>3882</v>
      </c>
      <c r="D31" s="374">
        <v>100</v>
      </c>
      <c r="E31" s="399" t="s">
        <v>3882</v>
      </c>
      <c r="F31" s="400">
        <f>SUMIF(93:93,E31,94:94)-SUMIF(93:93,C31,94:94)+100</f>
        <v>100</v>
      </c>
      <c r="G31" s="399" t="s">
        <v>3882</v>
      </c>
      <c r="H31" s="374">
        <f>SUMIF(93:93,G31,94:94)-SUMIF(93:93,C31,94:94)+100</f>
        <v>100</v>
      </c>
      <c r="I31" s="399" t="s">
        <v>3882</v>
      </c>
      <c r="J31" s="374">
        <f>SUMIF(93:93,I31,94:94)-SUMIF(93:93,C31,94:94)+100</f>
        <v>100</v>
      </c>
      <c r="K31" s="538">
        <v>1</v>
      </c>
      <c r="L31" s="868"/>
      <c r="M31" s="859"/>
      <c r="N31" s="859"/>
      <c r="O31" s="867"/>
      <c r="P31" s="3443"/>
      <c r="Q31" s="1261" t="str">
        <f t="shared" si="11"/>
        <v>建筑结构</v>
      </c>
      <c r="R31" s="667" t="s">
        <v>14</v>
      </c>
      <c r="S31" s="668">
        <f t="shared" si="12"/>
        <v>100</v>
      </c>
      <c r="T31" s="667" t="s">
        <v>14</v>
      </c>
      <c r="U31" s="668">
        <f t="shared" si="13"/>
        <v>100</v>
      </c>
      <c r="V31" s="667" t="s">
        <v>14</v>
      </c>
      <c r="W31" s="668">
        <f t="shared" si="14"/>
        <v>100</v>
      </c>
      <c r="X31" s="1263"/>
      <c r="Y31" s="3443"/>
      <c r="Z31" s="1262" t="str">
        <f t="shared" si="15"/>
        <v>建筑结构</v>
      </c>
      <c r="AA31" s="1262">
        <f t="shared" si="3"/>
        <v>1</v>
      </c>
      <c r="AB31" s="1262">
        <f t="shared" si="4"/>
        <v>1</v>
      </c>
      <c r="AC31" s="1262">
        <f t="shared" si="5"/>
        <v>1</v>
      </c>
    </row>
    <row r="32" spans="1:29" ht="15">
      <c r="A32" s="409"/>
      <c r="B32" s="364" t="s">
        <v>1785</v>
      </c>
      <c r="C32" s="399" t="s">
        <v>3871</v>
      </c>
      <c r="D32" s="374">
        <v>100</v>
      </c>
      <c r="E32" s="399" t="s">
        <v>3871</v>
      </c>
      <c r="F32" s="400">
        <f>SUMIF(95:95,E32,96:96)-SUMIF(95:95,C32,96:96)+100</f>
        <v>100</v>
      </c>
      <c r="G32" s="399" t="s">
        <v>3871</v>
      </c>
      <c r="H32" s="374">
        <f>SUMIF(95:95,G32,96:96)-SUMIF(95:95,C32,96:96)+100</f>
        <v>100</v>
      </c>
      <c r="I32" s="399" t="s">
        <v>3871</v>
      </c>
      <c r="J32" s="374">
        <f>SUMIF(95:95,I32,96:96)-SUMIF(95:95,C32,96:96)+100</f>
        <v>100</v>
      </c>
      <c r="K32" s="538">
        <v>1</v>
      </c>
      <c r="L32" s="868"/>
      <c r="M32" s="859"/>
      <c r="N32" s="859"/>
      <c r="O32" s="867"/>
      <c r="P32" s="3443"/>
      <c r="Q32" s="1261" t="str">
        <f t="shared" si="11"/>
        <v>公共部分装修</v>
      </c>
      <c r="R32" s="667" t="s">
        <v>14</v>
      </c>
      <c r="S32" s="668">
        <f t="shared" si="12"/>
        <v>100</v>
      </c>
      <c r="T32" s="667" t="s">
        <v>14</v>
      </c>
      <c r="U32" s="668">
        <f t="shared" si="13"/>
        <v>100</v>
      </c>
      <c r="V32" s="667" t="s">
        <v>14</v>
      </c>
      <c r="W32" s="668">
        <f t="shared" si="14"/>
        <v>100</v>
      </c>
      <c r="X32" s="1263"/>
      <c r="Y32" s="3443"/>
      <c r="Z32" s="1262" t="str">
        <f t="shared" si="15"/>
        <v>公共部分装修</v>
      </c>
      <c r="AA32" s="1262">
        <f t="shared" si="3"/>
        <v>1</v>
      </c>
      <c r="AB32" s="1262">
        <f t="shared" si="4"/>
        <v>1</v>
      </c>
      <c r="AC32" s="1262">
        <f t="shared" si="5"/>
        <v>1</v>
      </c>
    </row>
    <row r="33" spans="1:29" ht="15">
      <c r="A33" s="409"/>
      <c r="B33" s="364" t="s">
        <v>1786</v>
      </c>
      <c r="C33" s="407">
        <v>100</v>
      </c>
      <c r="D33" s="374">
        <v>100</v>
      </c>
      <c r="E33" s="407">
        <v>100</v>
      </c>
      <c r="F33" s="400">
        <f>LOOKUP(E33,98:98,99:99)-LOOKUP(C33,98:98,99:99)+100</f>
        <v>100</v>
      </c>
      <c r="G33" s="407">
        <v>100</v>
      </c>
      <c r="H33" s="400">
        <f>LOOKUP(G33,98:98,99:99)-LOOKUP(C33,98:98,99:99)+100</f>
        <v>100</v>
      </c>
      <c r="I33" s="407">
        <v>100</v>
      </c>
      <c r="J33" s="374">
        <f>LOOKUP(I33,98:98,99:99)-LOOKUP(C33,98:98,99:99)+100</f>
        <v>100</v>
      </c>
      <c r="K33" s="538">
        <v>1</v>
      </c>
      <c r="L33" s="868"/>
      <c r="M33" s="859"/>
      <c r="N33" s="859"/>
      <c r="O33" s="867"/>
      <c r="P33" s="3443"/>
      <c r="Q33" s="1261" t="str">
        <f t="shared" si="11"/>
        <v>成新度</v>
      </c>
      <c r="R33" s="667" t="s">
        <v>14</v>
      </c>
      <c r="S33" s="668">
        <f t="shared" si="12"/>
        <v>100</v>
      </c>
      <c r="T33" s="667" t="s">
        <v>14</v>
      </c>
      <c r="U33" s="668">
        <f t="shared" si="13"/>
        <v>100</v>
      </c>
      <c r="V33" s="667" t="s">
        <v>14</v>
      </c>
      <c r="W33" s="668">
        <f t="shared" si="14"/>
        <v>100</v>
      </c>
      <c r="X33" s="1263"/>
      <c r="Y33" s="3443"/>
      <c r="Z33" s="1262" t="str">
        <f t="shared" si="15"/>
        <v>成新度</v>
      </c>
      <c r="AA33" s="1262">
        <f t="shared" si="3"/>
        <v>1</v>
      </c>
      <c r="AB33" s="1262">
        <f t="shared" si="4"/>
        <v>1</v>
      </c>
      <c r="AC33" s="1262">
        <f t="shared" si="5"/>
        <v>1</v>
      </c>
    </row>
    <row r="34" spans="1:29" s="102" customFormat="1" ht="15">
      <c r="A34" s="410"/>
      <c r="B34" s="364" t="s">
        <v>1819</v>
      </c>
      <c r="C34" s="399" t="s">
        <v>3883</v>
      </c>
      <c r="D34" s="119">
        <v>100</v>
      </c>
      <c r="E34" s="399" t="s">
        <v>3883</v>
      </c>
      <c r="F34" s="400">
        <f>SUMIF(100:100,E34,101:101)-SUMIF(100:100,C34,101:101)+100</f>
        <v>100</v>
      </c>
      <c r="G34" s="399" t="s">
        <v>3883</v>
      </c>
      <c r="H34" s="374">
        <f>SUMIF(100:100,G34,101:101)-SUMIF(100:100,C34,101:101)+100</f>
        <v>100</v>
      </c>
      <c r="I34" s="399" t="s">
        <v>3883</v>
      </c>
      <c r="J34" s="374">
        <f>SUMIF(100:100,I34,101:101)-SUMIF(100:100,C34,101:101)+100</f>
        <v>100</v>
      </c>
      <c r="K34" s="538">
        <v>1</v>
      </c>
      <c r="L34" s="860"/>
      <c r="M34" s="861"/>
      <c r="N34" s="861"/>
      <c r="O34" s="862"/>
      <c r="P34" s="3443"/>
      <c r="Q34" s="530" t="str">
        <f t="shared" si="11"/>
        <v>物业管理</v>
      </c>
      <c r="R34" s="664" t="s">
        <v>14</v>
      </c>
      <c r="S34" s="665">
        <f t="shared" si="12"/>
        <v>100</v>
      </c>
      <c r="T34" s="664" t="s">
        <v>14</v>
      </c>
      <c r="U34" s="665">
        <f t="shared" si="13"/>
        <v>100</v>
      </c>
      <c r="V34" s="664" t="s">
        <v>14</v>
      </c>
      <c r="W34" s="665">
        <f t="shared" si="14"/>
        <v>100</v>
      </c>
      <c r="X34" s="666"/>
      <c r="Y34" s="3443"/>
      <c r="Z34" s="50" t="str">
        <f t="shared" si="15"/>
        <v>物业管理</v>
      </c>
      <c r="AA34" s="50">
        <f t="shared" si="3"/>
        <v>1</v>
      </c>
      <c r="AB34" s="50">
        <f t="shared" si="4"/>
        <v>1</v>
      </c>
      <c r="AC34" s="50">
        <f t="shared" si="5"/>
        <v>1</v>
      </c>
    </row>
    <row r="35" spans="1:29" ht="15">
      <c r="A35" s="409"/>
      <c r="B35" s="364" t="s">
        <v>1787</v>
      </c>
      <c r="C35" s="399" t="s">
        <v>3680</v>
      </c>
      <c r="D35" s="374">
        <v>100</v>
      </c>
      <c r="E35" s="399" t="s">
        <v>3680</v>
      </c>
      <c r="F35" s="400">
        <f>SUMIF(102:102,E35,103:103)-SUMIF(102:102,C35,103:103)+100</f>
        <v>100</v>
      </c>
      <c r="G35" s="399" t="s">
        <v>3680</v>
      </c>
      <c r="H35" s="374">
        <f>SUMIF(102:102,G35,103:103)-SUMIF(102:102,C35,103:103)+100</f>
        <v>100</v>
      </c>
      <c r="I35" s="399" t="s">
        <v>3680</v>
      </c>
      <c r="J35" s="374">
        <f>SUMIF(102:102,I35,103:103)-SUMIF(102:102,C35,103:103)+100</f>
        <v>100</v>
      </c>
      <c r="K35" s="538">
        <v>1</v>
      </c>
      <c r="L35" s="868"/>
      <c r="M35" s="859"/>
      <c r="N35" s="859"/>
      <c r="O35" s="867"/>
      <c r="P35" s="3443" t="s">
        <v>1696</v>
      </c>
      <c r="Q35" s="1261" t="str">
        <f t="shared" si="11"/>
        <v>市政基础设施</v>
      </c>
      <c r="R35" s="667" t="s">
        <v>14</v>
      </c>
      <c r="S35" s="668">
        <f t="shared" si="12"/>
        <v>100</v>
      </c>
      <c r="T35" s="667" t="s">
        <v>14</v>
      </c>
      <c r="U35" s="668">
        <f t="shared" si="13"/>
        <v>100</v>
      </c>
      <c r="V35" s="667" t="s">
        <v>14</v>
      </c>
      <c r="W35" s="668">
        <f t="shared" si="14"/>
        <v>100</v>
      </c>
      <c r="X35" s="1263"/>
      <c r="Y35" s="3443" t="s">
        <v>1696</v>
      </c>
      <c r="Z35" s="1262" t="str">
        <f t="shared" si="15"/>
        <v>市政基础设施</v>
      </c>
      <c r="AA35" s="1262">
        <f t="shared" si="3"/>
        <v>1</v>
      </c>
      <c r="AB35" s="1262">
        <f t="shared" si="4"/>
        <v>1</v>
      </c>
      <c r="AC35" s="1262">
        <f t="shared" si="5"/>
        <v>1</v>
      </c>
    </row>
    <row r="36" spans="1:29" ht="15">
      <c r="A36" s="409"/>
      <c r="B36" s="364" t="s">
        <v>1792</v>
      </c>
      <c r="C36" s="399" t="s">
        <v>3871</v>
      </c>
      <c r="D36" s="374">
        <v>100</v>
      </c>
      <c r="E36" s="399" t="s">
        <v>3871</v>
      </c>
      <c r="F36" s="400">
        <f>SUMIF(104:104,E36,105:105)-SUMIF(104:104,C36,105:105)+100</f>
        <v>100</v>
      </c>
      <c r="G36" s="399" t="s">
        <v>3871</v>
      </c>
      <c r="H36" s="374">
        <f>SUMIF(104:104,G36,105:105)-SUMIF(104:104,C36,105:105)+100</f>
        <v>100</v>
      </c>
      <c r="I36" s="399" t="s">
        <v>3871</v>
      </c>
      <c r="J36" s="374">
        <f>SUMIF(104:104,I36,105:105)-SUMIF(104:104,C36,105:105)+100</f>
        <v>100</v>
      </c>
      <c r="K36" s="538">
        <v>1</v>
      </c>
      <c r="L36" s="868"/>
      <c r="M36" s="859"/>
      <c r="N36" s="859"/>
      <c r="O36" s="867"/>
      <c r="P36" s="3443"/>
      <c r="Q36" s="1261" t="str">
        <f t="shared" si="11"/>
        <v>内部装修</v>
      </c>
      <c r="R36" s="667" t="s">
        <v>14</v>
      </c>
      <c r="S36" s="668">
        <f t="shared" si="12"/>
        <v>100</v>
      </c>
      <c r="T36" s="667" t="s">
        <v>14</v>
      </c>
      <c r="U36" s="668">
        <f t="shared" si="13"/>
        <v>100</v>
      </c>
      <c r="V36" s="667" t="s">
        <v>14</v>
      </c>
      <c r="W36" s="668">
        <f t="shared" si="14"/>
        <v>100</v>
      </c>
      <c r="X36" s="1263"/>
      <c r="Y36" s="3443"/>
      <c r="Z36" s="1262" t="str">
        <f t="shared" si="15"/>
        <v>内部装修</v>
      </c>
      <c r="AA36" s="1262">
        <f t="shared" si="3"/>
        <v>1</v>
      </c>
      <c r="AB36" s="1262">
        <f t="shared" si="4"/>
        <v>1</v>
      </c>
      <c r="AC36" s="1262">
        <f t="shared" si="5"/>
        <v>1</v>
      </c>
    </row>
    <row r="37" spans="1:29" ht="15.75" thickBot="1">
      <c r="A37" s="409"/>
      <c r="B37" s="364" t="s">
        <v>1828</v>
      </c>
      <c r="C37" s="542" t="s">
        <v>3676</v>
      </c>
      <c r="D37" s="374">
        <v>100</v>
      </c>
      <c r="E37" s="542" t="s">
        <v>3676</v>
      </c>
      <c r="F37" s="400">
        <f>SUMIF(106:106,E37,107:107)-SUMIF(106:106,C37,107:107)+100</f>
        <v>100</v>
      </c>
      <c r="G37" s="542" t="s">
        <v>3676</v>
      </c>
      <c r="H37" s="374">
        <f>SUMIF(106:106,G37,107:107)-SUMIF(106:106,C37,107:107)+100</f>
        <v>100</v>
      </c>
      <c r="I37" s="542" t="s">
        <v>3676</v>
      </c>
      <c r="J37" s="374">
        <f>SUMIF(106:106,I37,107:107)-SUMIF(106:106,C37,107:107)+100</f>
        <v>100</v>
      </c>
      <c r="K37" s="538">
        <v>1</v>
      </c>
      <c r="L37" s="868"/>
      <c r="M37" s="859"/>
      <c r="N37" s="859"/>
      <c r="O37" s="867"/>
      <c r="P37" s="3443"/>
      <c r="Q37" s="1261" t="str">
        <f t="shared" si="11"/>
        <v>内部装修状况</v>
      </c>
      <c r="R37" s="667" t="s">
        <v>14</v>
      </c>
      <c r="S37" s="668">
        <f t="shared" si="12"/>
        <v>100</v>
      </c>
      <c r="T37" s="667" t="s">
        <v>14</v>
      </c>
      <c r="U37" s="668">
        <f t="shared" si="13"/>
        <v>100</v>
      </c>
      <c r="V37" s="667" t="s">
        <v>14</v>
      </c>
      <c r="W37" s="668">
        <f t="shared" si="14"/>
        <v>100</v>
      </c>
      <c r="X37" s="1263"/>
      <c r="Y37" s="3443"/>
      <c r="Z37" s="1262" t="str">
        <f t="shared" si="15"/>
        <v>内部装修状况</v>
      </c>
      <c r="AA37" s="1262">
        <f t="shared" si="3"/>
        <v>1</v>
      </c>
      <c r="AB37" s="1262">
        <f t="shared" si="4"/>
        <v>1</v>
      </c>
      <c r="AC37" s="1262">
        <f t="shared" si="5"/>
        <v>1</v>
      </c>
    </row>
    <row r="38" spans="1:29" s="408" customFormat="1" ht="15" hidden="1">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43"/>
      <c r="Q38" s="531">
        <f t="shared" si="11"/>
        <v>111</v>
      </c>
      <c r="R38" s="669" t="s">
        <v>14</v>
      </c>
      <c r="S38" s="670">
        <f t="shared" si="12"/>
        <v>100</v>
      </c>
      <c r="T38" s="669" t="s">
        <v>14</v>
      </c>
      <c r="U38" s="670">
        <f t="shared" si="13"/>
        <v>100</v>
      </c>
      <c r="V38" s="669" t="s">
        <v>14</v>
      </c>
      <c r="W38" s="670">
        <f t="shared" si="14"/>
        <v>100</v>
      </c>
      <c r="X38" s="671"/>
      <c r="Y38" s="3443"/>
      <c r="Z38" s="672">
        <f t="shared" si="15"/>
        <v>111</v>
      </c>
      <c r="AA38" s="1262">
        <f t="shared" si="3"/>
        <v>1</v>
      </c>
      <c r="AB38" s="1262">
        <f t="shared" si="4"/>
        <v>1</v>
      </c>
      <c r="AC38" s="1262">
        <f t="shared" si="5"/>
        <v>1</v>
      </c>
    </row>
    <row r="39" spans="1:29" ht="15" hidden="1">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43"/>
      <c r="Q39" s="1261">
        <f t="shared" si="11"/>
        <v>111</v>
      </c>
      <c r="R39" s="667" t="s">
        <v>14</v>
      </c>
      <c r="S39" s="668">
        <f t="shared" si="12"/>
        <v>100</v>
      </c>
      <c r="T39" s="667" t="s">
        <v>14</v>
      </c>
      <c r="U39" s="668">
        <f t="shared" si="13"/>
        <v>100</v>
      </c>
      <c r="V39" s="667" t="s">
        <v>14</v>
      </c>
      <c r="W39" s="668">
        <f t="shared" si="14"/>
        <v>100</v>
      </c>
      <c r="X39" s="1263"/>
      <c r="Y39" s="3443"/>
      <c r="Z39" s="1262">
        <f t="shared" si="15"/>
        <v>111</v>
      </c>
      <c r="AA39" s="1262">
        <f t="shared" si="3"/>
        <v>1</v>
      </c>
      <c r="AB39" s="1262">
        <f t="shared" si="4"/>
        <v>1</v>
      </c>
      <c r="AC39" s="1262">
        <f t="shared" si="5"/>
        <v>1</v>
      </c>
    </row>
    <row r="40" spans="1:29" ht="15.75" hidden="1"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85"/>
      <c r="Q40" s="1261">
        <f t="shared" si="11"/>
        <v>111</v>
      </c>
      <c r="R40" s="667" t="s">
        <v>14</v>
      </c>
      <c r="S40" s="668">
        <f t="shared" si="12"/>
        <v>100</v>
      </c>
      <c r="T40" s="667" t="s">
        <v>14</v>
      </c>
      <c r="U40" s="668">
        <f t="shared" si="13"/>
        <v>100</v>
      </c>
      <c r="V40" s="667" t="s">
        <v>14</v>
      </c>
      <c r="W40" s="668">
        <f t="shared" si="14"/>
        <v>100</v>
      </c>
      <c r="X40" s="1263"/>
      <c r="Y40" s="3485"/>
      <c r="Z40" s="1262">
        <f t="shared" si="15"/>
        <v>111</v>
      </c>
      <c r="AA40" s="1262">
        <f t="shared" si="3"/>
        <v>1</v>
      </c>
      <c r="AB40" s="1262">
        <f t="shared" si="4"/>
        <v>1</v>
      </c>
      <c r="AC40" s="1262">
        <f t="shared" si="5"/>
        <v>1</v>
      </c>
    </row>
    <row r="41" spans="1:29" ht="15">
      <c r="A41" s="416" t="s">
        <v>1708</v>
      </c>
      <c r="B41" s="417"/>
      <c r="C41" s="1079" t="s">
        <v>0</v>
      </c>
      <c r="D41" s="418"/>
      <c r="E41" s="419">
        <v>1</v>
      </c>
      <c r="F41" s="420"/>
      <c r="G41" s="421">
        <v>1.1000000000000001</v>
      </c>
      <c r="H41" s="422"/>
      <c r="I41" s="419">
        <v>1</v>
      </c>
      <c r="J41" s="422"/>
      <c r="K41" s="674"/>
      <c r="L41" s="871"/>
      <c r="M41" s="859"/>
      <c r="N41" s="859"/>
      <c r="O41" s="859"/>
      <c r="P41" s="3435" t="str">
        <f>A41</f>
        <v>成交单价（元/平方米）</v>
      </c>
      <c r="Q41" s="3435"/>
      <c r="R41" s="3439">
        <f>E41</f>
        <v>1</v>
      </c>
      <c r="S41" s="3439"/>
      <c r="T41" s="3439">
        <f>G41</f>
        <v>1.1000000000000001</v>
      </c>
      <c r="U41" s="3439"/>
      <c r="V41" s="3439">
        <f>I41</f>
        <v>1</v>
      </c>
      <c r="W41" s="3439"/>
      <c r="X41" s="385"/>
      <c r="Y41" s="673"/>
      <c r="Z41" s="385"/>
      <c r="AA41" s="385"/>
      <c r="AB41" s="385"/>
      <c r="AC41" s="385"/>
    </row>
    <row r="42" spans="1:29" ht="15.75" thickBot="1">
      <c r="A42" s="423" t="s">
        <v>1793</v>
      </c>
      <c r="B42" s="424"/>
      <c r="C42" s="1080">
        <f>R43</f>
        <v>1</v>
      </c>
      <c r="D42" s="2137" t="s">
        <v>2137</v>
      </c>
      <c r="E42" s="1081">
        <f>R42</f>
        <v>1</v>
      </c>
      <c r="F42" s="2138"/>
      <c r="G42" s="1080">
        <f>T42</f>
        <v>1.1000000000000001</v>
      </c>
      <c r="H42" s="2138"/>
      <c r="I42" s="1081">
        <f>V42</f>
        <v>1</v>
      </c>
      <c r="J42" s="2138"/>
      <c r="K42" s="2140">
        <f>F42+H42+J42</f>
        <v>0</v>
      </c>
      <c r="L42" s="871"/>
      <c r="M42" s="859"/>
      <c r="N42" s="859"/>
      <c r="O42" s="859"/>
      <c r="P42" s="3435" t="str">
        <f>A42</f>
        <v>比较价值（元/平方米）</v>
      </c>
      <c r="Q42" s="3435"/>
      <c r="R42" s="3439">
        <f>IF(F1="售价",ROUND(PRODUCT(R41,AA7:AA40),0),ROUND(PRODUCT(R41,AA7:AA40),1))</f>
        <v>1</v>
      </c>
      <c r="S42" s="3439"/>
      <c r="T42" s="3439">
        <f>IF(F1="售价",ROUND(PRODUCT(T41,AB7:AB40),0),ROUND(PRODUCT(T41,AB7:AB40),1))</f>
        <v>1.1000000000000001</v>
      </c>
      <c r="U42" s="3439"/>
      <c r="V42" s="3439">
        <f>IF(F1="售价",ROUND(PRODUCT(V41,AC7:AC40),0),ROUND(PRODUCT(V41,AC7:AC40),1))</f>
        <v>1</v>
      </c>
      <c r="W42" s="3439"/>
      <c r="X42" s="385"/>
      <c r="Y42" s="385"/>
      <c r="Z42" s="385"/>
      <c r="AA42" s="385"/>
      <c r="AB42" s="385"/>
      <c r="AC42" s="385"/>
    </row>
    <row r="43" spans="1:29" ht="15.75" thickBot="1">
      <c r="A43" s="427" t="s">
        <v>1794</v>
      </c>
      <c r="B43" s="428"/>
      <c r="C43" s="351">
        <f>R43</f>
        <v>1</v>
      </c>
      <c r="D43" s="351"/>
      <c r="E43" s="351"/>
      <c r="F43" s="351"/>
      <c r="G43" s="351"/>
      <c r="H43" s="351"/>
      <c r="I43" s="351"/>
      <c r="J43" s="351"/>
      <c r="K43" s="675"/>
      <c r="L43" s="871"/>
      <c r="M43" s="859"/>
      <c r="N43" s="859"/>
      <c r="O43" s="859"/>
      <c r="P43" s="3432" t="str">
        <f>A43</f>
        <v>估价对象XX用房的比较价值（楼面单价，元/平方米）</v>
      </c>
      <c r="Q43" s="3433"/>
      <c r="R43" s="3486">
        <f>IF(F1="售价",ROUND(IF(D42="简单平均",AVERAGE(R42:V42),R42*F42+T42*H42+V42*J42),0),ROUND(IF(D42="简单平均",AVERAGE(R42:V42),R42*F42+T42*H42+V42*J42),1))</f>
        <v>1</v>
      </c>
      <c r="S43" s="3486"/>
      <c r="T43" s="3486"/>
      <c r="U43" s="3486"/>
      <c r="V43" s="3486"/>
      <c r="W43" s="3486"/>
      <c r="X43" s="385"/>
      <c r="Y43" s="385"/>
      <c r="Z43" s="385"/>
      <c r="AA43" s="385"/>
      <c r="AB43" s="385"/>
      <c r="AC43" s="385"/>
    </row>
    <row r="44" spans="1:29">
      <c r="A44" s="2484"/>
      <c r="B44" s="2484"/>
      <c r="C44" s="2484"/>
      <c r="D44" s="2484"/>
      <c r="E44" s="2484"/>
      <c r="F44" s="2484"/>
      <c r="G44" s="2495"/>
      <c r="H44" s="2484"/>
      <c r="I44" s="2484"/>
      <c r="J44" s="2484"/>
      <c r="K44" s="2496"/>
      <c r="L44" s="834"/>
      <c r="M44" s="859"/>
      <c r="N44" s="859"/>
      <c r="O44" s="859"/>
    </row>
    <row r="45" spans="1:29">
      <c r="A45" s="2484"/>
      <c r="B45" s="2484"/>
      <c r="C45" s="2484"/>
      <c r="D45" s="2484"/>
      <c r="E45" s="2484"/>
      <c r="F45" s="2484"/>
      <c r="G45" s="2484"/>
      <c r="H45" s="2484"/>
      <c r="I45" s="2484"/>
      <c r="J45" s="2484"/>
      <c r="K45" s="2496"/>
      <c r="L45" s="834"/>
      <c r="M45" s="859"/>
      <c r="N45" s="859"/>
      <c r="O45" s="859"/>
    </row>
    <row r="46" spans="1:29" ht="13.5" customHeight="1">
      <c r="A46" s="2484"/>
      <c r="B46" s="2484"/>
      <c r="C46" s="432" t="s">
        <v>1795</v>
      </c>
      <c r="D46" s="433"/>
      <c r="E46" s="434">
        <f>IF(E41&lt;E42,E42/E41-1,E41/E42-1)</f>
        <v>0</v>
      </c>
      <c r="F46" s="435" t="str">
        <f>IF(OR(E46&gt;=0.3,E46&lt;=-0.3),"超过30%","")</f>
        <v/>
      </c>
      <c r="G46" s="434">
        <f>IF(G41&lt;G42,G42/G41-1,G41/G42-1)</f>
        <v>0</v>
      </c>
      <c r="H46" s="435" t="str">
        <f>IF(OR(G46&gt;=0.3,G46&lt;=-0.3),"超过30%","")</f>
        <v/>
      </c>
      <c r="I46" s="434">
        <f>IF(I41&lt;I42,I42/I41-1,I41/I42-1)</f>
        <v>0</v>
      </c>
      <c r="J46" s="435" t="str">
        <f>IF(OR(I46&gt;=0.3,I46&lt;=-0.3),"超过30%","")</f>
        <v/>
      </c>
      <c r="K46" s="2496"/>
      <c r="L46" s="834"/>
      <c r="M46" s="859"/>
      <c r="N46" s="859"/>
      <c r="O46" s="859"/>
    </row>
    <row r="47" spans="1:29" ht="13.5" customHeight="1">
      <c r="A47" s="2484"/>
      <c r="B47" s="2484"/>
      <c r="C47" s="432" t="s">
        <v>1796</v>
      </c>
      <c r="D47" s="436"/>
      <c r="E47" s="434">
        <f>IF(E42&lt;G42,G42/E42-1,E42/G42-1)</f>
        <v>0.10000000000000009</v>
      </c>
      <c r="F47" s="435" t="str">
        <f>IF(OR(E47&gt;=0.2,E47&lt;=-0.2),"超过20%","")</f>
        <v/>
      </c>
      <c r="G47" s="434">
        <f>IF(G42&lt;I42,I42/G42-1,G42/I42-1)</f>
        <v>0.10000000000000009</v>
      </c>
      <c r="H47" s="435" t="str">
        <f>IF(OR(G47&gt;=0.2,G47&lt;=-0.2),"超过20%","")</f>
        <v/>
      </c>
      <c r="I47" s="434">
        <f>IF(I42&lt;E42,E42/I42-1,I42/E42-1)</f>
        <v>0</v>
      </c>
      <c r="J47" s="435" t="str">
        <f>IF(OR(I47&gt;=0.2,I47&lt;=-0.2),"超过20%","")</f>
        <v/>
      </c>
      <c r="K47" s="2496"/>
      <c r="L47" s="834"/>
      <c r="M47" s="859"/>
      <c r="N47" s="859"/>
      <c r="O47" s="859"/>
    </row>
    <row r="48" spans="1:29" s="437" customFormat="1" ht="13.5" customHeight="1">
      <c r="A48" s="2494"/>
      <c r="B48" s="2494"/>
      <c r="C48" s="432" t="s">
        <v>1797</v>
      </c>
      <c r="D48" s="436"/>
      <c r="E48" s="434">
        <f>IF(E41&lt;G41,G41/E41-1,E41/G41-1)</f>
        <v>0.10000000000000009</v>
      </c>
      <c r="F48" s="435" t="str">
        <f>IF(OR(E48&gt;=0.3,E48&lt;=-0.3),"超过30%","")</f>
        <v/>
      </c>
      <c r="G48" s="434">
        <f>IF(G41&lt;I41,I41/G41-1,G41/I41-1)</f>
        <v>0.10000000000000009</v>
      </c>
      <c r="H48" s="435" t="str">
        <f>IF(OR(G48&gt;=0.3,G48&lt;=-0.3),"超过30%","")</f>
        <v/>
      </c>
      <c r="I48" s="434">
        <f>IF(I41&lt;E41,E41/I41-1,I41/E41-1)</f>
        <v>0</v>
      </c>
      <c r="J48" s="435" t="str">
        <f>IF(OR(I48&gt;=0.3,I48&lt;=-0.3),"超过30%","")</f>
        <v/>
      </c>
      <c r="K48" s="2499"/>
      <c r="L48" s="874"/>
      <c r="M48" s="872"/>
      <c r="N48" s="872"/>
      <c r="O48" s="872"/>
    </row>
    <row r="49" spans="1:17" s="437" customFormat="1">
      <c r="A49" s="2494"/>
      <c r="B49" s="2497"/>
      <c r="C49" s="2498"/>
      <c r="D49" s="2494"/>
      <c r="E49" s="2494"/>
      <c r="F49" s="2494"/>
      <c r="G49" s="2494"/>
      <c r="H49" s="2494"/>
      <c r="I49" s="2494"/>
      <c r="J49" s="2494"/>
      <c r="K49" s="2499"/>
      <c r="L49" s="874"/>
      <c r="M49" s="872"/>
      <c r="N49" s="872"/>
      <c r="O49" s="872"/>
    </row>
    <row r="50" spans="1:17">
      <c r="A50" s="2484"/>
      <c r="B50" s="2497"/>
      <c r="C50" s="2498"/>
      <c r="D50" s="2484"/>
      <c r="E50" s="2484"/>
      <c r="F50" s="2484"/>
      <c r="G50" s="2484"/>
      <c r="H50" s="2484"/>
      <c r="I50" s="2484"/>
      <c r="J50" s="2484"/>
      <c r="K50" s="2496"/>
      <c r="L50" s="834"/>
      <c r="M50" s="859"/>
      <c r="N50" s="859"/>
      <c r="O50" s="859"/>
    </row>
    <row r="51" spans="1:17" ht="21.75" thickBot="1">
      <c r="A51" s="658" t="s">
        <v>1798</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1" t="str">
        <f>YEAR(C7)&amp;"-"&amp;MONTH(C7)</f>
        <v>2024-6</v>
      </c>
      <c r="D52" s="1102">
        <f>EDATE(C52,-1)</f>
        <v>45413</v>
      </c>
      <c r="E52" s="1102">
        <f t="shared" ref="E52:O52" si="16">EDATE(D52,-1)</f>
        <v>45383</v>
      </c>
      <c r="F52" s="1102">
        <f t="shared" si="16"/>
        <v>45352</v>
      </c>
      <c r="G52" s="1102">
        <f t="shared" si="16"/>
        <v>45323</v>
      </c>
      <c r="H52" s="1102">
        <f t="shared" si="16"/>
        <v>45292</v>
      </c>
      <c r="I52" s="1102">
        <f t="shared" si="16"/>
        <v>45261</v>
      </c>
      <c r="J52" s="1102">
        <f t="shared" si="16"/>
        <v>45231</v>
      </c>
      <c r="K52" s="1102">
        <f t="shared" si="16"/>
        <v>45200</v>
      </c>
      <c r="L52" s="1102">
        <f t="shared" si="16"/>
        <v>45170</v>
      </c>
      <c r="M52" s="1102">
        <f t="shared" si="16"/>
        <v>45139</v>
      </c>
      <c r="N52" s="1102">
        <f t="shared" si="16"/>
        <v>45108</v>
      </c>
      <c r="O52" s="1102">
        <f t="shared" si="16"/>
        <v>45078</v>
      </c>
    </row>
    <row r="53" spans="1:17" s="102" customFormat="1" ht="15">
      <c r="A53" s="443"/>
      <c r="B53" s="444"/>
      <c r="C53" s="1100">
        <v>100</v>
      </c>
      <c r="D53" s="446"/>
      <c r="E53" s="446"/>
      <c r="F53" s="446"/>
      <c r="G53" s="446"/>
      <c r="H53" s="446">
        <v>100</v>
      </c>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206" t="s">
        <v>3854</v>
      </c>
      <c r="E55" s="31"/>
      <c r="F55" s="31"/>
      <c r="G55" s="31"/>
      <c r="H55" s="31"/>
      <c r="I55" s="31"/>
      <c r="J55" s="31"/>
      <c r="K55" s="31"/>
      <c r="L55" s="457"/>
      <c r="M55" s="458"/>
      <c r="N55" s="876"/>
      <c r="O55" s="876"/>
      <c r="P55" s="459"/>
      <c r="Q55" s="439"/>
    </row>
    <row r="56" spans="1:17" s="102" customFormat="1" ht="15.75" thickBot="1">
      <c r="A56" s="455"/>
      <c r="B56" s="444"/>
      <c r="C56" s="563">
        <v>100</v>
      </c>
      <c r="D56" s="446">
        <v>102</v>
      </c>
      <c r="E56" s="446"/>
      <c r="F56" s="446"/>
      <c r="G56" s="446"/>
      <c r="H56" s="446"/>
      <c r="I56" s="446"/>
      <c r="J56" s="446"/>
      <c r="K56" s="446"/>
      <c r="L56" s="446"/>
      <c r="M56" s="448"/>
      <c r="N56" s="876"/>
      <c r="O56" s="876"/>
      <c r="P56" s="439"/>
      <c r="Q56" s="439"/>
    </row>
    <row r="57" spans="1:17">
      <c r="A57" s="379" t="s">
        <v>1719</v>
      </c>
      <c r="B57" s="460" t="s">
        <v>1685</v>
      </c>
      <c r="C57" s="461" t="str">
        <f>C9</f>
        <v>工业</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0（含）-1</v>
      </c>
      <c r="D61" s="478" t="str">
        <f t="shared" ref="D61:L61" si="17">D62&amp;"（含）"&amp;"-"&amp;E62</f>
        <v>1（含）-2</v>
      </c>
      <c r="E61" s="478" t="str">
        <f t="shared" si="17"/>
        <v>2（含）-3</v>
      </c>
      <c r="F61" s="478" t="str">
        <f t="shared" si="17"/>
        <v>3（含）-4</v>
      </c>
      <c r="G61" s="478" t="str">
        <f t="shared" si="17"/>
        <v>4（含）-5</v>
      </c>
      <c r="H61" s="478" t="str">
        <f t="shared" si="17"/>
        <v>5（含）-6</v>
      </c>
      <c r="I61" s="478" t="str">
        <f t="shared" si="17"/>
        <v>6（含）-7</v>
      </c>
      <c r="J61" s="478" t="str">
        <f t="shared" si="17"/>
        <v>7（含）-8</v>
      </c>
      <c r="K61" s="478" t="str">
        <f t="shared" si="17"/>
        <v>8（含）-9</v>
      </c>
      <c r="L61" s="478" t="str">
        <f t="shared" si="17"/>
        <v>9（含）-10</v>
      </c>
      <c r="M61" s="387" t="str">
        <f>M62&amp;"（含）"&amp;"-"&amp;P62</f>
        <v>10（含）-</v>
      </c>
      <c r="N61" s="878"/>
      <c r="O61" s="878"/>
      <c r="P61" s="40"/>
      <c r="Q61" s="439"/>
    </row>
    <row r="62" spans="1:17" ht="15">
      <c r="A62" s="367"/>
      <c r="B62" s="479"/>
      <c r="C62" s="480">
        <v>0</v>
      </c>
      <c r="D62" s="480">
        <v>1</v>
      </c>
      <c r="E62" s="480">
        <v>2</v>
      </c>
      <c r="F62" s="480">
        <v>3</v>
      </c>
      <c r="G62" s="480">
        <v>4</v>
      </c>
      <c r="H62" s="480">
        <v>5</v>
      </c>
      <c r="I62" s="480">
        <v>6</v>
      </c>
      <c r="J62" s="480">
        <v>7</v>
      </c>
      <c r="K62" s="480">
        <v>8</v>
      </c>
      <c r="L62" s="480">
        <v>9</v>
      </c>
      <c r="M62" s="480">
        <v>10</v>
      </c>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98</v>
      </c>
      <c r="E71" s="475">
        <f>D71-$K15</f>
        <v>96</v>
      </c>
      <c r="F71" s="475">
        <f>E71-$K15</f>
        <v>94</v>
      </c>
      <c r="G71" s="475">
        <f>F71-$K15</f>
        <v>92</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98</v>
      </c>
      <c r="E73" s="475">
        <f>D73-$K17</f>
        <v>96</v>
      </c>
      <c r="F73" s="475">
        <f>E73-$K17</f>
        <v>94</v>
      </c>
      <c r="G73" s="475">
        <f>F73-$K17</f>
        <v>92</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98</v>
      </c>
      <c r="E79" s="475">
        <f>D79-$K23</f>
        <v>96</v>
      </c>
      <c r="F79" s="475">
        <f>E79-$K23</f>
        <v>94</v>
      </c>
      <c r="G79" s="475">
        <f>F79-$K23</f>
        <v>92</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3207" t="s">
        <v>3873</v>
      </c>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98</v>
      </c>
      <c r="E89" s="475">
        <f t="shared" si="19"/>
        <v>96</v>
      </c>
      <c r="F89" s="475">
        <f t="shared" si="19"/>
        <v>94</v>
      </c>
      <c r="G89" s="475">
        <f t="shared" si="19"/>
        <v>92</v>
      </c>
      <c r="H89" s="475">
        <f t="shared" si="19"/>
        <v>90</v>
      </c>
      <c r="I89" s="475">
        <f t="shared" si="19"/>
        <v>88</v>
      </c>
      <c r="J89" s="475">
        <f t="shared" si="19"/>
        <v>86</v>
      </c>
      <c r="K89" s="475">
        <f t="shared" si="19"/>
        <v>84</v>
      </c>
      <c r="L89" s="475">
        <f t="shared" si="19"/>
        <v>82</v>
      </c>
      <c r="M89" s="476">
        <f t="shared" si="19"/>
        <v>80</v>
      </c>
      <c r="N89" s="878"/>
      <c r="O89" s="878"/>
      <c r="P89" s="40"/>
      <c r="Q89" s="439"/>
    </row>
    <row r="90" spans="1:17" ht="29.25" thickTop="1">
      <c r="A90" s="367"/>
      <c r="B90" s="469" t="s">
        <v>1737</v>
      </c>
      <c r="C90" s="509" t="str">
        <f>C91&amp;"(含)"&amp;"-"&amp;D91</f>
        <v>0(含)-500</v>
      </c>
      <c r="D90" s="509" t="str">
        <f t="shared" ref="D90:L90" si="20">D91&amp;"(含)"&amp;"-"&amp;E91</f>
        <v>500(含)-1000</v>
      </c>
      <c r="E90" s="509" t="str">
        <f t="shared" si="20"/>
        <v>1000(含)-1500</v>
      </c>
      <c r="F90" s="509" t="str">
        <f t="shared" si="20"/>
        <v>1500(含)-2000</v>
      </c>
      <c r="G90" s="509" t="str">
        <f t="shared" si="20"/>
        <v>2000(含)-2500</v>
      </c>
      <c r="H90" s="509" t="str">
        <f t="shared" si="20"/>
        <v>2500(含)-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v>0</v>
      </c>
      <c r="D91" s="6">
        <v>500</v>
      </c>
      <c r="E91" s="6">
        <v>1000</v>
      </c>
      <c r="F91" s="6">
        <v>1500</v>
      </c>
      <c r="G91" s="6">
        <v>2000</v>
      </c>
      <c r="H91" s="6">
        <v>2500</v>
      </c>
      <c r="I91" s="6"/>
      <c r="J91" s="524"/>
      <c r="K91" s="524"/>
      <c r="L91" s="525"/>
      <c r="M91" s="526"/>
      <c r="N91" s="879"/>
      <c r="O91" s="879"/>
      <c r="P91" s="489"/>
      <c r="Q91" s="490"/>
    </row>
    <row r="92" spans="1:17" s="408" customFormat="1" ht="15.75" thickBot="1">
      <c r="A92" s="484"/>
      <c r="B92" s="474"/>
      <c r="C92" s="491">
        <v>100</v>
      </c>
      <c r="D92" s="467">
        <v>101</v>
      </c>
      <c r="E92" s="491">
        <v>102</v>
      </c>
      <c r="F92" s="467">
        <v>103</v>
      </c>
      <c r="G92" s="491">
        <v>104</v>
      </c>
      <c r="H92" s="467">
        <v>105</v>
      </c>
      <c r="I92" s="467"/>
      <c r="J92" s="467"/>
      <c r="K92" s="467"/>
      <c r="L92" s="467"/>
      <c r="M92" s="468"/>
      <c r="N92" s="878"/>
      <c r="O92" s="878"/>
      <c r="P92" s="489"/>
      <c r="Q92" s="490"/>
    </row>
    <row r="93" spans="1:17" ht="15" thickTop="1">
      <c r="A93" s="409"/>
      <c r="B93" s="469" t="s">
        <v>1738</v>
      </c>
      <c r="C93" s="3200" t="s">
        <v>3874</v>
      </c>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99</v>
      </c>
      <c r="E94" s="475">
        <f t="shared" si="21"/>
        <v>98</v>
      </c>
      <c r="F94" s="475">
        <f t="shared" si="21"/>
        <v>97</v>
      </c>
      <c r="G94" s="475">
        <f t="shared" si="21"/>
        <v>96</v>
      </c>
      <c r="H94" s="475">
        <f t="shared" si="21"/>
        <v>95</v>
      </c>
      <c r="I94" s="475">
        <f t="shared" si="21"/>
        <v>94</v>
      </c>
      <c r="J94" s="475">
        <f t="shared" si="21"/>
        <v>93</v>
      </c>
      <c r="K94" s="475">
        <f t="shared" si="21"/>
        <v>92</v>
      </c>
      <c r="L94" s="475">
        <f t="shared" si="21"/>
        <v>91</v>
      </c>
      <c r="M94" s="476">
        <f t="shared" si="21"/>
        <v>90</v>
      </c>
      <c r="N94" s="878"/>
      <c r="O94" s="878"/>
      <c r="P94" s="40"/>
      <c r="Q94" s="439"/>
    </row>
    <row r="95" spans="1:17" ht="15" thickTop="1">
      <c r="A95" s="409"/>
      <c r="B95" s="469" t="s">
        <v>1740</v>
      </c>
      <c r="C95" s="3200" t="s">
        <v>3858</v>
      </c>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99</v>
      </c>
      <c r="E96" s="475">
        <f t="shared" si="22"/>
        <v>98</v>
      </c>
      <c r="F96" s="475">
        <f t="shared" si="22"/>
        <v>97</v>
      </c>
      <c r="G96" s="475">
        <f t="shared" si="22"/>
        <v>96</v>
      </c>
      <c r="H96" s="475">
        <f t="shared" si="22"/>
        <v>95</v>
      </c>
      <c r="I96" s="475">
        <f t="shared" si="22"/>
        <v>94</v>
      </c>
      <c r="J96" s="475">
        <f t="shared" si="22"/>
        <v>93</v>
      </c>
      <c r="K96" s="475">
        <f t="shared" si="22"/>
        <v>92</v>
      </c>
      <c r="L96" s="475">
        <f t="shared" si="22"/>
        <v>91</v>
      </c>
      <c r="M96" s="476">
        <f t="shared" si="22"/>
        <v>90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101</v>
      </c>
      <c r="E99" s="475">
        <f t="shared" ref="E99:M99" si="23">D99+$K33</f>
        <v>102</v>
      </c>
      <c r="F99" s="475">
        <f t="shared" si="23"/>
        <v>103</v>
      </c>
      <c r="G99" s="475">
        <f t="shared" si="23"/>
        <v>104</v>
      </c>
      <c r="H99" s="475">
        <f t="shared" si="23"/>
        <v>105</v>
      </c>
      <c r="I99" s="475">
        <f t="shared" si="23"/>
        <v>106</v>
      </c>
      <c r="J99" s="475">
        <f t="shared" si="23"/>
        <v>107</v>
      </c>
      <c r="K99" s="475">
        <f t="shared" si="23"/>
        <v>108</v>
      </c>
      <c r="L99" s="475">
        <f t="shared" si="23"/>
        <v>109</v>
      </c>
      <c r="M99" s="475">
        <f t="shared" si="23"/>
        <v>110</v>
      </c>
      <c r="N99" s="878"/>
      <c r="O99" s="878"/>
      <c r="P99" s="40"/>
      <c r="Q99" s="439"/>
    </row>
    <row r="100" spans="1:17" s="408" customFormat="1" ht="15" thickTop="1">
      <c r="A100" s="406"/>
      <c r="B100" s="469" t="s">
        <v>1741</v>
      </c>
      <c r="C100" s="3200" t="s">
        <v>3875</v>
      </c>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99</v>
      </c>
      <c r="E101" s="475">
        <f t="shared" ref="E101:M101" si="24">D101-$K34</f>
        <v>98</v>
      </c>
      <c r="F101" s="475">
        <f t="shared" si="24"/>
        <v>97</v>
      </c>
      <c r="G101" s="475">
        <f t="shared" si="24"/>
        <v>96</v>
      </c>
      <c r="H101" s="475">
        <f t="shared" si="24"/>
        <v>95</v>
      </c>
      <c r="I101" s="475">
        <f t="shared" si="24"/>
        <v>94</v>
      </c>
      <c r="J101" s="475">
        <f t="shared" si="24"/>
        <v>93</v>
      </c>
      <c r="K101" s="475">
        <f t="shared" si="24"/>
        <v>92</v>
      </c>
      <c r="L101" s="475">
        <f t="shared" si="24"/>
        <v>91</v>
      </c>
      <c r="M101" s="475">
        <f t="shared" si="24"/>
        <v>90</v>
      </c>
      <c r="N101" s="879"/>
      <c r="O101" s="879"/>
      <c r="P101" s="489"/>
      <c r="Q101" s="490"/>
    </row>
    <row r="102" spans="1:17" ht="15" thickTop="1">
      <c r="A102" s="409"/>
      <c r="B102" s="469" t="s">
        <v>1742</v>
      </c>
      <c r="C102" s="3200" t="s">
        <v>3669</v>
      </c>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99</v>
      </c>
      <c r="E103" s="475">
        <f t="shared" si="25"/>
        <v>98</v>
      </c>
      <c r="F103" s="475">
        <f t="shared" si="25"/>
        <v>97</v>
      </c>
      <c r="G103" s="475">
        <f t="shared" si="25"/>
        <v>96</v>
      </c>
      <c r="H103" s="475">
        <f t="shared" si="25"/>
        <v>95</v>
      </c>
      <c r="I103" s="475">
        <f t="shared" si="25"/>
        <v>94</v>
      </c>
      <c r="J103" s="475">
        <f t="shared" si="25"/>
        <v>93</v>
      </c>
      <c r="K103" s="475">
        <f t="shared" si="25"/>
        <v>92</v>
      </c>
      <c r="L103" s="475">
        <f t="shared" si="25"/>
        <v>91</v>
      </c>
      <c r="M103" s="476">
        <f t="shared" si="25"/>
        <v>90</v>
      </c>
      <c r="N103" s="878"/>
      <c r="O103" s="878"/>
      <c r="P103" s="40"/>
      <c r="Q103" s="439"/>
    </row>
    <row r="104" spans="1:17" ht="15" thickTop="1">
      <c r="A104" s="409"/>
      <c r="B104" s="469" t="s">
        <v>1744</v>
      </c>
      <c r="C104" s="3200" t="s">
        <v>3858</v>
      </c>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99</v>
      </c>
      <c r="E105" s="475">
        <f>D105-$K36</f>
        <v>98</v>
      </c>
      <c r="F105" s="475">
        <f>E105-$K36</f>
        <v>97</v>
      </c>
      <c r="G105" s="475">
        <f>F105-$K36</f>
        <v>96</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99</v>
      </c>
      <c r="E107" s="475">
        <f t="shared" si="26"/>
        <v>98</v>
      </c>
      <c r="F107" s="475">
        <f t="shared" si="26"/>
        <v>97</v>
      </c>
      <c r="G107" s="475">
        <f t="shared" si="26"/>
        <v>96</v>
      </c>
      <c r="H107" s="475">
        <f t="shared" si="26"/>
        <v>95</v>
      </c>
      <c r="I107" s="475">
        <f t="shared" si="26"/>
        <v>94</v>
      </c>
      <c r="J107" s="475">
        <f t="shared" si="26"/>
        <v>93</v>
      </c>
      <c r="K107" s="475">
        <f t="shared" si="26"/>
        <v>92</v>
      </c>
      <c r="L107" s="475">
        <f t="shared" si="26"/>
        <v>91</v>
      </c>
      <c r="M107" s="475">
        <f t="shared" si="26"/>
        <v>90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7" zoomScale="85" zoomScaleNormal="60" zoomScaleSheetLayoutView="85" workbookViewId="0">
      <selection activeCell="N42" sqref="N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t="s">
        <v>3849</v>
      </c>
      <c r="E1" s="3121" t="s">
        <v>3860</v>
      </c>
      <c r="F1" s="1733" t="s">
        <v>3861</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2">
        <f>IF(E1="项目模式",IF(C2="——",ROUND(C49*D3/10000,0),ROUND(C49*D3/10000,0)-D2),IF(E1="单套模式",IF(C2="——",ROUND(C49*D3/10000,4),ROUND(C49*D3/10000,4)-D2)))</f>
        <v>0</v>
      </c>
      <c r="C2" s="1735" t="s">
        <v>43</v>
      </c>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1"/>
      <c r="M2" s="2482"/>
      <c r="N2" s="2482"/>
      <c r="O2" s="2482"/>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1.3</v>
      </c>
      <c r="C3" s="344" t="s">
        <v>1665</v>
      </c>
      <c r="D3" s="343">
        <f>IF(D1="",'数据-汇总表'!E3,SUMIF('数据-汇总表'!$C19:$C33,D1,'数据-汇总表'!$E19:$E33))</f>
        <v>0</v>
      </c>
      <c r="E3" s="852"/>
      <c r="F3" s="1741"/>
      <c r="G3" s="852"/>
      <c r="H3" s="852"/>
      <c r="I3" s="852"/>
      <c r="J3" s="852"/>
      <c r="K3" s="1738"/>
      <c r="L3" s="2481"/>
      <c r="M3" s="2482"/>
      <c r="N3" s="2482"/>
      <c r="O3" s="2482"/>
      <c r="P3" s="1739"/>
      <c r="Q3" s="1740"/>
      <c r="R3" s="1740"/>
      <c r="S3" s="1740"/>
      <c r="T3" s="1740"/>
      <c r="U3" s="1740"/>
      <c r="V3" s="1740"/>
      <c r="W3" s="1740"/>
      <c r="X3" s="1740"/>
      <c r="Y3" s="1740"/>
      <c r="Z3" s="1740"/>
      <c r="AA3" s="1740"/>
      <c r="AB3" s="1740"/>
      <c r="AC3" s="996"/>
    </row>
    <row r="4" spans="1:29" ht="15">
      <c r="A4" s="345" t="s">
        <v>1666</v>
      </c>
      <c r="B4" s="346"/>
      <c r="C4" s="3447" t="s">
        <v>1667</v>
      </c>
      <c r="D4" s="3448"/>
      <c r="E4" s="3449" t="s">
        <v>1668</v>
      </c>
      <c r="F4" s="3450"/>
      <c r="G4" s="3447" t="s">
        <v>1669</v>
      </c>
      <c r="H4" s="3448"/>
      <c r="I4" s="3447" t="s">
        <v>1670</v>
      </c>
      <c r="J4" s="3448"/>
      <c r="K4" s="1742" t="s">
        <v>1671</v>
      </c>
      <c r="L4" s="2483"/>
      <c r="M4" s="2484"/>
      <c r="N4" s="2484"/>
      <c r="O4" s="2484"/>
      <c r="P4" s="3451" t="s">
        <v>1672</v>
      </c>
      <c r="Q4" s="3452"/>
      <c r="R4" s="3461" t="s">
        <v>1668</v>
      </c>
      <c r="S4" s="3462"/>
      <c r="T4" s="3461" t="s">
        <v>1669</v>
      </c>
      <c r="U4" s="3462"/>
      <c r="V4" s="3439" t="s">
        <v>1670</v>
      </c>
      <c r="W4" s="3439"/>
      <c r="X4" s="1263"/>
      <c r="Y4" s="3461" t="s">
        <v>1672</v>
      </c>
      <c r="Z4" s="3462"/>
      <c r="AA4" s="3444" t="s">
        <v>1668</v>
      </c>
      <c r="AB4" s="3444" t="s">
        <v>1669</v>
      </c>
      <c r="AC4" s="3444" t="s">
        <v>1670</v>
      </c>
    </row>
    <row r="5" spans="1:29" ht="15">
      <c r="A5" s="348"/>
      <c r="B5" s="349"/>
      <c r="C5" s="3465" t="s">
        <v>1673</v>
      </c>
      <c r="D5" s="3466"/>
      <c r="E5" s="3488" t="s">
        <v>3862</v>
      </c>
      <c r="F5" s="3458"/>
      <c r="G5" s="3489" t="s">
        <v>3863</v>
      </c>
      <c r="H5" s="3466"/>
      <c r="I5" s="3489" t="s">
        <v>3864</v>
      </c>
      <c r="J5" s="3466"/>
      <c r="K5" s="1743"/>
      <c r="L5" s="2483"/>
      <c r="M5" s="2484"/>
      <c r="N5" s="2484"/>
      <c r="O5" s="2484"/>
      <c r="P5" s="3453"/>
      <c r="Q5" s="3454"/>
      <c r="R5" s="3463"/>
      <c r="S5" s="3464"/>
      <c r="T5" s="3463"/>
      <c r="U5" s="3464"/>
      <c r="V5" s="3439"/>
      <c r="W5" s="3439"/>
      <c r="X5" s="1263"/>
      <c r="Y5" s="3463"/>
      <c r="Z5" s="3464"/>
      <c r="AA5" s="3445"/>
      <c r="AB5" s="3445"/>
      <c r="AC5" s="3445"/>
    </row>
    <row r="6" spans="1:29" ht="15.75" thickBot="1">
      <c r="A6" s="350"/>
      <c r="B6" s="351"/>
      <c r="C6" s="3476" t="s">
        <v>1677</v>
      </c>
      <c r="D6" s="3477"/>
      <c r="E6" s="3478" t="s">
        <v>1677</v>
      </c>
      <c r="F6" s="3479"/>
      <c r="G6" s="3476" t="s">
        <v>1677</v>
      </c>
      <c r="H6" s="3477"/>
      <c r="I6" s="3476" t="s">
        <v>1677</v>
      </c>
      <c r="J6" s="3477"/>
      <c r="K6" s="1743" t="s">
        <v>1678</v>
      </c>
      <c r="L6" s="2483"/>
      <c r="M6" s="2484"/>
      <c r="N6" s="2484"/>
      <c r="O6" s="2484"/>
      <c r="P6" s="3455"/>
      <c r="Q6" s="3456"/>
      <c r="R6" s="3463"/>
      <c r="S6" s="3464"/>
      <c r="T6" s="3472"/>
      <c r="U6" s="3473"/>
      <c r="V6" s="3439"/>
      <c r="W6" s="3439"/>
      <c r="X6" s="1263"/>
      <c r="Y6" s="3472"/>
      <c r="Z6" s="3473"/>
      <c r="AA6" s="3446"/>
      <c r="AB6" s="3446"/>
      <c r="AC6" s="3446"/>
    </row>
    <row r="7" spans="1:29" s="102" customFormat="1" ht="15.75" thickBot="1">
      <c r="A7" s="352" t="s">
        <v>1679</v>
      </c>
      <c r="B7" s="353"/>
      <c r="C7" s="354">
        <f>'数据-取费表'!B2</f>
        <v>45463</v>
      </c>
      <c r="D7" s="355">
        <v>100</v>
      </c>
      <c r="E7" s="3208" t="s">
        <v>3865</v>
      </c>
      <c r="F7" s="357">
        <f>SUMIF(58:58,YEAR(E7)&amp;"-"&amp;MONTH(E7),59:59)</f>
        <v>100</v>
      </c>
      <c r="G7" s="356">
        <v>45292</v>
      </c>
      <c r="H7" s="355">
        <f>SUMIF(58:58,YEAR(G7)&amp;"-"&amp;MONTH(G7),59:59)</f>
        <v>100</v>
      </c>
      <c r="I7" s="356">
        <v>45292</v>
      </c>
      <c r="J7" s="355">
        <f>SUMIF(58:58,YEAR(I7)&amp;"-"&amp;MONTH(I7),59:59)</f>
        <v>100</v>
      </c>
      <c r="K7" s="1744"/>
      <c r="L7" s="2485"/>
      <c r="M7" s="2436"/>
      <c r="N7" s="2436"/>
      <c r="O7" s="2436"/>
      <c r="P7" s="3437" t="s">
        <v>1680</v>
      </c>
      <c r="Q7" s="3469"/>
      <c r="R7" s="664" t="s">
        <v>20</v>
      </c>
      <c r="S7" s="665">
        <f t="shared" ref="S7:S15" si="0">F7</f>
        <v>100</v>
      </c>
      <c r="T7" s="664" t="s">
        <v>20</v>
      </c>
      <c r="U7" s="665">
        <f t="shared" ref="U7:U15" si="1">H7</f>
        <v>100</v>
      </c>
      <c r="V7" s="664" t="s">
        <v>20</v>
      </c>
      <c r="W7" s="665">
        <f t="shared" ref="W7:W15" si="2">J7</f>
        <v>100</v>
      </c>
      <c r="X7" s="666"/>
      <c r="Y7" s="3437" t="s">
        <v>1680</v>
      </c>
      <c r="Z7" s="3438"/>
      <c r="AA7" s="50">
        <f>D7/F7</f>
        <v>1</v>
      </c>
      <c r="AB7" s="50">
        <f>D7/H7</f>
        <v>1</v>
      </c>
      <c r="AC7" s="50">
        <f>D7/J7</f>
        <v>1</v>
      </c>
    </row>
    <row r="8" spans="1:29" s="102" customFormat="1" ht="15.75" thickBot="1">
      <c r="A8" s="352" t="s">
        <v>1681</v>
      </c>
      <c r="B8" s="353"/>
      <c r="C8" s="358" t="s">
        <v>3671</v>
      </c>
      <c r="D8" s="355">
        <v>100</v>
      </c>
      <c r="E8" s="1745" t="s">
        <v>3689</v>
      </c>
      <c r="F8" s="357">
        <f>SUMIF(61:61,E8,62:62)-SUMIF(61:61,C8,62:62)+100</f>
        <v>105</v>
      </c>
      <c r="G8" s="358" t="s">
        <v>3689</v>
      </c>
      <c r="H8" s="355">
        <f>SUMIF(61:61,G8,62:62)-SUMIF(61:61,C8,62:62)+100</f>
        <v>105</v>
      </c>
      <c r="I8" s="1745" t="s">
        <v>3689</v>
      </c>
      <c r="J8" s="355">
        <f>SUMIF(61:61,I8,62:62)-SUMIF(61:61,C8,62:62)+100</f>
        <v>105</v>
      </c>
      <c r="K8" s="1744"/>
      <c r="L8" s="2485"/>
      <c r="M8" s="2436"/>
      <c r="N8" s="2436"/>
      <c r="O8" s="2436"/>
      <c r="P8" s="3437" t="s">
        <v>1683</v>
      </c>
      <c r="Q8" s="3438"/>
      <c r="R8" s="664" t="s">
        <v>20</v>
      </c>
      <c r="S8" s="665">
        <f t="shared" si="0"/>
        <v>105</v>
      </c>
      <c r="T8" s="664" t="s">
        <v>20</v>
      </c>
      <c r="U8" s="665">
        <f t="shared" si="1"/>
        <v>105</v>
      </c>
      <c r="V8" s="664" t="s">
        <v>20</v>
      </c>
      <c r="W8" s="665">
        <f t="shared" si="2"/>
        <v>105</v>
      </c>
      <c r="X8" s="666"/>
      <c r="Y8" s="3437" t="s">
        <v>1683</v>
      </c>
      <c r="Z8" s="3438"/>
      <c r="AA8" s="50">
        <f t="shared" ref="AA8:AA19" si="3">D8/F8</f>
        <v>0.95238095238095233</v>
      </c>
      <c r="AB8" s="50">
        <f t="shared" ref="AB8:AB19" si="4">D8/H8</f>
        <v>0.95238095238095233</v>
      </c>
      <c r="AC8" s="50">
        <f t="shared" ref="AC8:AC19" si="5">D8/J8</f>
        <v>0.95238095238095233</v>
      </c>
    </row>
    <row r="9" spans="1:29" s="102" customFormat="1">
      <c r="A9" s="359" t="s">
        <v>1684</v>
      </c>
      <c r="B9" s="60" t="s">
        <v>1685</v>
      </c>
      <c r="C9" s="3209" t="s">
        <v>3867</v>
      </c>
      <c r="D9" s="59">
        <v>100</v>
      </c>
      <c r="E9" s="361" t="s">
        <v>3866</v>
      </c>
      <c r="F9" s="60">
        <f>SUMIF(63:63,E9,64:64)-SUMIF(63:63,C9,64:64)+100</f>
        <v>100</v>
      </c>
      <c r="G9" s="361" t="s">
        <v>3866</v>
      </c>
      <c r="H9" s="59">
        <f>SUMIF(63:63,G9,64:64)-SUMIF(63:63,C9,64:64)+100</f>
        <v>100</v>
      </c>
      <c r="I9" s="361" t="s">
        <v>3866</v>
      </c>
      <c r="J9" s="59">
        <f>SUMIF(63:63,I9,64:64)-SUMIF(63:63,C9,64:64)+100</f>
        <v>100</v>
      </c>
      <c r="K9" s="1744"/>
      <c r="L9" s="2485"/>
      <c r="M9" s="2436"/>
      <c r="N9" s="2436"/>
      <c r="O9" s="2436"/>
      <c r="P9" s="3460"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4"/>
      <c r="L10" s="2486"/>
      <c r="M10" s="2487"/>
      <c r="N10" s="2487"/>
      <c r="O10" s="2487"/>
      <c r="P10" s="3460"/>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50">
        <f t="shared" si="5"/>
        <v>1</v>
      </c>
    </row>
    <row r="11" spans="1:29" ht="15.75"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8"/>
      <c r="M11" s="2484"/>
      <c r="N11" s="2484"/>
      <c r="O11" s="2484"/>
      <c r="P11" s="3460"/>
      <c r="Q11" s="530" t="str">
        <f t="shared" si="6"/>
        <v>容积率</v>
      </c>
      <c r="R11" s="664" t="s">
        <v>18</v>
      </c>
      <c r="S11" s="665">
        <f t="shared" si="0"/>
        <v>100</v>
      </c>
      <c r="T11" s="664" t="s">
        <v>18</v>
      </c>
      <c r="U11" s="665">
        <f t="shared" si="1"/>
        <v>100</v>
      </c>
      <c r="V11" s="664" t="s">
        <v>18</v>
      </c>
      <c r="W11" s="665">
        <f t="shared" si="2"/>
        <v>100</v>
      </c>
      <c r="X11" s="666"/>
      <c r="Y11" s="3381"/>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5"/>
      <c r="M12" s="2436"/>
      <c r="N12" s="2436"/>
      <c r="O12" s="2436"/>
      <c r="P12" s="3460"/>
      <c r="Q12" s="530">
        <f t="shared" si="6"/>
        <v>111</v>
      </c>
      <c r="R12" s="664" t="s">
        <v>18</v>
      </c>
      <c r="S12" s="665">
        <f t="shared" si="0"/>
        <v>100</v>
      </c>
      <c r="T12" s="664" t="s">
        <v>18</v>
      </c>
      <c r="U12" s="665">
        <f t="shared" si="1"/>
        <v>100</v>
      </c>
      <c r="V12" s="664" t="s">
        <v>18</v>
      </c>
      <c r="W12" s="665">
        <f t="shared" si="2"/>
        <v>100</v>
      </c>
      <c r="X12" s="666"/>
      <c r="Y12" s="3381"/>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9"/>
      <c r="M13" s="2484"/>
      <c r="N13" s="2484"/>
      <c r="O13" s="2484"/>
      <c r="P13" s="3460"/>
      <c r="Q13" s="530">
        <f t="shared" si="6"/>
        <v>111</v>
      </c>
      <c r="R13" s="664" t="s">
        <v>18</v>
      </c>
      <c r="S13" s="665">
        <f t="shared" si="0"/>
        <v>100</v>
      </c>
      <c r="T13" s="664" t="s">
        <v>18</v>
      </c>
      <c r="U13" s="665">
        <f t="shared" si="1"/>
        <v>100</v>
      </c>
      <c r="V13" s="664" t="s">
        <v>18</v>
      </c>
      <c r="W13" s="665">
        <f t="shared" si="2"/>
        <v>100</v>
      </c>
      <c r="X13" s="666"/>
      <c r="Y13" s="3381"/>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9"/>
      <c r="M14" s="2484"/>
      <c r="N14" s="2484"/>
      <c r="O14" s="2484"/>
      <c r="P14" s="3460"/>
      <c r="Q14" s="530">
        <f t="shared" si="6"/>
        <v>111</v>
      </c>
      <c r="R14" s="664" t="s">
        <v>18</v>
      </c>
      <c r="S14" s="665">
        <f t="shared" si="0"/>
        <v>100</v>
      </c>
      <c r="T14" s="664" t="s">
        <v>18</v>
      </c>
      <c r="U14" s="665">
        <f t="shared" si="1"/>
        <v>100</v>
      </c>
      <c r="V14" s="664" t="s">
        <v>18</v>
      </c>
      <c r="W14" s="665">
        <f t="shared" si="2"/>
        <v>100</v>
      </c>
      <c r="X14" s="666"/>
      <c r="Y14" s="3381"/>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9"/>
      <c r="M15" s="2484"/>
      <c r="N15" s="2484"/>
      <c r="O15" s="2484"/>
      <c r="P15" s="3480" t="s">
        <v>1691</v>
      </c>
      <c r="Q15" s="1261" t="str">
        <f t="shared" si="6"/>
        <v>居住社区成熟度</v>
      </c>
      <c r="R15" s="667" t="s">
        <v>18</v>
      </c>
      <c r="S15" s="668">
        <f t="shared" si="0"/>
        <v>100</v>
      </c>
      <c r="T15" s="667" t="s">
        <v>18</v>
      </c>
      <c r="U15" s="668">
        <f t="shared" si="1"/>
        <v>100</v>
      </c>
      <c r="V15" s="667" t="s">
        <v>18</v>
      </c>
      <c r="W15" s="668">
        <f t="shared" si="2"/>
        <v>100</v>
      </c>
      <c r="X15" s="1263"/>
      <c r="Y15" s="3440" t="s">
        <v>1691</v>
      </c>
      <c r="Z15" s="1262" t="str">
        <f t="shared" si="7"/>
        <v>居住社区成熟度</v>
      </c>
      <c r="AA15" s="1262">
        <f t="shared" si="3"/>
        <v>1</v>
      </c>
      <c r="AB15" s="1262">
        <f t="shared" si="4"/>
        <v>1</v>
      </c>
      <c r="AC15" s="1262">
        <f t="shared" si="5"/>
        <v>1</v>
      </c>
    </row>
    <row r="16" spans="1:29" ht="15">
      <c r="A16" s="367"/>
      <c r="B16" s="385"/>
      <c r="C16" s="386" t="s">
        <v>3676</v>
      </c>
      <c r="D16" s="387"/>
      <c r="E16" s="386" t="s">
        <v>3676</v>
      </c>
      <c r="F16" s="387"/>
      <c r="G16" s="386" t="s">
        <v>3676</v>
      </c>
      <c r="H16" s="389"/>
      <c r="I16" s="386" t="s">
        <v>3676</v>
      </c>
      <c r="J16" s="387"/>
      <c r="K16" s="1751"/>
      <c r="L16" s="2489"/>
      <c r="M16" s="2484"/>
      <c r="N16" s="2484"/>
      <c r="O16" s="2484"/>
      <c r="P16" s="3481"/>
      <c r="Q16" s="1261"/>
      <c r="R16" s="667"/>
      <c r="S16" s="668"/>
      <c r="T16" s="667"/>
      <c r="U16" s="668"/>
      <c r="V16" s="667"/>
      <c r="W16" s="668"/>
      <c r="X16" s="1263"/>
      <c r="Y16" s="3441"/>
      <c r="Z16" s="1262"/>
      <c r="AA16" s="1262">
        <v>1</v>
      </c>
      <c r="AB16" s="1262">
        <v>1</v>
      </c>
      <c r="AC16" s="1262">
        <v>1</v>
      </c>
    </row>
    <row r="17" spans="1:29" ht="15">
      <c r="A17" s="367"/>
      <c r="B17" s="390" t="s">
        <v>1259</v>
      </c>
      <c r="C17" s="1752">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89"/>
      <c r="M17" s="2484"/>
      <c r="N17" s="2484"/>
      <c r="O17" s="2484"/>
      <c r="P17" s="3481"/>
      <c r="Q17" s="1261" t="str">
        <f>B17</f>
        <v>交通便捷度</v>
      </c>
      <c r="R17" s="667" t="s">
        <v>18</v>
      </c>
      <c r="S17" s="668">
        <f>F17</f>
        <v>100</v>
      </c>
      <c r="T17" s="667" t="s">
        <v>18</v>
      </c>
      <c r="U17" s="668">
        <f>H17</f>
        <v>100</v>
      </c>
      <c r="V17" s="667" t="s">
        <v>18</v>
      </c>
      <c r="W17" s="668">
        <f>J17</f>
        <v>100</v>
      </c>
      <c r="X17" s="1263"/>
      <c r="Y17" s="3441"/>
      <c r="Z17" s="1262" t="str">
        <f>Q17</f>
        <v>交通便捷度</v>
      </c>
      <c r="AA17" s="1262">
        <f t="shared" si="3"/>
        <v>1</v>
      </c>
      <c r="AB17" s="1262">
        <f t="shared" si="4"/>
        <v>1</v>
      </c>
      <c r="AC17" s="1262">
        <f t="shared" si="5"/>
        <v>1</v>
      </c>
    </row>
    <row r="18" spans="1:29" ht="15">
      <c r="A18" s="367"/>
      <c r="B18" s="395"/>
      <c r="C18" s="1753" t="s">
        <v>3677</v>
      </c>
      <c r="D18" s="389"/>
      <c r="E18" s="1753" t="s">
        <v>3677</v>
      </c>
      <c r="F18" s="389"/>
      <c r="G18" s="1753" t="s">
        <v>3677</v>
      </c>
      <c r="H18" s="387"/>
      <c r="I18" s="1753" t="s">
        <v>3677</v>
      </c>
      <c r="J18" s="387"/>
      <c r="K18" s="1751"/>
      <c r="L18" s="2489"/>
      <c r="M18" s="2484"/>
      <c r="N18" s="2484"/>
      <c r="O18" s="2484"/>
      <c r="P18" s="3481"/>
      <c r="Q18" s="1261"/>
      <c r="R18" s="667"/>
      <c r="S18" s="668"/>
      <c r="T18" s="667"/>
      <c r="U18" s="668"/>
      <c r="V18" s="667"/>
      <c r="W18" s="668"/>
      <c r="X18" s="1263"/>
      <c r="Y18" s="3441"/>
      <c r="Z18" s="1262"/>
      <c r="AA18" s="1262">
        <v>1</v>
      </c>
      <c r="AB18" s="1262">
        <v>1</v>
      </c>
      <c r="AC18" s="1262">
        <v>1</v>
      </c>
    </row>
    <row r="19" spans="1:29" ht="15">
      <c r="A19" s="367"/>
      <c r="B19" s="390" t="s">
        <v>1258</v>
      </c>
      <c r="C19" s="1752">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9"/>
      <c r="M19" s="2484"/>
      <c r="N19" s="2484"/>
      <c r="O19" s="2484"/>
      <c r="P19" s="3481"/>
      <c r="Q19" s="1261" t="str">
        <f>B19</f>
        <v>公共配套设施</v>
      </c>
      <c r="R19" s="667" t="s">
        <v>18</v>
      </c>
      <c r="S19" s="668">
        <f>F19</f>
        <v>100</v>
      </c>
      <c r="T19" s="667" t="s">
        <v>18</v>
      </c>
      <c r="U19" s="668">
        <f>H19</f>
        <v>100</v>
      </c>
      <c r="V19" s="667" t="s">
        <v>18</v>
      </c>
      <c r="W19" s="668">
        <f>J19</f>
        <v>100</v>
      </c>
      <c r="X19" s="1263"/>
      <c r="Y19" s="3441"/>
      <c r="Z19" s="1262" t="str">
        <f>Q19</f>
        <v>公共配套设施</v>
      </c>
      <c r="AA19" s="1262">
        <f t="shared" si="3"/>
        <v>1</v>
      </c>
      <c r="AB19" s="1262">
        <f t="shared" si="4"/>
        <v>1</v>
      </c>
      <c r="AC19" s="1262">
        <f t="shared" si="5"/>
        <v>1</v>
      </c>
    </row>
    <row r="20" spans="1:29" ht="15">
      <c r="A20" s="367"/>
      <c r="B20" s="395"/>
      <c r="C20" s="1753" t="s">
        <v>3677</v>
      </c>
      <c r="D20" s="387"/>
      <c r="E20" s="1753" t="s">
        <v>3677</v>
      </c>
      <c r="F20" s="387"/>
      <c r="G20" s="1753" t="s">
        <v>3677</v>
      </c>
      <c r="H20" s="387"/>
      <c r="I20" s="1753" t="s">
        <v>3677</v>
      </c>
      <c r="J20" s="387"/>
      <c r="K20" s="1751"/>
      <c r="L20" s="2489"/>
      <c r="M20" s="2484"/>
      <c r="N20" s="2484"/>
      <c r="O20" s="2484"/>
      <c r="P20" s="3481"/>
      <c r="Q20" s="1261"/>
      <c r="R20" s="667"/>
      <c r="S20" s="668"/>
      <c r="T20" s="667"/>
      <c r="U20" s="668"/>
      <c r="V20" s="667"/>
      <c r="W20" s="668"/>
      <c r="X20" s="1263"/>
      <c r="Y20" s="3441"/>
      <c r="Z20" s="1262"/>
      <c r="AA20" s="1262">
        <v>1</v>
      </c>
      <c r="AB20" s="1262">
        <v>1</v>
      </c>
      <c r="AC20" s="1262">
        <v>1</v>
      </c>
    </row>
    <row r="21" spans="1:29" ht="15">
      <c r="A21" s="367"/>
      <c r="B21" s="586" t="s">
        <v>1260</v>
      </c>
      <c r="C21" s="1752">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9"/>
      <c r="M21" s="2484"/>
      <c r="N21" s="2484"/>
      <c r="O21" s="2484"/>
      <c r="P21" s="3481"/>
      <c r="Q21" s="1261" t="str">
        <f>B21</f>
        <v>基础设施水平</v>
      </c>
      <c r="R21" s="667" t="s">
        <v>14</v>
      </c>
      <c r="S21" s="668">
        <f>F21</f>
        <v>100</v>
      </c>
      <c r="T21" s="667" t="s">
        <v>14</v>
      </c>
      <c r="U21" s="668">
        <f>H21</f>
        <v>100</v>
      </c>
      <c r="V21" s="667" t="s">
        <v>14</v>
      </c>
      <c r="W21" s="668">
        <f>J21</f>
        <v>100</v>
      </c>
      <c r="X21" s="1263"/>
      <c r="Y21" s="3441"/>
      <c r="Z21" s="1262" t="str">
        <f>Q21</f>
        <v>基础设施水平</v>
      </c>
      <c r="AA21" s="1262">
        <f t="shared" ref="AA21" si="8">D21/F21</f>
        <v>1</v>
      </c>
      <c r="AB21" s="1262">
        <f t="shared" ref="AB21" si="9">D21/H21</f>
        <v>1</v>
      </c>
      <c r="AC21" s="1262">
        <f t="shared" ref="AC21" si="10">D21/J21</f>
        <v>1</v>
      </c>
    </row>
    <row r="22" spans="1:29" ht="15">
      <c r="A22" s="367"/>
      <c r="B22" s="586"/>
      <c r="C22" s="1753" t="s">
        <v>3678</v>
      </c>
      <c r="D22" s="387"/>
      <c r="E22" s="1753" t="s">
        <v>3678</v>
      </c>
      <c r="F22" s="387"/>
      <c r="G22" s="1753" t="s">
        <v>3678</v>
      </c>
      <c r="H22" s="387"/>
      <c r="I22" s="1753" t="s">
        <v>3678</v>
      </c>
      <c r="J22" s="387"/>
      <c r="K22" s="1757"/>
      <c r="L22" s="2489"/>
      <c r="M22" s="2484"/>
      <c r="N22" s="2484"/>
      <c r="O22" s="2484"/>
      <c r="P22" s="3481"/>
      <c r="Q22" s="1261"/>
      <c r="R22" s="667"/>
      <c r="S22" s="668"/>
      <c r="T22" s="667"/>
      <c r="U22" s="668"/>
      <c r="V22" s="667"/>
      <c r="W22" s="668"/>
      <c r="X22" s="1263"/>
      <c r="Y22" s="3441"/>
      <c r="Z22" s="1262"/>
      <c r="AA22" s="1262">
        <v>1</v>
      </c>
      <c r="AB22" s="1262">
        <v>1</v>
      </c>
      <c r="AC22" s="1262">
        <v>1</v>
      </c>
    </row>
    <row r="23" spans="1:29" ht="15">
      <c r="A23" s="367"/>
      <c r="B23" s="390" t="s">
        <v>1261</v>
      </c>
      <c r="C23" s="1752">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9"/>
      <c r="M23" s="2484"/>
      <c r="N23" s="2484"/>
      <c r="O23" s="2484"/>
      <c r="P23" s="3481"/>
      <c r="Q23" s="1261" t="str">
        <f>B23</f>
        <v>自然及人文环境</v>
      </c>
      <c r="R23" s="667" t="s">
        <v>18</v>
      </c>
      <c r="S23" s="668">
        <f>F23</f>
        <v>100</v>
      </c>
      <c r="T23" s="667" t="s">
        <v>18</v>
      </c>
      <c r="U23" s="668">
        <f>H23</f>
        <v>100</v>
      </c>
      <c r="V23" s="667" t="s">
        <v>18</v>
      </c>
      <c r="W23" s="668">
        <f>J23</f>
        <v>100</v>
      </c>
      <c r="X23" s="1263"/>
      <c r="Y23" s="3441"/>
      <c r="Z23" s="1262" t="str">
        <f>Q23</f>
        <v>自然及人文环境</v>
      </c>
      <c r="AA23" s="1262">
        <f>D23/F23</f>
        <v>1</v>
      </c>
      <c r="AB23" s="1262">
        <f>D23/H23</f>
        <v>1</v>
      </c>
      <c r="AC23" s="1262">
        <f>D23/J23</f>
        <v>1</v>
      </c>
    </row>
    <row r="24" spans="1:29" ht="15.75" thickBot="1">
      <c r="A24" s="367"/>
      <c r="B24" s="395"/>
      <c r="C24" s="386" t="s">
        <v>3677</v>
      </c>
      <c r="D24" s="387"/>
      <c r="E24" s="386" t="s">
        <v>3677</v>
      </c>
      <c r="F24" s="387"/>
      <c r="G24" s="386" t="s">
        <v>3677</v>
      </c>
      <c r="H24" s="387"/>
      <c r="I24" s="386" t="s">
        <v>3677</v>
      </c>
      <c r="J24" s="387"/>
      <c r="K24" s="1751"/>
      <c r="L24" s="2489"/>
      <c r="M24" s="2484"/>
      <c r="N24" s="2484"/>
      <c r="O24" s="2484"/>
      <c r="P24" s="3481"/>
      <c r="Q24" s="1261"/>
      <c r="R24" s="667"/>
      <c r="S24" s="668"/>
      <c r="T24" s="667"/>
      <c r="U24" s="668"/>
      <c r="V24" s="667"/>
      <c r="W24" s="668"/>
      <c r="X24" s="1263"/>
      <c r="Y24" s="3441"/>
      <c r="Z24" s="1262"/>
      <c r="AA24" s="1262">
        <v>1</v>
      </c>
      <c r="AB24" s="1262">
        <v>1</v>
      </c>
      <c r="AC24" s="1262">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9"/>
      <c r="M25" s="2484"/>
      <c r="N25" s="2484"/>
      <c r="O25" s="2484"/>
      <c r="P25" s="3481"/>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41"/>
      <c r="Z25" s="1262" t="str">
        <f>Q25</f>
        <v>楼层-1</v>
      </c>
      <c r="AA25" s="1262">
        <f t="shared" ref="AA25:AA46" si="15">D25/F25</f>
        <v>1</v>
      </c>
      <c r="AB25" s="1262">
        <f t="shared" ref="AB25:AB46" si="16">D25/H25</f>
        <v>1</v>
      </c>
      <c r="AC25" s="1262">
        <f t="shared" ref="AC25:AC46" si="17">D25/J25</f>
        <v>1</v>
      </c>
    </row>
    <row r="26" spans="1:29" ht="15" hidden="1">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9"/>
      <c r="M26" s="2484"/>
      <c r="N26" s="2484"/>
      <c r="O26" s="2484"/>
      <c r="P26" s="3481"/>
      <c r="Q26" s="1261" t="str">
        <f t="shared" si="11"/>
        <v>朝向</v>
      </c>
      <c r="R26" s="667" t="s">
        <v>18</v>
      </c>
      <c r="S26" s="668">
        <f t="shared" si="12"/>
        <v>100</v>
      </c>
      <c r="T26" s="667" t="s">
        <v>18</v>
      </c>
      <c r="U26" s="668">
        <f t="shared" si="13"/>
        <v>100</v>
      </c>
      <c r="V26" s="667" t="s">
        <v>18</v>
      </c>
      <c r="W26" s="668">
        <f t="shared" si="14"/>
        <v>100</v>
      </c>
      <c r="X26" s="1263"/>
      <c r="Y26" s="3441"/>
      <c r="Z26" s="1262" t="str">
        <f>Q26</f>
        <v>朝向</v>
      </c>
      <c r="AA26" s="1262">
        <f t="shared" si="15"/>
        <v>1</v>
      </c>
      <c r="AB26" s="1262">
        <f t="shared" si="16"/>
        <v>1</v>
      </c>
      <c r="AC26" s="1262">
        <f t="shared" si="17"/>
        <v>1</v>
      </c>
    </row>
    <row r="27" spans="1:29" s="102" customFormat="1" ht="15" hidden="1">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5"/>
      <c r="M27" s="2436"/>
      <c r="N27" s="2436"/>
      <c r="O27" s="2436"/>
      <c r="P27" s="3481"/>
      <c r="Q27" s="530">
        <f t="shared" si="11"/>
        <v>111</v>
      </c>
      <c r="R27" s="664" t="s">
        <v>18</v>
      </c>
      <c r="S27" s="665">
        <f t="shared" si="12"/>
        <v>100</v>
      </c>
      <c r="T27" s="664" t="s">
        <v>18</v>
      </c>
      <c r="U27" s="665">
        <f t="shared" si="13"/>
        <v>100</v>
      </c>
      <c r="V27" s="664" t="s">
        <v>18</v>
      </c>
      <c r="W27" s="665">
        <f t="shared" si="14"/>
        <v>100</v>
      </c>
      <c r="X27" s="666"/>
      <c r="Y27" s="3441"/>
      <c r="Z27" s="50">
        <f>Q27</f>
        <v>111</v>
      </c>
      <c r="AA27" s="1262">
        <f t="shared" si="15"/>
        <v>1</v>
      </c>
      <c r="AB27" s="1262">
        <f t="shared" si="16"/>
        <v>1</v>
      </c>
      <c r="AC27" s="1262">
        <f t="shared" si="17"/>
        <v>1</v>
      </c>
    </row>
    <row r="28" spans="1:29" ht="15" hidden="1">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9"/>
      <c r="M28" s="2484"/>
      <c r="N28" s="2484"/>
      <c r="O28" s="2484"/>
      <c r="P28" s="3481"/>
      <c r="Q28" s="1261">
        <f t="shared" si="11"/>
        <v>111</v>
      </c>
      <c r="R28" s="667" t="s">
        <v>18</v>
      </c>
      <c r="S28" s="668">
        <f t="shared" si="12"/>
        <v>100</v>
      </c>
      <c r="T28" s="667" t="s">
        <v>18</v>
      </c>
      <c r="U28" s="668">
        <f t="shared" si="13"/>
        <v>100</v>
      </c>
      <c r="V28" s="667" t="s">
        <v>18</v>
      </c>
      <c r="W28" s="668">
        <f t="shared" si="14"/>
        <v>100</v>
      </c>
      <c r="X28" s="1263"/>
      <c r="Y28" s="3441"/>
      <c r="Z28" s="1262">
        <f t="shared" ref="Z28:Z46" si="18">Q28</f>
        <v>111</v>
      </c>
      <c r="AA28" s="1262">
        <f t="shared" si="15"/>
        <v>1</v>
      </c>
      <c r="AB28" s="1262">
        <f t="shared" si="16"/>
        <v>1</v>
      </c>
      <c r="AC28" s="1262">
        <f t="shared" si="17"/>
        <v>1</v>
      </c>
    </row>
    <row r="29" spans="1:29" ht="15" hidden="1">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9"/>
      <c r="M29" s="2484"/>
      <c r="N29" s="2484"/>
      <c r="O29" s="2484"/>
      <c r="P29" s="3481"/>
      <c r="Q29" s="1261">
        <f t="shared" si="11"/>
        <v>111</v>
      </c>
      <c r="R29" s="667" t="s">
        <v>18</v>
      </c>
      <c r="S29" s="668">
        <f t="shared" si="12"/>
        <v>100</v>
      </c>
      <c r="T29" s="667" t="s">
        <v>18</v>
      </c>
      <c r="U29" s="668">
        <f t="shared" si="13"/>
        <v>100</v>
      </c>
      <c r="V29" s="667" t="s">
        <v>18</v>
      </c>
      <c r="W29" s="668">
        <f t="shared" si="14"/>
        <v>100</v>
      </c>
      <c r="X29" s="1263"/>
      <c r="Y29" s="3441"/>
      <c r="Z29" s="1262">
        <f t="shared" si="18"/>
        <v>111</v>
      </c>
      <c r="AA29" s="1262">
        <f t="shared" si="15"/>
        <v>1</v>
      </c>
      <c r="AB29" s="1262">
        <f t="shared" si="16"/>
        <v>1</v>
      </c>
      <c r="AC29" s="1262">
        <f t="shared" si="17"/>
        <v>1</v>
      </c>
    </row>
    <row r="30" spans="1:29" ht="15" hidden="1">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9"/>
      <c r="M30" s="2484"/>
      <c r="N30" s="2484"/>
      <c r="O30" s="2484"/>
      <c r="P30" s="3481"/>
      <c r="Q30" s="1261">
        <f t="shared" si="11"/>
        <v>111</v>
      </c>
      <c r="R30" s="667" t="s">
        <v>18</v>
      </c>
      <c r="S30" s="668">
        <f t="shared" si="12"/>
        <v>100</v>
      </c>
      <c r="T30" s="667" t="s">
        <v>18</v>
      </c>
      <c r="U30" s="668">
        <f t="shared" si="13"/>
        <v>100</v>
      </c>
      <c r="V30" s="667" t="s">
        <v>18</v>
      </c>
      <c r="W30" s="668">
        <f t="shared" si="14"/>
        <v>100</v>
      </c>
      <c r="X30" s="1263"/>
      <c r="Y30" s="3441"/>
      <c r="Z30" s="1262">
        <f t="shared" si="18"/>
        <v>111</v>
      </c>
      <c r="AA30" s="1262">
        <f t="shared" si="15"/>
        <v>1</v>
      </c>
      <c r="AB30" s="1262">
        <f t="shared" si="16"/>
        <v>1</v>
      </c>
      <c r="AC30" s="1262">
        <f t="shared" si="17"/>
        <v>1</v>
      </c>
    </row>
    <row r="31" spans="1:29" ht="15.75" hidden="1"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9"/>
      <c r="M31" s="2484"/>
      <c r="N31" s="2484"/>
      <c r="O31" s="2484"/>
      <c r="P31" s="3481"/>
      <c r="Q31" s="1261">
        <f t="shared" si="11"/>
        <v>111</v>
      </c>
      <c r="R31" s="667" t="s">
        <v>18</v>
      </c>
      <c r="S31" s="668">
        <f t="shared" si="12"/>
        <v>100</v>
      </c>
      <c r="T31" s="667" t="s">
        <v>18</v>
      </c>
      <c r="U31" s="668">
        <f t="shared" si="13"/>
        <v>100</v>
      </c>
      <c r="V31" s="667" t="s">
        <v>18</v>
      </c>
      <c r="W31" s="668">
        <f t="shared" si="14"/>
        <v>100</v>
      </c>
      <c r="X31" s="1263"/>
      <c r="Y31" s="3441"/>
      <c r="Z31" s="1262">
        <f t="shared" si="18"/>
        <v>111</v>
      </c>
      <c r="AA31" s="1262">
        <f t="shared" si="15"/>
        <v>1</v>
      </c>
      <c r="AB31" s="1262">
        <f t="shared" si="16"/>
        <v>1</v>
      </c>
      <c r="AC31" s="1262">
        <f t="shared" si="17"/>
        <v>1</v>
      </c>
    </row>
    <row r="32" spans="1:29" ht="15">
      <c r="A32" s="379" t="s">
        <v>1694</v>
      </c>
      <c r="B32" s="60" t="s">
        <v>1695</v>
      </c>
      <c r="C32" s="1762" t="s">
        <v>3868</v>
      </c>
      <c r="D32" s="405">
        <v>100</v>
      </c>
      <c r="E32" s="1762" t="s">
        <v>3868</v>
      </c>
      <c r="F32" s="400">
        <f>SUMIF(100:100,E32,101:101)-SUMIF(100:100,C32,101:101)+100</f>
        <v>100</v>
      </c>
      <c r="G32" s="1762" t="s">
        <v>3868</v>
      </c>
      <c r="H32" s="405">
        <f>SUMIF(100:100,G32,101:101)-SUMIF(100:100,C32,101:101)+100</f>
        <v>100</v>
      </c>
      <c r="I32" s="1762" t="s">
        <v>3868</v>
      </c>
      <c r="J32" s="374">
        <f>SUMIF(100:100,I32,101:101)-SUMIF(100:100,C32,101:101)+100</f>
        <v>100</v>
      </c>
      <c r="K32" s="365">
        <v>2</v>
      </c>
      <c r="L32" s="2489"/>
      <c r="M32" s="2484"/>
      <c r="N32" s="2484"/>
      <c r="O32" s="2484"/>
      <c r="P32" s="3482" t="s">
        <v>1696</v>
      </c>
      <c r="Q32" s="1261" t="str">
        <f t="shared" si="11"/>
        <v>建筑类型</v>
      </c>
      <c r="R32" s="667" t="s">
        <v>18</v>
      </c>
      <c r="S32" s="668">
        <f t="shared" si="12"/>
        <v>100</v>
      </c>
      <c r="T32" s="667" t="s">
        <v>18</v>
      </c>
      <c r="U32" s="668">
        <f t="shared" si="13"/>
        <v>100</v>
      </c>
      <c r="V32" s="667" t="s">
        <v>18</v>
      </c>
      <c r="W32" s="668">
        <f t="shared" si="14"/>
        <v>100</v>
      </c>
      <c r="X32" s="1263"/>
      <c r="Y32" s="3443"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6"/>
      <c r="L33" s="2488"/>
      <c r="M33" s="2490"/>
      <c r="N33" s="2490"/>
      <c r="O33" s="2490"/>
      <c r="P33" s="3483"/>
      <c r="Q33" s="531" t="str">
        <f t="shared" si="11"/>
        <v>项目建筑规模</v>
      </c>
      <c r="R33" s="669" t="s">
        <v>18</v>
      </c>
      <c r="S33" s="670">
        <f t="shared" si="12"/>
        <v>100</v>
      </c>
      <c r="T33" s="669" t="s">
        <v>18</v>
      </c>
      <c r="U33" s="670">
        <f t="shared" si="13"/>
        <v>100</v>
      </c>
      <c r="V33" s="669" t="s">
        <v>18</v>
      </c>
      <c r="W33" s="670">
        <f t="shared" si="14"/>
        <v>100</v>
      </c>
      <c r="X33" s="671"/>
      <c r="Y33" s="3443"/>
      <c r="Z33" s="672" t="str">
        <f t="shared" si="18"/>
        <v>项目建筑规模</v>
      </c>
      <c r="AA33" s="1262">
        <f t="shared" si="15"/>
        <v>1</v>
      </c>
      <c r="AB33" s="1262">
        <f t="shared" si="16"/>
        <v>1</v>
      </c>
      <c r="AC33" s="1262">
        <f t="shared" si="17"/>
        <v>1</v>
      </c>
    </row>
    <row r="34" spans="1:29" ht="15">
      <c r="A34" s="409"/>
      <c r="B34" s="364" t="s">
        <v>1698</v>
      </c>
      <c r="C34" s="399" t="s">
        <v>3869</v>
      </c>
      <c r="D34" s="374">
        <v>100</v>
      </c>
      <c r="E34" s="399" t="s">
        <v>3869</v>
      </c>
      <c r="F34" s="400">
        <f>SUMIF(105:105,E34,106:106)-SUMIF(105:105,C34,106:106)+100</f>
        <v>100</v>
      </c>
      <c r="G34" s="399" t="s">
        <v>3869</v>
      </c>
      <c r="H34" s="374">
        <f>SUMIF(105:105,G34,106:106)-SUMIF(105:105,C34,106:106)+100</f>
        <v>100</v>
      </c>
      <c r="I34" s="399" t="s">
        <v>3869</v>
      </c>
      <c r="J34" s="374">
        <f>SUMIF(105:105,I34,106:106)-SUMIF(105:105,C34,106:106)+100</f>
        <v>100</v>
      </c>
      <c r="K34" s="365">
        <v>1</v>
      </c>
      <c r="L34" s="2489"/>
      <c r="M34" s="2484"/>
      <c r="N34" s="2484"/>
      <c r="O34" s="2484"/>
      <c r="P34" s="3483"/>
      <c r="Q34" s="1261" t="str">
        <f t="shared" si="11"/>
        <v>建筑结构</v>
      </c>
      <c r="R34" s="667" t="s">
        <v>18</v>
      </c>
      <c r="S34" s="668">
        <f t="shared" si="12"/>
        <v>100</v>
      </c>
      <c r="T34" s="667" t="s">
        <v>18</v>
      </c>
      <c r="U34" s="668">
        <f t="shared" si="13"/>
        <v>100</v>
      </c>
      <c r="V34" s="667" t="s">
        <v>18</v>
      </c>
      <c r="W34" s="668">
        <f t="shared" si="14"/>
        <v>100</v>
      </c>
      <c r="X34" s="1263"/>
      <c r="Y34" s="3443"/>
      <c r="Z34" s="1262" t="str">
        <f t="shared" si="18"/>
        <v>建筑结构</v>
      </c>
      <c r="AA34" s="1262">
        <f t="shared" si="15"/>
        <v>1</v>
      </c>
      <c r="AB34" s="1262">
        <f t="shared" si="16"/>
        <v>1</v>
      </c>
      <c r="AC34" s="1262">
        <f t="shared" si="17"/>
        <v>1</v>
      </c>
    </row>
    <row r="35" spans="1:29" ht="15">
      <c r="A35" s="409"/>
      <c r="B35" s="364" t="s">
        <v>1699</v>
      </c>
      <c r="C35" s="1758" t="s">
        <v>3870</v>
      </c>
      <c r="D35" s="374">
        <v>100</v>
      </c>
      <c r="E35" s="1758" t="s">
        <v>3870</v>
      </c>
      <c r="F35" s="400">
        <f>SUMIF(107:107,E35,108:108)-SUMIF(107:107,C35,108:108)+100</f>
        <v>100</v>
      </c>
      <c r="G35" s="1758" t="s">
        <v>3870</v>
      </c>
      <c r="H35" s="374">
        <f>SUMIF(107:107,G35,108:108)-SUMIF(107:107,C35,108:108)+100</f>
        <v>100</v>
      </c>
      <c r="I35" s="1758" t="s">
        <v>3870</v>
      </c>
      <c r="J35" s="374">
        <f>SUMIF(107:107,I35,108:108)-SUMIF(107:107,C35,108:108)+100</f>
        <v>100</v>
      </c>
      <c r="K35" s="365">
        <v>1</v>
      </c>
      <c r="L35" s="2489"/>
      <c r="M35" s="2484"/>
      <c r="N35" s="2484"/>
      <c r="O35" s="2484"/>
      <c r="P35" s="3483"/>
      <c r="Q35" s="1261" t="str">
        <f t="shared" si="11"/>
        <v>建筑品质</v>
      </c>
      <c r="R35" s="667" t="s">
        <v>18</v>
      </c>
      <c r="S35" s="668">
        <f t="shared" si="12"/>
        <v>100</v>
      </c>
      <c r="T35" s="667" t="s">
        <v>18</v>
      </c>
      <c r="U35" s="668">
        <f t="shared" si="13"/>
        <v>100</v>
      </c>
      <c r="V35" s="667" t="s">
        <v>18</v>
      </c>
      <c r="W35" s="668">
        <f t="shared" si="14"/>
        <v>100</v>
      </c>
      <c r="X35" s="1263"/>
      <c r="Y35" s="3443"/>
      <c r="Z35" s="1262" t="str">
        <f t="shared" si="18"/>
        <v>建筑品质</v>
      </c>
      <c r="AA35" s="1262">
        <f t="shared" si="15"/>
        <v>1</v>
      </c>
      <c r="AB35" s="1262">
        <f t="shared" si="16"/>
        <v>1</v>
      </c>
      <c r="AC35" s="1262">
        <f t="shared" si="17"/>
        <v>1</v>
      </c>
    </row>
    <row r="36" spans="1:29" ht="15">
      <c r="A36" s="409"/>
      <c r="B36" s="364" t="s">
        <v>1700</v>
      </c>
      <c r="C36" s="1758" t="s">
        <v>3871</v>
      </c>
      <c r="D36" s="374">
        <v>100</v>
      </c>
      <c r="E36" s="1758" t="s">
        <v>3871</v>
      </c>
      <c r="F36" s="400">
        <f>SUMIF(109:109,E36,110:110)-SUMIF(109:109,C36,110:110)+100</f>
        <v>100</v>
      </c>
      <c r="G36" s="1758" t="s">
        <v>3871</v>
      </c>
      <c r="H36" s="374">
        <f>SUMIF(109:109,G36,110:110)-SUMIF(109:109,C36,110:110)+100</f>
        <v>100</v>
      </c>
      <c r="I36" s="1758" t="s">
        <v>3871</v>
      </c>
      <c r="J36" s="374">
        <f>SUMIF(109:109,I36,110:110)-SUMIF(109:109,C36,110:110)+100</f>
        <v>100</v>
      </c>
      <c r="K36" s="365">
        <v>1</v>
      </c>
      <c r="L36" s="2489"/>
      <c r="M36" s="2484"/>
      <c r="N36" s="2484"/>
      <c r="O36" s="2484"/>
      <c r="P36" s="3483"/>
      <c r="Q36" s="1261" t="str">
        <f t="shared" si="11"/>
        <v>公共部分装修</v>
      </c>
      <c r="R36" s="667" t="s">
        <v>18</v>
      </c>
      <c r="S36" s="668">
        <f t="shared" si="12"/>
        <v>100</v>
      </c>
      <c r="T36" s="667" t="s">
        <v>18</v>
      </c>
      <c r="U36" s="668">
        <f t="shared" si="13"/>
        <v>100</v>
      </c>
      <c r="V36" s="667" t="s">
        <v>18</v>
      </c>
      <c r="W36" s="668">
        <f t="shared" si="14"/>
        <v>100</v>
      </c>
      <c r="X36" s="1263"/>
      <c r="Y36" s="3443"/>
      <c r="Z36" s="1262" t="str">
        <f t="shared" si="18"/>
        <v>公共部分装修</v>
      </c>
      <c r="AA36" s="1262">
        <f t="shared" si="15"/>
        <v>1</v>
      </c>
      <c r="AB36" s="1262">
        <f t="shared" si="16"/>
        <v>1</v>
      </c>
      <c r="AC36" s="1262">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5"/>
      <c r="M37" s="2436"/>
      <c r="N37" s="2436"/>
      <c r="O37" s="2436"/>
      <c r="P37" s="3483"/>
      <c r="Q37" s="530" t="str">
        <f t="shared" si="11"/>
        <v>成新度</v>
      </c>
      <c r="R37" s="664" t="s">
        <v>18</v>
      </c>
      <c r="S37" s="665">
        <f t="shared" si="12"/>
        <v>100</v>
      </c>
      <c r="T37" s="664" t="s">
        <v>18</v>
      </c>
      <c r="U37" s="665">
        <f t="shared" si="13"/>
        <v>100</v>
      </c>
      <c r="V37" s="664" t="s">
        <v>18</v>
      </c>
      <c r="W37" s="665">
        <f t="shared" si="14"/>
        <v>100</v>
      </c>
      <c r="X37" s="666"/>
      <c r="Y37" s="3443"/>
      <c r="Z37" s="50" t="str">
        <f t="shared" si="18"/>
        <v>成新度</v>
      </c>
      <c r="AA37" s="50">
        <f t="shared" si="15"/>
        <v>1</v>
      </c>
      <c r="AB37" s="50">
        <f t="shared" si="16"/>
        <v>1</v>
      </c>
      <c r="AC37" s="50">
        <f t="shared" si="17"/>
        <v>1</v>
      </c>
    </row>
    <row r="38" spans="1:29" ht="15">
      <c r="A38" s="409"/>
      <c r="B38" s="364" t="s">
        <v>1702</v>
      </c>
      <c r="C38" s="1758" t="s">
        <v>3872</v>
      </c>
      <c r="D38" s="374">
        <v>100</v>
      </c>
      <c r="E38" s="1758" t="s">
        <v>3872</v>
      </c>
      <c r="F38" s="400">
        <f>SUMIF(114:114,E38,115:115)-SUMIF(114:114,C38,115:115)+100</f>
        <v>100</v>
      </c>
      <c r="G38" s="1758" t="s">
        <v>3872</v>
      </c>
      <c r="H38" s="374">
        <f>SUMIF(114:114,G38,115:115)-SUMIF(114:114,C38,115:115)+100</f>
        <v>100</v>
      </c>
      <c r="I38" s="1758" t="s">
        <v>3872</v>
      </c>
      <c r="J38" s="374">
        <f>SUMIF(114:114,I38,115:115)-SUMIF(114:114,C38,115:115)+100</f>
        <v>100</v>
      </c>
      <c r="K38" s="365">
        <v>1</v>
      </c>
      <c r="L38" s="2489"/>
      <c r="M38" s="2484"/>
      <c r="N38" s="2484"/>
      <c r="O38" s="2484"/>
      <c r="P38" s="3483" t="s">
        <v>1696</v>
      </c>
      <c r="Q38" s="1261" t="str">
        <f t="shared" si="11"/>
        <v>物业管理</v>
      </c>
      <c r="R38" s="667" t="s">
        <v>18</v>
      </c>
      <c r="S38" s="668">
        <f t="shared" si="12"/>
        <v>100</v>
      </c>
      <c r="T38" s="667" t="s">
        <v>18</v>
      </c>
      <c r="U38" s="668">
        <f t="shared" si="13"/>
        <v>100</v>
      </c>
      <c r="V38" s="667" t="s">
        <v>18</v>
      </c>
      <c r="W38" s="668">
        <f t="shared" si="14"/>
        <v>100</v>
      </c>
      <c r="X38" s="1263"/>
      <c r="Y38" s="3443" t="s">
        <v>1696</v>
      </c>
      <c r="Z38" s="1262" t="str">
        <f t="shared" si="18"/>
        <v>物业管理</v>
      </c>
      <c r="AA38" s="1262">
        <f t="shared" si="15"/>
        <v>1</v>
      </c>
      <c r="AB38" s="1262">
        <f t="shared" si="16"/>
        <v>1</v>
      </c>
      <c r="AC38" s="1262">
        <f t="shared" si="17"/>
        <v>1</v>
      </c>
    </row>
    <row r="39" spans="1:29" ht="15">
      <c r="A39" s="409"/>
      <c r="B39" s="364" t="s">
        <v>1703</v>
      </c>
      <c r="C39" s="1758" t="s">
        <v>3678</v>
      </c>
      <c r="D39" s="374">
        <v>100</v>
      </c>
      <c r="E39" s="1758" t="s">
        <v>3678</v>
      </c>
      <c r="F39" s="400">
        <f>SUMIF(116:116,E39,117:117)-SUMIF(116:116,C39,117:117)+100</f>
        <v>100</v>
      </c>
      <c r="G39" s="1758" t="s">
        <v>3678</v>
      </c>
      <c r="H39" s="374">
        <f>SUMIF(116:116,G39,117:117)-SUMIF(116:116,C39,117:117)+100</f>
        <v>100</v>
      </c>
      <c r="I39" s="1758" t="s">
        <v>3678</v>
      </c>
      <c r="J39" s="374">
        <f>SUMIF(116:116,I39,117:117)-SUMIF(116:116,C39,117:117)+100</f>
        <v>100</v>
      </c>
      <c r="K39" s="365">
        <v>1</v>
      </c>
      <c r="L39" s="2489"/>
      <c r="M39" s="2484"/>
      <c r="N39" s="2484"/>
      <c r="O39" s="2484"/>
      <c r="P39" s="3483"/>
      <c r="Q39" s="1261" t="str">
        <f t="shared" si="11"/>
        <v>市政基础设施</v>
      </c>
      <c r="R39" s="667" t="s">
        <v>18</v>
      </c>
      <c r="S39" s="668">
        <f t="shared" si="12"/>
        <v>100</v>
      </c>
      <c r="T39" s="667" t="s">
        <v>18</v>
      </c>
      <c r="U39" s="668">
        <f t="shared" si="13"/>
        <v>100</v>
      </c>
      <c r="V39" s="667" t="s">
        <v>18</v>
      </c>
      <c r="W39" s="668">
        <f t="shared" si="14"/>
        <v>100</v>
      </c>
      <c r="X39" s="1263"/>
      <c r="Y39" s="3443"/>
      <c r="Z39" s="1262" t="str">
        <f t="shared" si="18"/>
        <v>市政基础设施</v>
      </c>
      <c r="AA39" s="1262">
        <f t="shared" si="15"/>
        <v>1</v>
      </c>
      <c r="AB39" s="1262">
        <f t="shared" si="16"/>
        <v>1</v>
      </c>
      <c r="AC39" s="1262">
        <f t="shared" si="17"/>
        <v>1</v>
      </c>
    </row>
    <row r="40" spans="1:29" ht="15">
      <c r="A40" s="409"/>
      <c r="B40" s="364" t="s">
        <v>1704</v>
      </c>
      <c r="C40" s="1758" t="s">
        <v>3868</v>
      </c>
      <c r="D40" s="374">
        <v>100</v>
      </c>
      <c r="E40" s="1758" t="s">
        <v>3868</v>
      </c>
      <c r="F40" s="400">
        <f>SUMIF(118:118,E40,119:119)-SUMIF(118:118,C40,119:119)+100</f>
        <v>100</v>
      </c>
      <c r="G40" s="1758" t="s">
        <v>3868</v>
      </c>
      <c r="H40" s="374">
        <f>SUMIF(118:118,G40,119:119)-SUMIF(118:118,C40,119:119)+100</f>
        <v>100</v>
      </c>
      <c r="I40" s="1758" t="s">
        <v>3868</v>
      </c>
      <c r="J40" s="374">
        <f>SUMIF(118:118,I40,119:119)-SUMIF(118:118,C40,119:119)+100</f>
        <v>100</v>
      </c>
      <c r="K40" s="365">
        <v>1</v>
      </c>
      <c r="L40" s="2489"/>
      <c r="M40" s="2484"/>
      <c r="N40" s="2484"/>
      <c r="O40" s="2484"/>
      <c r="P40" s="3483"/>
      <c r="Q40" s="1261" t="str">
        <f t="shared" si="11"/>
        <v>房型</v>
      </c>
      <c r="R40" s="667" t="s">
        <v>18</v>
      </c>
      <c r="S40" s="668">
        <f t="shared" si="12"/>
        <v>100</v>
      </c>
      <c r="T40" s="667" t="s">
        <v>18</v>
      </c>
      <c r="U40" s="668">
        <f t="shared" si="13"/>
        <v>100</v>
      </c>
      <c r="V40" s="667" t="s">
        <v>18</v>
      </c>
      <c r="W40" s="668">
        <f t="shared" si="14"/>
        <v>100</v>
      </c>
      <c r="X40" s="1263"/>
      <c r="Y40" s="3443"/>
      <c r="Z40" s="1262" t="str">
        <f t="shared" si="18"/>
        <v>房型</v>
      </c>
      <c r="AA40" s="1262">
        <f t="shared" si="15"/>
        <v>1</v>
      </c>
      <c r="AB40" s="1262">
        <f t="shared" si="16"/>
        <v>1</v>
      </c>
      <c r="AC40" s="1262">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6"/>
      <c r="L41" s="2488"/>
      <c r="M41" s="2490"/>
      <c r="N41" s="2490"/>
      <c r="O41" s="2490"/>
      <c r="P41" s="3483"/>
      <c r="Q41" s="531" t="str">
        <f t="shared" si="11"/>
        <v>单套/主力户型建筑面积</v>
      </c>
      <c r="R41" s="669" t="s">
        <v>18</v>
      </c>
      <c r="S41" s="670">
        <f t="shared" si="12"/>
        <v>100</v>
      </c>
      <c r="T41" s="669" t="s">
        <v>18</v>
      </c>
      <c r="U41" s="670">
        <f t="shared" si="13"/>
        <v>100</v>
      </c>
      <c r="V41" s="669" t="s">
        <v>18</v>
      </c>
      <c r="W41" s="670">
        <f t="shared" si="14"/>
        <v>100</v>
      </c>
      <c r="X41" s="671"/>
      <c r="Y41" s="3443"/>
      <c r="Z41" s="672" t="str">
        <f t="shared" si="18"/>
        <v>单套/主力户型建筑面积</v>
      </c>
      <c r="AA41" s="1262">
        <f t="shared" si="15"/>
        <v>1</v>
      </c>
      <c r="AB41" s="1262">
        <f t="shared" si="16"/>
        <v>1</v>
      </c>
      <c r="AC41" s="1262">
        <f t="shared" si="17"/>
        <v>1</v>
      </c>
    </row>
    <row r="42" spans="1:29" ht="15">
      <c r="A42" s="409"/>
      <c r="B42" s="364" t="s">
        <v>1706</v>
      </c>
      <c r="C42" s="1758" t="s">
        <v>3871</v>
      </c>
      <c r="D42" s="374">
        <v>100</v>
      </c>
      <c r="E42" s="1758" t="s">
        <v>3871</v>
      </c>
      <c r="F42" s="400">
        <f>SUMIF(122:122,E42,123:123)-SUMIF(122:122,C42,123:123)+100</f>
        <v>100</v>
      </c>
      <c r="G42" s="1758" t="s">
        <v>3871</v>
      </c>
      <c r="H42" s="374">
        <f>SUMIF(122:122,G42,123:123)-SUMIF(122:122,C42,123:123)+100</f>
        <v>100</v>
      </c>
      <c r="I42" s="1758" t="s">
        <v>3871</v>
      </c>
      <c r="J42" s="374">
        <f>SUMIF(122:122,I42,123:123)-SUMIF(122:122,C42,123:123)+100</f>
        <v>100</v>
      </c>
      <c r="K42" s="365">
        <v>1</v>
      </c>
      <c r="L42" s="2489"/>
      <c r="M42" s="2484"/>
      <c r="N42" s="2484"/>
      <c r="O42" s="2484"/>
      <c r="P42" s="3483"/>
      <c r="Q42" s="1261" t="str">
        <f t="shared" si="11"/>
        <v>内部装修</v>
      </c>
      <c r="R42" s="667" t="s">
        <v>18</v>
      </c>
      <c r="S42" s="668">
        <f t="shared" si="12"/>
        <v>100</v>
      </c>
      <c r="T42" s="667" t="s">
        <v>18</v>
      </c>
      <c r="U42" s="668">
        <f t="shared" si="13"/>
        <v>100</v>
      </c>
      <c r="V42" s="667" t="s">
        <v>18</v>
      </c>
      <c r="W42" s="668">
        <f t="shared" si="14"/>
        <v>100</v>
      </c>
      <c r="X42" s="1263"/>
      <c r="Y42" s="3443"/>
      <c r="Z42" s="1262" t="str">
        <f t="shared" si="18"/>
        <v>内部装修</v>
      </c>
      <c r="AA42" s="1262">
        <f t="shared" si="15"/>
        <v>1</v>
      </c>
      <c r="AB42" s="1262">
        <f t="shared" si="16"/>
        <v>1</v>
      </c>
      <c r="AC42" s="1262">
        <f t="shared" si="17"/>
        <v>1</v>
      </c>
    </row>
    <row r="43" spans="1:29" ht="15.75" thickBot="1">
      <c r="A43" s="409"/>
      <c r="B43" s="364" t="s">
        <v>1707</v>
      </c>
      <c r="C43" s="1758" t="s">
        <v>3676</v>
      </c>
      <c r="D43" s="374">
        <v>100</v>
      </c>
      <c r="E43" s="1758" t="s">
        <v>3676</v>
      </c>
      <c r="F43" s="400">
        <f>SUMIF(124:124,E43,125:125)-SUMIF(124:124,C43,125:125)+100</f>
        <v>100</v>
      </c>
      <c r="G43" s="1758" t="s">
        <v>3676</v>
      </c>
      <c r="H43" s="374">
        <f>SUMIF(124:124,G43,125:125)-SUMIF(124:124,C43,125:125)+100</f>
        <v>100</v>
      </c>
      <c r="I43" s="1758" t="s">
        <v>3676</v>
      </c>
      <c r="J43" s="374">
        <f>SUMIF(124:124,I43,125:125)-SUMIF(124:124,C43,125:125)+100</f>
        <v>100</v>
      </c>
      <c r="K43" s="365">
        <v>1</v>
      </c>
      <c r="L43" s="2489"/>
      <c r="M43" s="2484"/>
      <c r="N43" s="2484"/>
      <c r="O43" s="2484"/>
      <c r="P43" s="3483"/>
      <c r="Q43" s="1261" t="str">
        <f t="shared" si="11"/>
        <v>内部装修维护情况</v>
      </c>
      <c r="R43" s="667" t="s">
        <v>18</v>
      </c>
      <c r="S43" s="668">
        <f t="shared" si="12"/>
        <v>100</v>
      </c>
      <c r="T43" s="667" t="s">
        <v>18</v>
      </c>
      <c r="U43" s="668">
        <f t="shared" si="13"/>
        <v>100</v>
      </c>
      <c r="V43" s="667" t="s">
        <v>18</v>
      </c>
      <c r="W43" s="668">
        <f t="shared" si="14"/>
        <v>100</v>
      </c>
      <c r="X43" s="1263"/>
      <c r="Y43" s="3443"/>
      <c r="Z43" s="1262" t="str">
        <f t="shared" si="18"/>
        <v>内部装修维护情况</v>
      </c>
      <c r="AA43" s="1262">
        <f t="shared" si="15"/>
        <v>1</v>
      </c>
      <c r="AB43" s="1262">
        <f t="shared" si="16"/>
        <v>1</v>
      </c>
      <c r="AC43" s="1262">
        <f t="shared" si="17"/>
        <v>1</v>
      </c>
    </row>
    <row r="44" spans="1:29" s="102" customFormat="1" ht="15" hidden="1">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5"/>
      <c r="M44" s="2436"/>
      <c r="N44" s="2436"/>
      <c r="O44" s="2436"/>
      <c r="P44" s="3483"/>
      <c r="Q44" s="530">
        <f t="shared" si="11"/>
        <v>111</v>
      </c>
      <c r="R44" s="664" t="s">
        <v>18</v>
      </c>
      <c r="S44" s="665">
        <f t="shared" si="12"/>
        <v>100</v>
      </c>
      <c r="T44" s="664" t="s">
        <v>18</v>
      </c>
      <c r="U44" s="665">
        <f t="shared" si="13"/>
        <v>100</v>
      </c>
      <c r="V44" s="664" t="s">
        <v>18</v>
      </c>
      <c r="W44" s="665">
        <f t="shared" si="14"/>
        <v>100</v>
      </c>
      <c r="X44" s="666"/>
      <c r="Y44" s="3443"/>
      <c r="Z44" s="50">
        <f t="shared" si="18"/>
        <v>111</v>
      </c>
      <c r="AA44" s="50">
        <f t="shared" si="15"/>
        <v>1</v>
      </c>
      <c r="AB44" s="50">
        <f t="shared" si="16"/>
        <v>1</v>
      </c>
      <c r="AC44" s="50">
        <f t="shared" si="17"/>
        <v>1</v>
      </c>
    </row>
    <row r="45" spans="1:29" ht="15" hidden="1">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9"/>
      <c r="M45" s="2484"/>
      <c r="N45" s="2484"/>
      <c r="O45" s="2484"/>
      <c r="P45" s="3483"/>
      <c r="Q45" s="1261">
        <f t="shared" si="11"/>
        <v>111</v>
      </c>
      <c r="R45" s="667" t="s">
        <v>18</v>
      </c>
      <c r="S45" s="668">
        <f t="shared" si="12"/>
        <v>100</v>
      </c>
      <c r="T45" s="667" t="s">
        <v>18</v>
      </c>
      <c r="U45" s="668">
        <f t="shared" si="13"/>
        <v>100</v>
      </c>
      <c r="V45" s="667" t="s">
        <v>18</v>
      </c>
      <c r="W45" s="668">
        <f t="shared" si="14"/>
        <v>100</v>
      </c>
      <c r="X45" s="1263"/>
      <c r="Y45" s="3443"/>
      <c r="Z45" s="1262">
        <f t="shared" si="18"/>
        <v>111</v>
      </c>
      <c r="AA45" s="1262">
        <f t="shared" si="15"/>
        <v>1</v>
      </c>
      <c r="AB45" s="1262">
        <f t="shared" si="16"/>
        <v>1</v>
      </c>
      <c r="AC45" s="1262">
        <f t="shared" si="17"/>
        <v>1</v>
      </c>
    </row>
    <row r="46" spans="1:29" ht="15.75" hidden="1"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9"/>
      <c r="M46" s="2484"/>
      <c r="N46" s="2484"/>
      <c r="O46" s="2484"/>
      <c r="P46" s="3484"/>
      <c r="Q46" s="1261">
        <f t="shared" si="11"/>
        <v>111</v>
      </c>
      <c r="R46" s="667" t="s">
        <v>17</v>
      </c>
      <c r="S46" s="668">
        <f t="shared" si="12"/>
        <v>100</v>
      </c>
      <c r="T46" s="667" t="s">
        <v>17</v>
      </c>
      <c r="U46" s="668">
        <f t="shared" si="13"/>
        <v>100</v>
      </c>
      <c r="V46" s="667" t="s">
        <v>17</v>
      </c>
      <c r="W46" s="668">
        <f t="shared" si="14"/>
        <v>100</v>
      </c>
      <c r="X46" s="1263"/>
      <c r="Y46" s="3485"/>
      <c r="Z46" s="1262">
        <f t="shared" si="18"/>
        <v>111</v>
      </c>
      <c r="AA46" s="1262">
        <f t="shared" si="15"/>
        <v>1</v>
      </c>
      <c r="AB46" s="1262">
        <f t="shared" si="16"/>
        <v>1</v>
      </c>
      <c r="AC46" s="1262">
        <f t="shared" si="17"/>
        <v>1</v>
      </c>
    </row>
    <row r="47" spans="1:29" ht="15">
      <c r="A47" s="416" t="s">
        <v>1708</v>
      </c>
      <c r="B47" s="417"/>
      <c r="C47" s="1079" t="s">
        <v>16</v>
      </c>
      <c r="D47" s="418"/>
      <c r="E47" s="419">
        <f>ROUND(3800/30/91.2,2)</f>
        <v>1.39</v>
      </c>
      <c r="F47" s="420"/>
      <c r="G47" s="421">
        <f>ROUND(3000/30/81.1,2)</f>
        <v>1.23</v>
      </c>
      <c r="H47" s="422"/>
      <c r="I47" s="419">
        <f>ROUND(4300/30/108,2)</f>
        <v>1.33</v>
      </c>
      <c r="J47" s="422"/>
      <c r="K47" s="1763"/>
      <c r="L47" s="2491"/>
      <c r="M47" s="2484"/>
      <c r="N47" s="2484"/>
      <c r="O47" s="2484"/>
      <c r="P47" s="3435" t="str">
        <f>A47</f>
        <v>成交单价（元/平方米）</v>
      </c>
      <c r="Q47" s="3435"/>
      <c r="R47" s="3439">
        <f>E47</f>
        <v>1.39</v>
      </c>
      <c r="S47" s="3439"/>
      <c r="T47" s="3439">
        <f>G47</f>
        <v>1.23</v>
      </c>
      <c r="U47" s="3439"/>
      <c r="V47" s="3439">
        <f>I47</f>
        <v>1.33</v>
      </c>
      <c r="W47" s="3439"/>
      <c r="X47" s="385"/>
      <c r="Y47" s="673"/>
      <c r="Z47" s="385"/>
      <c r="AA47" s="385"/>
      <c r="AB47" s="385"/>
      <c r="AC47" s="385"/>
    </row>
    <row r="48" spans="1:29" ht="15.75" thickBot="1">
      <c r="A48" s="423" t="s">
        <v>1709</v>
      </c>
      <c r="B48" s="424"/>
      <c r="C48" s="1080">
        <f>R49</f>
        <v>1.3</v>
      </c>
      <c r="D48" s="2137" t="s">
        <v>2137</v>
      </c>
      <c r="E48" s="1081">
        <f>R48</f>
        <v>1.3</v>
      </c>
      <c r="F48" s="2138"/>
      <c r="G48" s="1080">
        <f>T48</f>
        <v>1.2</v>
      </c>
      <c r="H48" s="2138"/>
      <c r="I48" s="1081">
        <f>V48</f>
        <v>1.3</v>
      </c>
      <c r="J48" s="2138"/>
      <c r="K48" s="2139">
        <f>F48+H48+J48</f>
        <v>0</v>
      </c>
      <c r="L48" s="2491"/>
      <c r="M48" s="2484"/>
      <c r="N48" s="2484"/>
      <c r="O48" s="2484"/>
      <c r="P48" s="3435" t="str">
        <f>A48</f>
        <v>比较价值（元/平方米）</v>
      </c>
      <c r="Q48" s="3435"/>
      <c r="R48" s="3439">
        <f>IF(F1="售价",ROUND(PRODUCT(R47,AA7:AA46),0),ROUND(PRODUCT(R47,AA7:AA46),1))</f>
        <v>1.3</v>
      </c>
      <c r="S48" s="3439"/>
      <c r="T48" s="3439">
        <f>IF(F1="售价",ROUND(PRODUCT(T47,AB7:AB46),0),ROUND(PRODUCT(T47,AB7:AB46),1))</f>
        <v>1.2</v>
      </c>
      <c r="U48" s="3439"/>
      <c r="V48" s="3439">
        <f>IF(F1="售价",ROUND(PRODUCT(V47,AC7:AC46),0),ROUND(PRODUCT(V47,AC7:AC46),1))</f>
        <v>1.3</v>
      </c>
      <c r="W48" s="3439"/>
      <c r="X48" s="385"/>
      <c r="Y48" s="385"/>
      <c r="Z48" s="385"/>
      <c r="AA48" s="385"/>
      <c r="AB48" s="385"/>
      <c r="AC48" s="385"/>
    </row>
    <row r="49" spans="1:29" ht="15.75" thickBot="1">
      <c r="A49" s="427" t="s">
        <v>1710</v>
      </c>
      <c r="B49" s="428"/>
      <c r="C49" s="1082">
        <f>R49</f>
        <v>1.3</v>
      </c>
      <c r="D49" s="351"/>
      <c r="E49" s="351"/>
      <c r="F49" s="351"/>
      <c r="G49" s="351"/>
      <c r="H49" s="351"/>
      <c r="I49" s="351"/>
      <c r="J49" s="351"/>
      <c r="K49" s="1764"/>
      <c r="L49" s="2491"/>
      <c r="M49" s="2484"/>
      <c r="N49" s="2484"/>
      <c r="O49" s="2484"/>
      <c r="P49" s="3432" t="str">
        <f>A49</f>
        <v>估价对象XX用房的比较价值（楼面单价，元/平方米）</v>
      </c>
      <c r="Q49" s="3433"/>
      <c r="R49" s="3486">
        <f>IF(F1="售价",ROUND(IF(D48="简单平均",AVERAGE(R48:V48),R48*F48+T48*H48+V48*J48),0),ROUND(IF(D48="简单平均",AVERAGE(R48:V48),R48*F48+T48*H48+V48*J48),1))</f>
        <v>1.3</v>
      </c>
      <c r="S49" s="3486"/>
      <c r="T49" s="3486"/>
      <c r="U49" s="3486"/>
      <c r="V49" s="3486"/>
      <c r="W49" s="348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f>IF(E47&lt;E48,E48/E47-1,E47/E48-1)</f>
        <v>6.9230769230769207E-2</v>
      </c>
      <c r="F52" s="435" t="str">
        <f>IF(OR(E52&gt;=0.3,E52&lt;=-0.3),"超过30%","")</f>
        <v/>
      </c>
      <c r="G52" s="434">
        <f>IF(G47&lt;G48,G48/G47-1,G47/G48-1)</f>
        <v>2.5000000000000133E-2</v>
      </c>
      <c r="H52" s="435" t="str">
        <f>IF(OR(G52&gt;=0.3,G52&lt;=-0.3),"超过30%","")</f>
        <v/>
      </c>
      <c r="I52" s="434">
        <f>IF(I47&lt;I48,I48/I47-1,I47/I48-1)</f>
        <v>2.3076923076922995E-2</v>
      </c>
      <c r="J52" s="435" t="str">
        <f>IF(OR(I52&gt;=0.3,I52&lt;=-0.3),"超过30%","")</f>
        <v/>
      </c>
      <c r="K52" s="2496"/>
      <c r="L52" s="2492"/>
      <c r="M52" s="2484"/>
      <c r="N52" s="2484"/>
      <c r="O52" s="2484"/>
    </row>
    <row r="53" spans="1:29" ht="13.5" customHeight="1">
      <c r="A53" s="2484"/>
      <c r="B53" s="2484"/>
      <c r="C53" s="432" t="s">
        <v>1712</v>
      </c>
      <c r="D53" s="436"/>
      <c r="E53" s="434">
        <f>IF(E48&lt;G48,G48/E48-1,E48/G48-1)</f>
        <v>8.3333333333333481E-2</v>
      </c>
      <c r="F53" s="435" t="str">
        <f>IF(OR(E53&gt;=0.2,E53&lt;=-0.2),"超过20%","")</f>
        <v/>
      </c>
      <c r="G53" s="434">
        <f>IF(G48&lt;I48,I48/G48-1,G48/I48-1)</f>
        <v>8.3333333333333481E-2</v>
      </c>
      <c r="H53" s="435" t="str">
        <f>IF(OR(G53&gt;=0.2,G53&lt;=-0.2),"超过20%","")</f>
        <v/>
      </c>
      <c r="I53" s="434">
        <f>IF(I48&lt;E48,E48/I48-1,I48/E48-1)</f>
        <v>0</v>
      </c>
      <c r="J53" s="435" t="str">
        <f>IF(OR(I53&gt;=0.2,I53&lt;=-0.2),"超过20%","")</f>
        <v/>
      </c>
      <c r="K53" s="2496"/>
      <c r="L53" s="2492"/>
      <c r="M53" s="2484"/>
      <c r="N53" s="2484"/>
      <c r="O53" s="2484"/>
    </row>
    <row r="54" spans="1:29" s="437" customFormat="1" ht="13.5" customHeight="1">
      <c r="A54" s="2494"/>
      <c r="B54" s="2494"/>
      <c r="C54" s="432" t="s">
        <v>1713</v>
      </c>
      <c r="D54" s="436"/>
      <c r="E54" s="434">
        <f>IF(E47&lt;G47,G47/E47-1,E47/G47-1)</f>
        <v>0.13008130081300817</v>
      </c>
      <c r="F54" s="435" t="str">
        <f>IF(OR(E54&gt;=0.3,E54&lt;=-0.3),"超过30%","")</f>
        <v/>
      </c>
      <c r="G54" s="434">
        <f>IF(G47&lt;I47,I47/G47-1,G47/I47-1)</f>
        <v>8.1300813008130079E-2</v>
      </c>
      <c r="H54" s="435" t="str">
        <f>IF(OR(G54&gt;=0.3,G54&lt;=-0.3),"超过30%","")</f>
        <v/>
      </c>
      <c r="I54" s="434">
        <f>IF(I47&lt;E47,E47/I47-1,I47/E47-1)</f>
        <v>4.5112781954887105E-2</v>
      </c>
      <c r="J54" s="435" t="str">
        <f>IF(OR(I54&gt;=0.3,I54&lt;=-0.3),"超过30%","")</f>
        <v/>
      </c>
      <c r="K54" s="2499"/>
      <c r="L54" s="2493"/>
      <c r="M54" s="2494"/>
      <c r="N54" s="2494"/>
      <c r="O54" s="2494"/>
      <c r="P54" s="1766"/>
    </row>
    <row r="55" spans="1:29" s="437" customFormat="1">
      <c r="A55" s="2494"/>
      <c r="B55" s="2497"/>
      <c r="C55" s="2498"/>
      <c r="D55" s="2494"/>
      <c r="E55" s="2494"/>
      <c r="F55" s="2494"/>
      <c r="G55" s="2494"/>
      <c r="H55" s="2494"/>
      <c r="I55" s="2494"/>
      <c r="J55" s="2494"/>
      <c r="K55" s="2499"/>
      <c r="L55" s="2493"/>
      <c r="M55" s="2494"/>
      <c r="N55" s="2494"/>
      <c r="O55" s="2494"/>
      <c r="P55" s="1766"/>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5"/>
      <c r="L57" s="886"/>
      <c r="M57" s="884"/>
      <c r="N57" s="884"/>
      <c r="O57" s="884"/>
      <c r="P57" s="1767"/>
      <c r="Q57" s="439"/>
    </row>
    <row r="58" spans="1:29" s="442" customFormat="1" ht="15">
      <c r="A58" s="440" t="s">
        <v>1715</v>
      </c>
      <c r="B58" s="441"/>
      <c r="C58" s="1103" t="str">
        <f>YEAR(C7)&amp;"-"&amp;MONTH(C7)</f>
        <v>2024-6</v>
      </c>
      <c r="D58" s="1102">
        <f>EDATE(C58,-1)</f>
        <v>45413</v>
      </c>
      <c r="E58" s="1102">
        <f>EDATE(D58,-1)</f>
        <v>45383</v>
      </c>
      <c r="F58" s="1102">
        <f t="shared" ref="F58:O58" si="19">EDATE(E58,-1)</f>
        <v>45352</v>
      </c>
      <c r="G58" s="1102">
        <f t="shared" si="19"/>
        <v>45323</v>
      </c>
      <c r="H58" s="1102">
        <f t="shared" si="19"/>
        <v>45292</v>
      </c>
      <c r="I58" s="1102">
        <f t="shared" si="19"/>
        <v>45261</v>
      </c>
      <c r="J58" s="1102">
        <f t="shared" si="19"/>
        <v>45231</v>
      </c>
      <c r="K58" s="1102">
        <f t="shared" si="19"/>
        <v>45200</v>
      </c>
      <c r="L58" s="1102">
        <f t="shared" si="19"/>
        <v>45170</v>
      </c>
      <c r="M58" s="1102">
        <f t="shared" si="19"/>
        <v>45139</v>
      </c>
      <c r="N58" s="1102">
        <f t="shared" si="19"/>
        <v>45108</v>
      </c>
      <c r="O58" s="1102">
        <f t="shared" si="19"/>
        <v>45078</v>
      </c>
      <c r="P58" s="1098"/>
    </row>
    <row r="59" spans="1:29" s="102" customFormat="1" ht="15">
      <c r="A59" s="443"/>
      <c r="B59" s="1768"/>
      <c r="C59" s="1100">
        <v>100</v>
      </c>
      <c r="D59" s="445"/>
      <c r="E59" s="446"/>
      <c r="F59" s="446"/>
      <c r="G59" s="446"/>
      <c r="H59" s="446">
        <v>100</v>
      </c>
      <c r="I59" s="446"/>
      <c r="J59" s="446"/>
      <c r="K59" s="446"/>
      <c r="L59" s="446"/>
      <c r="M59" s="447"/>
      <c r="N59" s="446"/>
      <c r="O59" s="447"/>
      <c r="P59" s="1769"/>
    </row>
    <row r="60" spans="1:29" s="102" customFormat="1" ht="15.75" thickBot="1">
      <c r="A60" s="449" t="s">
        <v>1716</v>
      </c>
      <c r="B60" s="450"/>
      <c r="C60" s="451"/>
      <c r="D60" s="452"/>
      <c r="E60" s="452"/>
      <c r="F60" s="452"/>
      <c r="G60" s="452"/>
      <c r="H60" s="452"/>
      <c r="I60" s="452"/>
      <c r="J60" s="452"/>
      <c r="K60" s="452"/>
      <c r="L60" s="452"/>
      <c r="M60" s="453"/>
      <c r="N60" s="452"/>
      <c r="O60" s="453"/>
      <c r="P60" s="1769"/>
      <c r="Q60" s="439"/>
    </row>
    <row r="61" spans="1:29" s="102" customFormat="1" ht="15">
      <c r="A61" s="455" t="s">
        <v>1717</v>
      </c>
      <c r="B61" s="444"/>
      <c r="C61" s="456" t="s">
        <v>1718</v>
      </c>
      <c r="D61" s="3206" t="s">
        <v>3854</v>
      </c>
      <c r="E61" s="31"/>
      <c r="F61" s="31"/>
      <c r="G61" s="31"/>
      <c r="H61" s="31"/>
      <c r="I61" s="31"/>
      <c r="J61" s="31"/>
      <c r="K61" s="31"/>
      <c r="L61" s="457"/>
      <c r="M61" s="458"/>
      <c r="N61" s="876"/>
      <c r="O61" s="876"/>
      <c r="P61" s="1770"/>
      <c r="Q61" s="439"/>
    </row>
    <row r="62" spans="1:29" s="102" customFormat="1" ht="15.75" thickBot="1">
      <c r="A62" s="455"/>
      <c r="B62" s="444"/>
      <c r="C62" s="445">
        <v>100</v>
      </c>
      <c r="D62" s="446">
        <v>105</v>
      </c>
      <c r="E62" s="446"/>
      <c r="F62" s="446"/>
      <c r="G62" s="446"/>
      <c r="H62" s="446"/>
      <c r="I62" s="446"/>
      <c r="J62" s="446"/>
      <c r="K62" s="446"/>
      <c r="L62" s="446"/>
      <c r="M62" s="448"/>
      <c r="N62" s="876"/>
      <c r="O62" s="876"/>
      <c r="P62" s="1769"/>
      <c r="Q62" s="439"/>
    </row>
    <row r="63" spans="1:29">
      <c r="A63" s="379" t="s">
        <v>1719</v>
      </c>
      <c r="B63" s="460" t="s">
        <v>1685</v>
      </c>
      <c r="C63" s="461" t="str">
        <f>C9</f>
        <v>住宅</v>
      </c>
      <c r="D63" s="462"/>
      <c r="E63" s="462"/>
      <c r="F63" s="462"/>
      <c r="G63" s="462"/>
      <c r="H63" s="462"/>
      <c r="I63" s="462"/>
      <c r="J63" s="462"/>
      <c r="K63" s="463"/>
      <c r="L63" s="464"/>
      <c r="M63" s="465"/>
      <c r="N63" s="877"/>
      <c r="O63" s="877"/>
      <c r="P63" s="1771"/>
      <c r="Q63" s="439"/>
    </row>
    <row r="64" spans="1:29" ht="15.75" thickBot="1">
      <c r="A64" s="367"/>
      <c r="B64" s="466"/>
      <c r="C64" s="467">
        <v>100</v>
      </c>
      <c r="D64" s="467"/>
      <c r="E64" s="467"/>
      <c r="F64" s="467"/>
      <c r="G64" s="467"/>
      <c r="H64" s="467"/>
      <c r="I64" s="467"/>
      <c r="J64" s="467"/>
      <c r="K64" s="467"/>
      <c r="L64" s="467"/>
      <c r="M64" s="468"/>
      <c r="N64" s="878"/>
      <c r="O64" s="878"/>
      <c r="P64" s="1771"/>
      <c r="Q64" s="439"/>
    </row>
    <row r="65" spans="1:17" ht="27.75" thickTop="1">
      <c r="A65" s="367"/>
      <c r="B65" s="469" t="s">
        <v>1688</v>
      </c>
      <c r="C65" s="513"/>
      <c r="D65" s="513"/>
      <c r="E65" s="513"/>
      <c r="F65" s="513"/>
      <c r="G65" s="513"/>
      <c r="H65" s="513"/>
      <c r="I65" s="513"/>
      <c r="J65" s="513"/>
      <c r="K65" s="513"/>
      <c r="L65" s="513"/>
      <c r="M65" s="513"/>
      <c r="N65" s="878"/>
      <c r="O65" s="878"/>
      <c r="P65" s="1771"/>
      <c r="Q65" s="439"/>
    </row>
    <row r="66" spans="1:17" ht="15.75" thickBot="1">
      <c r="A66" s="367"/>
      <c r="B66" s="474"/>
      <c r="C66" s="467"/>
      <c r="D66" s="467"/>
      <c r="E66" s="467"/>
      <c r="F66" s="467"/>
      <c r="G66" s="467"/>
      <c r="H66" s="467"/>
      <c r="I66" s="467"/>
      <c r="J66" s="467"/>
      <c r="K66" s="467"/>
      <c r="L66" s="467"/>
      <c r="M66" s="468"/>
      <c r="N66" s="878"/>
      <c r="O66" s="878"/>
      <c r="P66" s="1771"/>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4（含）-5</v>
      </c>
      <c r="H67" s="478" t="str">
        <f t="shared" si="20"/>
        <v>5（含）-6</v>
      </c>
      <c r="I67" s="478" t="str">
        <f t="shared" si="20"/>
        <v>6（含）-7</v>
      </c>
      <c r="J67" s="478" t="str">
        <f t="shared" si="20"/>
        <v>7（含）-8</v>
      </c>
      <c r="K67" s="478" t="str">
        <f>K68&amp;"（含）"&amp;"-"&amp;L68</f>
        <v>8（含）-9</v>
      </c>
      <c r="L67" s="478" t="str">
        <f t="shared" si="20"/>
        <v>9（含）-10</v>
      </c>
      <c r="M67" s="387" t="str">
        <f>M68&amp;"（含）"&amp;"-"&amp;P68</f>
        <v>10（含）-</v>
      </c>
      <c r="N67" s="878"/>
      <c r="O67" s="878"/>
      <c r="P67" s="1771"/>
      <c r="Q67" s="439"/>
    </row>
    <row r="68" spans="1:17" ht="15">
      <c r="A68" s="367"/>
      <c r="B68" s="479"/>
      <c r="C68" s="480">
        <v>0</v>
      </c>
      <c r="D68" s="480">
        <v>1</v>
      </c>
      <c r="E68" s="480">
        <v>2</v>
      </c>
      <c r="F68" s="480">
        <v>3</v>
      </c>
      <c r="G68" s="480">
        <v>4</v>
      </c>
      <c r="H68" s="480">
        <v>5</v>
      </c>
      <c r="I68" s="480">
        <v>6</v>
      </c>
      <c r="J68" s="480">
        <v>7</v>
      </c>
      <c r="K68" s="480">
        <v>8</v>
      </c>
      <c r="L68" s="480">
        <v>9</v>
      </c>
      <c r="M68" s="480">
        <v>10</v>
      </c>
      <c r="N68" s="877"/>
      <c r="O68" s="877"/>
      <c r="P68" s="1771"/>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1"/>
      <c r="Q69" s="439"/>
    </row>
    <row r="70" spans="1:17" s="408" customFormat="1" ht="15.75" thickTop="1">
      <c r="A70" s="484"/>
      <c r="B70" s="469">
        <f>B12</f>
        <v>111</v>
      </c>
      <c r="C70" s="485"/>
      <c r="D70" s="485"/>
      <c r="E70" s="485"/>
      <c r="F70" s="485"/>
      <c r="G70" s="485"/>
      <c r="H70" s="486"/>
      <c r="I70" s="486"/>
      <c r="J70" s="486"/>
      <c r="K70" s="486"/>
      <c r="L70" s="487"/>
      <c r="M70" s="488"/>
      <c r="N70" s="879"/>
      <c r="O70" s="879"/>
      <c r="P70" s="1772"/>
      <c r="Q70" s="490"/>
    </row>
    <row r="71" spans="1:17" s="408" customFormat="1" ht="15.75" thickBot="1">
      <c r="A71" s="484"/>
      <c r="B71" s="474"/>
      <c r="C71" s="491"/>
      <c r="D71" s="467"/>
      <c r="E71" s="467"/>
      <c r="F71" s="467"/>
      <c r="G71" s="467"/>
      <c r="H71" s="467"/>
      <c r="I71" s="467"/>
      <c r="J71" s="467"/>
      <c r="K71" s="467"/>
      <c r="L71" s="467"/>
      <c r="M71" s="468"/>
      <c r="N71" s="878"/>
      <c r="O71" s="878"/>
      <c r="P71" s="1772"/>
      <c r="Q71" s="490"/>
    </row>
    <row r="72" spans="1:17" s="408" customFormat="1" ht="15.75" thickTop="1">
      <c r="A72" s="484"/>
      <c r="B72" s="469">
        <f>B13</f>
        <v>111</v>
      </c>
      <c r="C72" s="485"/>
      <c r="D72" s="485"/>
      <c r="E72" s="485"/>
      <c r="F72" s="485"/>
      <c r="G72" s="485"/>
      <c r="H72" s="486"/>
      <c r="I72" s="486"/>
      <c r="J72" s="486"/>
      <c r="K72" s="486"/>
      <c r="L72" s="487"/>
      <c r="M72" s="488"/>
      <c r="N72" s="879"/>
      <c r="O72" s="879"/>
      <c r="P72" s="1773"/>
      <c r="Q72" s="492"/>
    </row>
    <row r="73" spans="1:17" s="408" customFormat="1" ht="15.75" thickBot="1">
      <c r="A73" s="484"/>
      <c r="B73" s="474"/>
      <c r="C73" s="491"/>
      <c r="D73" s="491"/>
      <c r="E73" s="491"/>
      <c r="F73" s="491"/>
      <c r="G73" s="491"/>
      <c r="H73" s="493"/>
      <c r="I73" s="493"/>
      <c r="J73" s="493"/>
      <c r="K73" s="493"/>
      <c r="L73" s="493"/>
      <c r="M73" s="494"/>
      <c r="N73" s="879"/>
      <c r="O73" s="879"/>
      <c r="P73" s="1772"/>
      <c r="Q73" s="490"/>
    </row>
    <row r="74" spans="1:17" s="408" customFormat="1" ht="15.75" thickTop="1">
      <c r="A74" s="484"/>
      <c r="B74" s="477">
        <f>B14</f>
        <v>111</v>
      </c>
      <c r="C74" s="485"/>
      <c r="D74" s="485"/>
      <c r="E74" s="485"/>
      <c r="F74" s="485"/>
      <c r="G74" s="31"/>
      <c r="H74" s="495"/>
      <c r="I74" s="495"/>
      <c r="J74" s="495"/>
      <c r="K74" s="495"/>
      <c r="L74" s="496"/>
      <c r="M74" s="497"/>
      <c r="N74" s="879"/>
      <c r="O74" s="879"/>
      <c r="P74" s="1774"/>
      <c r="Q74" s="490"/>
    </row>
    <row r="75" spans="1:17" s="408" customFormat="1" ht="15.75" thickBot="1">
      <c r="A75" s="499"/>
      <c r="B75" s="500"/>
      <c r="C75" s="501"/>
      <c r="D75" s="501"/>
      <c r="E75" s="501"/>
      <c r="F75" s="501"/>
      <c r="G75" s="501"/>
      <c r="H75" s="502"/>
      <c r="I75" s="502"/>
      <c r="J75" s="502"/>
      <c r="K75" s="502"/>
      <c r="L75" s="502"/>
      <c r="M75" s="503"/>
      <c r="N75" s="879"/>
      <c r="O75" s="879"/>
      <c r="P75" s="1772"/>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5"/>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78"/>
      <c r="O77" s="878"/>
      <c r="P77" s="1771"/>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1"/>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78"/>
      <c r="O79" s="878"/>
      <c r="P79" s="1771"/>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1"/>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78"/>
      <c r="O81" s="878"/>
      <c r="P81" s="1771"/>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8"/>
      <c r="O82" s="878"/>
      <c r="P82" s="1771"/>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78"/>
      <c r="O83" s="878"/>
      <c r="P83" s="1771"/>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1"/>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78"/>
      <c r="O85" s="878"/>
      <c r="P85" s="1771"/>
      <c r="Q85" s="439"/>
    </row>
    <row r="86" spans="1:17" s="102" customFormat="1" ht="15.75" thickTop="1">
      <c r="A86" s="370"/>
      <c r="B86" s="469" t="s">
        <v>1734</v>
      </c>
      <c r="C86" s="485"/>
      <c r="D86" s="485"/>
      <c r="E86" s="485"/>
      <c r="F86" s="485"/>
      <c r="G86" s="485"/>
      <c r="H86" s="485"/>
      <c r="I86" s="485"/>
      <c r="J86" s="485"/>
      <c r="K86" s="485"/>
      <c r="L86" s="510"/>
      <c r="M86" s="511"/>
      <c r="N86" s="876"/>
      <c r="O86" s="876"/>
      <c r="P86" s="1771"/>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1"/>
      <c r="Q87" s="439"/>
    </row>
    <row r="88" spans="1:17" s="102" customFormat="1" ht="15.75" thickTop="1">
      <c r="A88" s="370"/>
      <c r="B88" s="469" t="s">
        <v>1735</v>
      </c>
      <c r="C88" s="485"/>
      <c r="D88" s="485"/>
      <c r="E88" s="485"/>
      <c r="F88" s="1776"/>
      <c r="G88" s="485"/>
      <c r="H88" s="485"/>
      <c r="I88" s="485"/>
      <c r="J88" s="485"/>
      <c r="K88" s="485"/>
      <c r="L88" s="485"/>
      <c r="M88" s="511"/>
      <c r="N88" s="876"/>
      <c r="O88" s="876"/>
      <c r="P88" s="1771"/>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1"/>
      <c r="Q89" s="439"/>
    </row>
    <row r="90" spans="1:17" s="408" customFormat="1" ht="15.75" thickTop="1">
      <c r="A90" s="484"/>
      <c r="B90" s="469">
        <f>B27</f>
        <v>111</v>
      </c>
      <c r="C90" s="485"/>
      <c r="D90" s="485"/>
      <c r="E90" s="485"/>
      <c r="F90" s="485"/>
      <c r="G90" s="485"/>
      <c r="H90" s="486"/>
      <c r="I90" s="486"/>
      <c r="J90" s="486"/>
      <c r="K90" s="486"/>
      <c r="L90" s="487"/>
      <c r="M90" s="488"/>
      <c r="N90" s="879"/>
      <c r="O90" s="879"/>
      <c r="P90" s="1772"/>
      <c r="Q90" s="490"/>
    </row>
    <row r="91" spans="1:17" s="408" customFormat="1" ht="15.75" thickBot="1">
      <c r="A91" s="484"/>
      <c r="B91" s="474"/>
      <c r="C91" s="491"/>
      <c r="D91" s="491"/>
      <c r="E91" s="491"/>
      <c r="F91" s="491"/>
      <c r="G91" s="491"/>
      <c r="H91" s="493"/>
      <c r="I91" s="493"/>
      <c r="J91" s="493"/>
      <c r="K91" s="493"/>
      <c r="L91" s="493"/>
      <c r="M91" s="494"/>
      <c r="N91" s="879"/>
      <c r="O91" s="879"/>
      <c r="P91" s="1772"/>
      <c r="Q91" s="490"/>
    </row>
    <row r="92" spans="1:17" ht="15.75" thickTop="1">
      <c r="A92" s="367"/>
      <c r="B92" s="469">
        <f>B28</f>
        <v>111</v>
      </c>
      <c r="C92" s="485"/>
      <c r="D92" s="485"/>
      <c r="E92" s="485"/>
      <c r="F92" s="485"/>
      <c r="G92" s="513"/>
      <c r="H92" s="513"/>
      <c r="I92" s="513"/>
      <c r="J92" s="513"/>
      <c r="K92" s="514"/>
      <c r="L92" s="515"/>
      <c r="M92" s="516"/>
      <c r="N92" s="877"/>
      <c r="O92" s="877"/>
      <c r="P92" s="1771"/>
      <c r="Q92" s="439"/>
    </row>
    <row r="93" spans="1:17" ht="15.75" thickBot="1">
      <c r="A93" s="367"/>
      <c r="B93" s="474"/>
      <c r="C93" s="491"/>
      <c r="D93" s="467"/>
      <c r="E93" s="467"/>
      <c r="F93" s="467"/>
      <c r="G93" s="467"/>
      <c r="H93" s="467"/>
      <c r="I93" s="467"/>
      <c r="J93" s="467"/>
      <c r="K93" s="467"/>
      <c r="L93" s="467"/>
      <c r="M93" s="468"/>
      <c r="N93" s="878"/>
      <c r="O93" s="878"/>
      <c r="P93" s="1771"/>
      <c r="Q93" s="439"/>
    </row>
    <row r="94" spans="1:17" ht="15.75" thickTop="1">
      <c r="A94" s="367"/>
      <c r="B94" s="469">
        <f>B29</f>
        <v>111</v>
      </c>
      <c r="C94" s="485"/>
      <c r="D94" s="485"/>
      <c r="E94" s="485"/>
      <c r="F94" s="485"/>
      <c r="G94" s="513"/>
      <c r="H94" s="513"/>
      <c r="I94" s="513"/>
      <c r="J94" s="513"/>
      <c r="K94" s="514"/>
      <c r="L94" s="515"/>
      <c r="M94" s="516"/>
      <c r="N94" s="877"/>
      <c r="O94" s="877"/>
      <c r="P94" s="1771"/>
      <c r="Q94" s="439"/>
    </row>
    <row r="95" spans="1:17" ht="15.75" thickBot="1">
      <c r="A95" s="367"/>
      <c r="B95" s="474"/>
      <c r="C95" s="491"/>
      <c r="D95" s="491"/>
      <c r="E95" s="491"/>
      <c r="F95" s="491"/>
      <c r="G95" s="467"/>
      <c r="H95" s="467"/>
      <c r="I95" s="467"/>
      <c r="J95" s="467"/>
      <c r="K95" s="467"/>
      <c r="L95" s="467"/>
      <c r="M95" s="468"/>
      <c r="N95" s="878"/>
      <c r="O95" s="878"/>
      <c r="P95" s="1771"/>
      <c r="Q95" s="439"/>
    </row>
    <row r="96" spans="1:17" ht="15.75" thickTop="1">
      <c r="A96" s="367"/>
      <c r="B96" s="469">
        <f>B30</f>
        <v>111</v>
      </c>
      <c r="C96" s="485"/>
      <c r="D96" s="485"/>
      <c r="E96" s="485"/>
      <c r="F96" s="485"/>
      <c r="G96" s="513"/>
      <c r="H96" s="513"/>
      <c r="I96" s="513"/>
      <c r="J96" s="513"/>
      <c r="K96" s="514"/>
      <c r="L96" s="515"/>
      <c r="M96" s="516"/>
      <c r="N96" s="877"/>
      <c r="O96" s="877"/>
      <c r="P96" s="1771"/>
      <c r="Q96" s="439"/>
    </row>
    <row r="97" spans="1:17" ht="15.75" thickBot="1">
      <c r="A97" s="367"/>
      <c r="B97" s="474"/>
      <c r="C97" s="501"/>
      <c r="D97" s="501"/>
      <c r="E97" s="501"/>
      <c r="F97" s="501"/>
      <c r="G97" s="467"/>
      <c r="H97" s="467"/>
      <c r="I97" s="467"/>
      <c r="J97" s="467"/>
      <c r="K97" s="467"/>
      <c r="L97" s="467"/>
      <c r="M97" s="468"/>
      <c r="N97" s="878"/>
      <c r="O97" s="878"/>
      <c r="P97" s="1771"/>
      <c r="Q97" s="439"/>
    </row>
    <row r="98" spans="1:17" ht="15.75" thickTop="1">
      <c r="A98" s="367"/>
      <c r="B98" s="477">
        <f>B31</f>
        <v>111</v>
      </c>
      <c r="C98" s="517"/>
      <c r="D98" s="517"/>
      <c r="E98" s="517"/>
      <c r="F98" s="517"/>
      <c r="G98" s="517"/>
      <c r="H98" s="517"/>
      <c r="I98" s="517"/>
      <c r="J98" s="517"/>
      <c r="K98" s="518"/>
      <c r="L98" s="519"/>
      <c r="M98" s="520"/>
      <c r="N98" s="877"/>
      <c r="O98" s="877"/>
      <c r="P98" s="1771"/>
      <c r="Q98" s="439"/>
    </row>
    <row r="99" spans="1:17" ht="15.75" thickBot="1">
      <c r="A99" s="375"/>
      <c r="B99" s="500"/>
      <c r="C99" s="521"/>
      <c r="D99" s="521"/>
      <c r="E99" s="521"/>
      <c r="F99" s="521"/>
      <c r="G99" s="521"/>
      <c r="H99" s="521"/>
      <c r="I99" s="521"/>
      <c r="J99" s="521"/>
      <c r="K99" s="521"/>
      <c r="L99" s="521"/>
      <c r="M99" s="522"/>
      <c r="N99" s="878"/>
      <c r="O99" s="878"/>
      <c r="P99" s="1771"/>
      <c r="Q99" s="439"/>
    </row>
    <row r="100" spans="1:17">
      <c r="A100" s="379" t="s">
        <v>1694</v>
      </c>
      <c r="B100" s="460" t="s">
        <v>1736</v>
      </c>
      <c r="C100" s="3207" t="s">
        <v>3855</v>
      </c>
      <c r="D100" s="462"/>
      <c r="E100" s="462"/>
      <c r="F100" s="462"/>
      <c r="G100" s="462"/>
      <c r="H100" s="462"/>
      <c r="I100" s="462"/>
      <c r="J100" s="462"/>
      <c r="K100" s="463"/>
      <c r="L100" s="464"/>
      <c r="M100" s="465"/>
      <c r="N100" s="877"/>
      <c r="O100" s="877"/>
      <c r="P100" s="1771"/>
      <c r="Q100" s="439"/>
    </row>
    <row r="101" spans="1:17" ht="15.75"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78"/>
      <c r="O101" s="878"/>
      <c r="P101" s="1771"/>
      <c r="Q101" s="439"/>
    </row>
    <row r="102" spans="1:17" ht="29.25" thickTop="1">
      <c r="A102" s="367"/>
      <c r="B102" s="469" t="s">
        <v>1737</v>
      </c>
      <c r="C102" s="509" t="str">
        <f>C103&amp;"(含)"&amp;"-"&amp;D103</f>
        <v>0(含)-500</v>
      </c>
      <c r="D102" s="509" t="str">
        <f t="shared" ref="D102:L102" si="26">D103&amp;"(含)"&amp;"-"&amp;E103</f>
        <v>500(含)-1000</v>
      </c>
      <c r="E102" s="509" t="str">
        <f t="shared" si="26"/>
        <v>1000(含)-1500</v>
      </c>
      <c r="F102" s="509" t="str">
        <f t="shared" si="26"/>
        <v>1500(含)-2000</v>
      </c>
      <c r="G102" s="509" t="str">
        <f t="shared" si="26"/>
        <v>2000(含)-2500</v>
      </c>
      <c r="H102" s="509" t="str">
        <f t="shared" si="26"/>
        <v>2500(含)-3000</v>
      </c>
      <c r="I102" s="509" t="str">
        <f t="shared" si="26"/>
        <v>3000(含)-</v>
      </c>
      <c r="J102" s="509" t="str">
        <f t="shared" si="26"/>
        <v>(含)-</v>
      </c>
      <c r="K102" s="509" t="str">
        <f>K103&amp;"(含)"&amp;"-"&amp;L103</f>
        <v>(含)-</v>
      </c>
      <c r="L102" s="509" t="str">
        <f t="shared" si="26"/>
        <v>(含)-</v>
      </c>
      <c r="M102" s="509" t="str">
        <f>M103&amp;"(含)"&amp;"-"&amp;P103</f>
        <v>(含)-</v>
      </c>
      <c r="N102" s="876"/>
      <c r="O102" s="876"/>
      <c r="P102" s="1771"/>
      <c r="Q102" s="439"/>
    </row>
    <row r="103" spans="1:17" s="408" customFormat="1">
      <c r="A103" s="406"/>
      <c r="B103" s="523"/>
      <c r="C103" s="6">
        <v>0</v>
      </c>
      <c r="D103" s="6">
        <v>500</v>
      </c>
      <c r="E103" s="6">
        <v>1000</v>
      </c>
      <c r="F103" s="6">
        <v>1500</v>
      </c>
      <c r="G103" s="6">
        <v>2000</v>
      </c>
      <c r="H103" s="6">
        <v>2500</v>
      </c>
      <c r="I103" s="6">
        <v>3000</v>
      </c>
      <c r="J103" s="524"/>
      <c r="K103" s="524"/>
      <c r="L103" s="525"/>
      <c r="M103" s="526"/>
      <c r="N103" s="879"/>
      <c r="O103" s="879"/>
      <c r="P103" s="1772"/>
      <c r="Q103" s="490"/>
    </row>
    <row r="104" spans="1:17" s="408" customFormat="1" ht="15.75" thickBot="1">
      <c r="A104" s="484"/>
      <c r="B104" s="474"/>
      <c r="C104" s="491">
        <v>100</v>
      </c>
      <c r="D104" s="467">
        <v>101</v>
      </c>
      <c r="E104" s="491">
        <v>102</v>
      </c>
      <c r="F104" s="467">
        <v>103</v>
      </c>
      <c r="G104" s="491">
        <v>104</v>
      </c>
      <c r="H104" s="467">
        <v>105</v>
      </c>
      <c r="I104" s="491">
        <v>106</v>
      </c>
      <c r="J104" s="467"/>
      <c r="K104" s="467"/>
      <c r="L104" s="467"/>
      <c r="M104" s="467"/>
      <c r="N104" s="878"/>
      <c r="O104" s="878"/>
      <c r="P104" s="1772"/>
      <c r="Q104" s="490"/>
    </row>
    <row r="105" spans="1:17" ht="15" thickTop="1">
      <c r="A105" s="409"/>
      <c r="B105" s="469" t="s">
        <v>1738</v>
      </c>
      <c r="C105" s="3200" t="s">
        <v>3856</v>
      </c>
      <c r="D105" s="485"/>
      <c r="E105" s="513"/>
      <c r="F105" s="513"/>
      <c r="G105" s="513"/>
      <c r="H105" s="513"/>
      <c r="I105" s="513"/>
      <c r="J105" s="513"/>
      <c r="K105" s="514"/>
      <c r="L105" s="515"/>
      <c r="M105" s="516"/>
      <c r="N105" s="877"/>
      <c r="O105" s="877"/>
      <c r="P105" s="1771"/>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78"/>
      <c r="O106" s="878"/>
      <c r="P106" s="1771"/>
      <c r="Q106" s="439"/>
    </row>
    <row r="107" spans="1:17" ht="15" thickTop="1">
      <c r="A107" s="409"/>
      <c r="B107" s="469" t="s">
        <v>1739</v>
      </c>
      <c r="C107" s="3201" t="s">
        <v>3857</v>
      </c>
      <c r="D107" s="513"/>
      <c r="E107" s="513"/>
      <c r="F107" s="513"/>
      <c r="G107" s="513"/>
      <c r="H107" s="513"/>
      <c r="I107" s="513"/>
      <c r="J107" s="513"/>
      <c r="K107" s="514"/>
      <c r="L107" s="515"/>
      <c r="M107" s="516"/>
      <c r="N107" s="877"/>
      <c r="O107" s="877"/>
      <c r="P107" s="1771"/>
      <c r="Q107" s="439"/>
    </row>
    <row r="108" spans="1:17" ht="15.75" thickBot="1">
      <c r="A108" s="367"/>
      <c r="B108" s="474"/>
      <c r="C108" s="475">
        <v>100</v>
      </c>
      <c r="D108" s="475">
        <f t="shared" ref="D108:M108" si="28">C108-$K35</f>
        <v>99</v>
      </c>
      <c r="E108" s="475">
        <f t="shared" si="28"/>
        <v>98</v>
      </c>
      <c r="F108" s="475">
        <f t="shared" si="28"/>
        <v>97</v>
      </c>
      <c r="G108" s="475">
        <f t="shared" si="28"/>
        <v>96</v>
      </c>
      <c r="H108" s="475">
        <f t="shared" si="28"/>
        <v>95</v>
      </c>
      <c r="I108" s="475">
        <f t="shared" si="28"/>
        <v>94</v>
      </c>
      <c r="J108" s="475">
        <f t="shared" si="28"/>
        <v>93</v>
      </c>
      <c r="K108" s="475">
        <f t="shared" si="28"/>
        <v>92</v>
      </c>
      <c r="L108" s="475">
        <f t="shared" si="28"/>
        <v>91</v>
      </c>
      <c r="M108" s="475">
        <f t="shared" si="28"/>
        <v>90</v>
      </c>
      <c r="N108" s="878"/>
      <c r="O108" s="878"/>
      <c r="P108" s="1771"/>
      <c r="Q108" s="439"/>
    </row>
    <row r="109" spans="1:17" ht="15" thickTop="1">
      <c r="A109" s="409"/>
      <c r="B109" s="469" t="s">
        <v>1740</v>
      </c>
      <c r="C109" s="3200" t="s">
        <v>3858</v>
      </c>
      <c r="D109" s="485"/>
      <c r="E109" s="485"/>
      <c r="F109" s="513"/>
      <c r="G109" s="513"/>
      <c r="H109" s="513"/>
      <c r="I109" s="513"/>
      <c r="J109" s="513"/>
      <c r="K109" s="514"/>
      <c r="L109" s="515"/>
      <c r="M109" s="516"/>
      <c r="N109" s="877"/>
      <c r="O109" s="877"/>
      <c r="P109" s="1771"/>
      <c r="Q109" s="439"/>
    </row>
    <row r="110" spans="1:17" ht="15.75" thickBot="1">
      <c r="A110" s="367"/>
      <c r="B110" s="474"/>
      <c r="C110" s="475">
        <v>100</v>
      </c>
      <c r="D110" s="475">
        <f t="shared" ref="D110:M110" si="29">C110-$K36</f>
        <v>99</v>
      </c>
      <c r="E110" s="475">
        <f t="shared" si="29"/>
        <v>98</v>
      </c>
      <c r="F110" s="475">
        <f t="shared" si="29"/>
        <v>97</v>
      </c>
      <c r="G110" s="475">
        <f t="shared" si="29"/>
        <v>96</v>
      </c>
      <c r="H110" s="475">
        <f t="shared" si="29"/>
        <v>95</v>
      </c>
      <c r="I110" s="475">
        <f t="shared" si="29"/>
        <v>94</v>
      </c>
      <c r="J110" s="475">
        <f t="shared" si="29"/>
        <v>93</v>
      </c>
      <c r="K110" s="475">
        <f t="shared" si="29"/>
        <v>92</v>
      </c>
      <c r="L110" s="475">
        <f t="shared" si="29"/>
        <v>91</v>
      </c>
      <c r="M110" s="475">
        <f t="shared" si="29"/>
        <v>90</v>
      </c>
      <c r="N110" s="878"/>
      <c r="O110" s="878"/>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2"/>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79"/>
      <c r="O113" s="879"/>
      <c r="P113" s="1772"/>
      <c r="Q113" s="490"/>
    </row>
    <row r="114" spans="1:17" ht="15" thickTop="1">
      <c r="A114" s="409"/>
      <c r="B114" s="469" t="s">
        <v>1741</v>
      </c>
      <c r="C114" s="3200" t="s">
        <v>3859</v>
      </c>
      <c r="D114" s="485"/>
      <c r="E114" s="513"/>
      <c r="F114" s="513"/>
      <c r="G114" s="513"/>
      <c r="H114" s="513"/>
      <c r="I114" s="513"/>
      <c r="J114" s="513"/>
      <c r="K114" s="514"/>
      <c r="L114" s="515"/>
      <c r="M114" s="516"/>
      <c r="N114" s="877"/>
      <c r="O114" s="877"/>
      <c r="P114" s="1771"/>
      <c r="Q114" s="439"/>
    </row>
    <row r="115" spans="1:17"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78"/>
      <c r="O115" s="878"/>
      <c r="P115" s="1771"/>
      <c r="Q115" s="439"/>
    </row>
    <row r="116" spans="1:17" ht="15" thickTop="1">
      <c r="A116" s="409"/>
      <c r="B116" s="469" t="s">
        <v>1742</v>
      </c>
      <c r="C116" s="3200" t="s">
        <v>3667</v>
      </c>
      <c r="D116" s="3200" t="s">
        <v>3668</v>
      </c>
      <c r="E116" s="3200" t="s">
        <v>3669</v>
      </c>
      <c r="F116" s="485"/>
      <c r="G116" s="485"/>
      <c r="H116" s="513"/>
      <c r="I116" s="513"/>
      <c r="J116" s="513"/>
      <c r="K116" s="514"/>
      <c r="L116" s="515"/>
      <c r="M116" s="516"/>
      <c r="N116" s="877"/>
      <c r="O116" s="877"/>
      <c r="P116" s="1771"/>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78"/>
      <c r="O117" s="878"/>
      <c r="P117" s="1771"/>
      <c r="Q117" s="439"/>
    </row>
    <row r="118" spans="1:17" ht="15" thickTop="1">
      <c r="A118" s="409"/>
      <c r="B118" s="469" t="s">
        <v>1743</v>
      </c>
      <c r="C118" s="3201" t="s">
        <v>3855</v>
      </c>
      <c r="D118" s="513"/>
      <c r="E118" s="513"/>
      <c r="F118" s="513"/>
      <c r="G118" s="513"/>
      <c r="H118" s="513"/>
      <c r="I118" s="513"/>
      <c r="J118" s="513"/>
      <c r="K118" s="514"/>
      <c r="L118" s="515"/>
      <c r="M118" s="516"/>
      <c r="N118" s="877"/>
      <c r="O118" s="877"/>
      <c r="P118" s="1771"/>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78"/>
      <c r="O119" s="878"/>
      <c r="P119" s="1771"/>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2"/>
      <c r="Q120" s="490"/>
    </row>
    <row r="121" spans="1:17" s="408" customFormat="1" ht="15.75" thickBot="1">
      <c r="A121" s="484"/>
      <c r="B121" s="466"/>
      <c r="C121" s="491"/>
      <c r="D121" s="467"/>
      <c r="E121" s="467"/>
      <c r="F121" s="467"/>
      <c r="G121" s="467"/>
      <c r="H121" s="467"/>
      <c r="I121" s="467"/>
      <c r="J121" s="467"/>
      <c r="K121" s="467"/>
      <c r="L121" s="467"/>
      <c r="M121" s="467"/>
      <c r="N121" s="879"/>
      <c r="O121" s="879"/>
      <c r="P121" s="1772"/>
      <c r="Q121" s="490"/>
    </row>
    <row r="122" spans="1:17" ht="15" thickTop="1">
      <c r="A122" s="409"/>
      <c r="B122" s="469" t="s">
        <v>1744</v>
      </c>
      <c r="C122" s="3200" t="s">
        <v>3858</v>
      </c>
      <c r="D122" s="485"/>
      <c r="E122" s="485"/>
      <c r="F122" s="513"/>
      <c r="G122" s="513"/>
      <c r="H122" s="513"/>
      <c r="I122" s="513"/>
      <c r="J122" s="513"/>
      <c r="K122" s="514"/>
      <c r="L122" s="515"/>
      <c r="M122" s="516"/>
      <c r="N122" s="877"/>
      <c r="O122" s="877"/>
      <c r="P122" s="1771"/>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78"/>
      <c r="O123" s="878"/>
      <c r="P123" s="1771"/>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2"/>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78"/>
      <c r="O125" s="878"/>
      <c r="P125" s="1771"/>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2"/>
      <c r="Q126" s="490"/>
    </row>
    <row r="127" spans="1:17" s="408" customFormat="1" ht="15.75" thickBot="1">
      <c r="A127" s="484"/>
      <c r="B127" s="474"/>
      <c r="C127" s="491"/>
      <c r="D127" s="467"/>
      <c r="E127" s="467"/>
      <c r="F127" s="467"/>
      <c r="G127" s="491"/>
      <c r="H127" s="493"/>
      <c r="I127" s="493"/>
      <c r="J127" s="493"/>
      <c r="K127" s="493"/>
      <c r="L127" s="493"/>
      <c r="M127" s="494"/>
      <c r="N127" s="879"/>
      <c r="O127" s="879"/>
      <c r="P127" s="1772"/>
      <c r="Q127" s="490"/>
    </row>
    <row r="128" spans="1:17" ht="15" thickTop="1">
      <c r="A128" s="409"/>
      <c r="B128" s="469">
        <f>B45</f>
        <v>111</v>
      </c>
      <c r="C128" s="485"/>
      <c r="D128" s="485"/>
      <c r="E128" s="485"/>
      <c r="F128" s="485"/>
      <c r="G128" s="513"/>
      <c r="H128" s="513"/>
      <c r="I128" s="513"/>
      <c r="J128" s="513"/>
      <c r="K128" s="514"/>
      <c r="L128" s="515"/>
      <c r="M128" s="516"/>
      <c r="N128" s="877"/>
      <c r="O128" s="877"/>
      <c r="P128" s="1771"/>
      <c r="Q128" s="439"/>
    </row>
    <row r="129" spans="1:17" ht="15.75" thickBot="1">
      <c r="A129" s="367"/>
      <c r="B129" s="474"/>
      <c r="C129" s="491"/>
      <c r="D129" s="491"/>
      <c r="E129" s="491"/>
      <c r="F129" s="491"/>
      <c r="G129" s="467"/>
      <c r="H129" s="467"/>
      <c r="I129" s="467"/>
      <c r="J129" s="467"/>
      <c r="K129" s="467"/>
      <c r="L129" s="467"/>
      <c r="M129" s="468"/>
      <c r="N129" s="878"/>
      <c r="O129" s="878"/>
      <c r="P129" s="1771"/>
      <c r="Q129" s="439"/>
    </row>
    <row r="130" spans="1:17" ht="15" thickTop="1">
      <c r="A130" s="409"/>
      <c r="B130" s="477">
        <f>B46</f>
        <v>111</v>
      </c>
      <c r="C130" s="485"/>
      <c r="D130" s="485"/>
      <c r="E130" s="485"/>
      <c r="F130" s="485"/>
      <c r="G130" s="517"/>
      <c r="H130" s="517"/>
      <c r="I130" s="517"/>
      <c r="J130" s="517"/>
      <c r="K130" s="31"/>
      <c r="L130" s="457"/>
      <c r="M130" s="520"/>
      <c r="N130" s="877"/>
      <c r="O130" s="877"/>
      <c r="P130" s="1771"/>
      <c r="Q130" s="439"/>
    </row>
    <row r="131" spans="1:17" ht="15.75" thickBot="1">
      <c r="A131" s="375"/>
      <c r="B131" s="500"/>
      <c r="C131" s="501"/>
      <c r="D131" s="501"/>
      <c r="E131" s="501"/>
      <c r="F131" s="501"/>
      <c r="G131" s="521"/>
      <c r="H131" s="521"/>
      <c r="I131" s="521"/>
      <c r="J131" s="521"/>
      <c r="K131" s="521"/>
      <c r="L131" s="521"/>
      <c r="M131" s="522"/>
      <c r="N131" s="878"/>
      <c r="O131" s="878"/>
      <c r="P131" s="1771"/>
      <c r="Q131" s="439"/>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2">
        <v>6</v>
      </c>
      <c r="C139" s="813">
        <v>96</v>
      </c>
      <c r="D139" s="1788" t="s">
        <v>1755</v>
      </c>
      <c r="E139" s="814">
        <v>100</v>
      </c>
      <c r="F139" s="815">
        <v>102.5</v>
      </c>
      <c r="G139" s="1788" t="s">
        <v>1755</v>
      </c>
      <c r="H139" s="816">
        <v>105</v>
      </c>
      <c r="I139" s="1789" t="s">
        <v>1756</v>
      </c>
      <c r="J139" s="813">
        <v>20</v>
      </c>
      <c r="K139" s="817">
        <f>C145/(J139-2)</f>
        <v>4.0555555555555553E-3</v>
      </c>
    </row>
    <row r="140" spans="1:17" ht="15">
      <c r="B140" s="818">
        <v>5</v>
      </c>
      <c r="C140" s="819">
        <v>100</v>
      </c>
      <c r="D140" s="819"/>
      <c r="E140" s="820"/>
      <c r="F140" s="821">
        <v>102</v>
      </c>
      <c r="G140" s="819"/>
      <c r="H140" s="822"/>
      <c r="I140" s="1790" t="s">
        <v>1757</v>
      </c>
      <c r="J140" s="263">
        <f>ROUNDUP((J139-1)/2,0)</f>
        <v>10</v>
      </c>
      <c r="K140" s="823">
        <v>100</v>
      </c>
    </row>
    <row r="141" spans="1:17" ht="15">
      <c r="B141" s="818">
        <v>4</v>
      </c>
      <c r="C141" s="819">
        <v>102</v>
      </c>
      <c r="D141" s="819"/>
      <c r="E141" s="820"/>
      <c r="F141" s="821">
        <v>101.5</v>
      </c>
      <c r="G141" s="819"/>
      <c r="H141" s="822"/>
      <c r="I141" s="1790" t="s">
        <v>1758</v>
      </c>
      <c r="J141" s="263">
        <v>1</v>
      </c>
      <c r="K141" s="824">
        <f>ROUND(100+(J141-J140)*K139*100,1)</f>
        <v>96.4</v>
      </c>
    </row>
    <row r="142" spans="1:17" ht="15">
      <c r="B142" s="818">
        <v>3</v>
      </c>
      <c r="C142" s="819">
        <v>103</v>
      </c>
      <c r="D142" s="819"/>
      <c r="E142" s="820"/>
      <c r="F142" s="821">
        <v>101</v>
      </c>
      <c r="G142" s="819"/>
      <c r="H142" s="822"/>
      <c r="I142" s="1790" t="s">
        <v>1759</v>
      </c>
      <c r="J142" s="263">
        <f>J139</f>
        <v>20</v>
      </c>
      <c r="K142" s="825">
        <v>95</v>
      </c>
    </row>
    <row r="143" spans="1:17" ht="15">
      <c r="B143" s="818">
        <v>2</v>
      </c>
      <c r="C143" s="819">
        <v>100</v>
      </c>
      <c r="D143" s="819"/>
      <c r="E143" s="820"/>
      <c r="F143" s="821">
        <v>100.5</v>
      </c>
      <c r="G143" s="819"/>
      <c r="H143" s="822"/>
      <c r="I143" s="1790" t="s">
        <v>1760</v>
      </c>
      <c r="J143" s="819">
        <v>15</v>
      </c>
      <c r="K143" s="824">
        <f>ROUND(100+(J143-J140)*K139*100,1)</f>
        <v>102</v>
      </c>
    </row>
    <row r="144" spans="1:17" ht="15">
      <c r="B144" s="818">
        <v>1</v>
      </c>
      <c r="C144" s="819">
        <v>98</v>
      </c>
      <c r="D144" s="1791" t="s">
        <v>1761</v>
      </c>
      <c r="E144" s="820">
        <v>102</v>
      </c>
      <c r="F144" s="826">
        <v>100</v>
      </c>
      <c r="G144" s="1791" t="s">
        <v>1761</v>
      </c>
      <c r="H144" s="822">
        <v>105</v>
      </c>
      <c r="I144" s="1790" t="s">
        <v>1760</v>
      </c>
      <c r="J144" s="819">
        <v>18</v>
      </c>
      <c r="K144" s="824">
        <f>ROUND(100+(J144-J140)*K139*100,1)</f>
        <v>103.2</v>
      </c>
    </row>
    <row r="145" spans="2:11" ht="15.75" thickBot="1">
      <c r="B145" s="1792" t="s">
        <v>1762</v>
      </c>
      <c r="C145" s="827">
        <f>ROUND(MAX(C139:C144)/MIN(C139:C144)-1,3)</f>
        <v>7.2999999999999995E-2</v>
      </c>
      <c r="D145" s="828"/>
      <c r="E145" s="828"/>
      <c r="F145" s="1793" t="s">
        <v>1763</v>
      </c>
      <c r="G145" s="1794"/>
      <c r="H145" s="1795"/>
      <c r="I145" s="1796" t="s">
        <v>1760</v>
      </c>
      <c r="J145" s="829">
        <v>8</v>
      </c>
      <c r="K145" s="830">
        <f>ROUND(100+(J145-J140)*K139*100,1)</f>
        <v>99.2</v>
      </c>
    </row>
    <row r="147" spans="2:11">
      <c r="B147" s="1777" t="s">
        <v>1764</v>
      </c>
    </row>
    <row r="148" spans="2:11">
      <c r="B148" s="177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35" priority="14" stopIfTrue="1">
      <formula>$F$52="超过30%"</formula>
    </cfRule>
  </conditionalFormatting>
  <conditionalFormatting sqref="E53">
    <cfRule type="expression" dxfId="34" priority="11" stopIfTrue="1">
      <formula>$F$53="超过20%"</formula>
    </cfRule>
  </conditionalFormatting>
  <conditionalFormatting sqref="E54">
    <cfRule type="expression" dxfId="33" priority="10" stopIfTrue="1">
      <formula>$F$54="超过30%"</formula>
    </cfRule>
  </conditionalFormatting>
  <conditionalFormatting sqref="F7:F46 H7:H46 J7:J46">
    <cfRule type="cellIs" dxfId="32" priority="1" operator="notEqual">
      <formula>100</formula>
    </cfRule>
  </conditionalFormatting>
  <conditionalFormatting sqref="F48">
    <cfRule type="expression" dxfId="31" priority="4">
      <formula>$D$48="简单平均"</formula>
    </cfRule>
  </conditionalFormatting>
  <conditionalFormatting sqref="F52:F54 H52:H54 J52:J54">
    <cfRule type="containsText" dxfId="30" priority="15" stopIfTrue="1" operator="containsText" text="超过">
      <formula>NOT(ISERROR(SEARCH("超过",F52)))</formula>
    </cfRule>
  </conditionalFormatting>
  <conditionalFormatting sqref="G52">
    <cfRule type="expression" dxfId="29" priority="9" stopIfTrue="1">
      <formula>$H$52="超过30%"</formula>
    </cfRule>
  </conditionalFormatting>
  <conditionalFormatting sqref="G53">
    <cfRule type="expression" dxfId="28" priority="8" stopIfTrue="1">
      <formula>$H$53="超过20%"</formula>
    </cfRule>
  </conditionalFormatting>
  <conditionalFormatting sqref="G54">
    <cfRule type="expression" dxfId="27" priority="12" stopIfTrue="1">
      <formula>$H$54="超过30%"</formula>
    </cfRule>
  </conditionalFormatting>
  <conditionalFormatting sqref="H48">
    <cfRule type="expression" dxfId="26" priority="3">
      <formula>$D$48="简单平均"</formula>
    </cfRule>
  </conditionalFormatting>
  <conditionalFormatting sqref="I52">
    <cfRule type="expression" dxfId="25" priority="7" stopIfTrue="1">
      <formula>$J$52="超过30%"</formula>
    </cfRule>
  </conditionalFormatting>
  <conditionalFormatting sqref="I53">
    <cfRule type="expression" dxfId="24" priority="6" stopIfTrue="1">
      <formula>$J$53="超过20%"</formula>
    </cfRule>
  </conditionalFormatting>
  <conditionalFormatting sqref="I54">
    <cfRule type="expression" dxfId="23" priority="5" stopIfTrue="1">
      <formula>$J$54="超过30%"</formula>
    </cfRule>
  </conditionalFormatting>
  <conditionalFormatting sqref="J48">
    <cfRule type="expression" dxfId="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2"/>
      <c r="C2" s="3222"/>
      <c r="D2" s="3222"/>
      <c r="E2" s="3222"/>
    </row>
    <row r="3" spans="1:5" ht="18">
      <c r="A3" s="3223" t="str">
        <f>IF(项目基本情况!B9="房地产市场价值","估价结果一览表（市场价值不需“结果表-1”）","估价结果一览表")</f>
        <v>估价结果一览表</v>
      </c>
      <c r="B3" s="3223"/>
      <c r="C3" s="3223"/>
      <c r="D3" s="3223"/>
      <c r="E3" s="3223"/>
    </row>
    <row r="4" spans="1:5" ht="19.5" thickBot="1">
      <c r="A4" s="1389"/>
      <c r="B4" s="3221" t="s">
        <v>917</v>
      </c>
      <c r="C4" s="3221"/>
      <c r="D4" s="3221"/>
      <c r="E4" s="1389"/>
    </row>
    <row r="5" spans="1:5" ht="16.5" thickTop="1">
      <c r="B5" s="3219" t="s">
        <v>909</v>
      </c>
      <c r="C5" s="1390" t="s">
        <v>910</v>
      </c>
      <c r="D5" s="795" t="e">
        <f ca="1">结果表!H101</f>
        <v>#REF!</v>
      </c>
    </row>
    <row r="6" spans="1:5" ht="15.75">
      <c r="B6" s="3219"/>
      <c r="C6" s="1390" t="s">
        <v>911</v>
      </c>
      <c r="D6" s="795" t="e">
        <f ca="1">NUMBERSTRING(INT(D5*10000),2)&amp;"元整"</f>
        <v>#REF!</v>
      </c>
    </row>
    <row r="7" spans="1:5" ht="15.75">
      <c r="B7" s="3224"/>
      <c r="C7" s="1391" t="s">
        <v>912</v>
      </c>
      <c r="D7" s="796" t="e">
        <f ca="1">结果表!H102</f>
        <v>#REF!</v>
      </c>
    </row>
    <row r="8" spans="1:5" ht="15.75">
      <c r="B8" s="3225" t="str">
        <f>结果表!E103</f>
        <v>2.估价师知悉的法定优先受偿款</v>
      </c>
      <c r="C8" s="1392" t="s">
        <v>913</v>
      </c>
      <c r="D8" s="796">
        <f>结果表!H103</f>
        <v>0</v>
      </c>
    </row>
    <row r="9" spans="1:5" ht="15.75">
      <c r="B9" s="3227"/>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218" t="str">
        <f>结果表!E107</f>
        <v>3.房地产抵押价值</v>
      </c>
      <c r="C13" s="1395" t="s">
        <v>910</v>
      </c>
      <c r="D13" s="798" t="e">
        <f ca="1">结果表!H107</f>
        <v>#REF!</v>
      </c>
    </row>
    <row r="14" spans="1:5" ht="15.75">
      <c r="B14" s="3219"/>
      <c r="C14" s="1390" t="s">
        <v>911</v>
      </c>
      <c r="D14" s="795" t="e">
        <f ca="1">NUMBERSTRING(INT(D13*10000),2)&amp;"元整"</f>
        <v>#REF!</v>
      </c>
    </row>
    <row r="15" spans="1:5" ht="15">
      <c r="B15" s="3224"/>
      <c r="C15" s="1391" t="s">
        <v>921</v>
      </c>
      <c r="D15" s="804" t="e">
        <f ca="1">结果表!H108</f>
        <v>#REF!</v>
      </c>
    </row>
    <row r="16" spans="1:5" ht="15">
      <c r="B16" s="3225" t="str">
        <f>结果表!E109</f>
        <v>——</v>
      </c>
      <c r="C16" s="1395" t="s">
        <v>922</v>
      </c>
      <c r="D16" s="1396" t="str">
        <f>结果表!H109</f>
        <v>——</v>
      </c>
    </row>
    <row r="17" spans="1:5" ht="15.75">
      <c r="B17" s="3226"/>
      <c r="C17" s="1390" t="s">
        <v>923</v>
      </c>
      <c r="D17" s="795" t="e">
        <f>NUMBERSTRING(INT(D16*10000),2)&amp;"元整"</f>
        <v>#VALUE!</v>
      </c>
    </row>
    <row r="18" spans="1:5" ht="15">
      <c r="B18" s="3227"/>
      <c r="C18" s="1391" t="s">
        <v>912</v>
      </c>
      <c r="D18" s="804" t="str">
        <f>结果表!H110</f>
        <v>——</v>
      </c>
    </row>
    <row r="19" spans="1:5" ht="15.75">
      <c r="B19" s="3218" t="str">
        <f>结果表!E111</f>
        <v>——</v>
      </c>
      <c r="C19" s="1395" t="s">
        <v>910</v>
      </c>
      <c r="D19" s="796" t="str">
        <f>结果表!H111</f>
        <v>——</v>
      </c>
    </row>
    <row r="20" spans="1:5" ht="15.75">
      <c r="B20" s="3219"/>
      <c r="C20" s="1390" t="s">
        <v>923</v>
      </c>
      <c r="D20" s="795" t="e">
        <f>NUMBERSTRING(INT(D19*10000),2)&amp;"元整"</f>
        <v>#VALUE!</v>
      </c>
    </row>
    <row r="21" spans="1:5" ht="15.75" thickBot="1">
      <c r="B21" s="3220"/>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5" zoomScale="85" zoomScaleNormal="70" zoomScaleSheetLayoutView="85" workbookViewId="0">
      <selection activeCell="N41" sqref="N40:N4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4" t="s">
        <v>1810</v>
      </c>
      <c r="C1" s="1139" t="s">
        <v>1662</v>
      </c>
      <c r="D1" s="1140" t="s">
        <v>3850</v>
      </c>
      <c r="E1" s="3128" t="s">
        <v>3860</v>
      </c>
      <c r="F1" s="1733" t="s">
        <v>3861</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e">
        <f ca="1">IF(E1="项目模式",IF(C2="——",ROUND(C50*D3/10000,0),ROUND(C50*D3/10000,0)-D2),IF(E1="单套模式",IF(C2="——",ROUND(C50*D3/10000,4),ROUND(C50*D3/10000,4)-D2)))</f>
        <v>#REF!</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 ca="1">IF(C2="——",C50,ROUND(B2*10000/D3,0))</f>
        <v>#REF!</v>
      </c>
      <c r="C3" s="344" t="s">
        <v>1768</v>
      </c>
      <c r="D3" s="343">
        <f>IF(D1="",'数据-汇总表'!E3,SUMIF('数据-汇总表'!$C19:$C33,D1,'数据-汇总表'!$E19:$E33))</f>
        <v>4491.3300000000008</v>
      </c>
      <c r="E3" s="1801"/>
      <c r="F3" s="854"/>
      <c r="G3" s="853"/>
      <c r="H3" s="853"/>
      <c r="I3" s="853"/>
      <c r="J3" s="853"/>
      <c r="K3" s="855"/>
      <c r="L3" s="2500"/>
      <c r="M3" s="2501"/>
      <c r="N3" s="2501"/>
      <c r="O3" s="2501"/>
      <c r="P3" s="341"/>
      <c r="Q3" s="341"/>
      <c r="R3" s="341"/>
      <c r="S3" s="341"/>
      <c r="T3" s="341"/>
      <c r="U3" s="341"/>
      <c r="V3" s="341"/>
      <c r="W3" s="341"/>
      <c r="X3" s="341"/>
      <c r="Y3" s="341"/>
      <c r="Z3" s="341"/>
      <c r="AA3" s="341"/>
      <c r="AB3" s="341"/>
      <c r="AC3" s="663"/>
    </row>
    <row r="4" spans="1:29" ht="15">
      <c r="A4" s="345" t="s">
        <v>1769</v>
      </c>
      <c r="B4" s="346"/>
      <c r="C4" s="3447" t="s">
        <v>1770</v>
      </c>
      <c r="D4" s="3448"/>
      <c r="E4" s="3449" t="s">
        <v>1771</v>
      </c>
      <c r="F4" s="3450"/>
      <c r="G4" s="3447" t="s">
        <v>1772</v>
      </c>
      <c r="H4" s="3448"/>
      <c r="I4" s="3447" t="s">
        <v>1773</v>
      </c>
      <c r="J4" s="3448"/>
      <c r="K4" s="537" t="s">
        <v>1774</v>
      </c>
      <c r="L4" s="2483"/>
      <c r="M4" s="2484"/>
      <c r="N4" s="2484"/>
      <c r="O4" s="2484"/>
      <c r="P4" s="3496" t="s">
        <v>1775</v>
      </c>
      <c r="Q4" s="3497"/>
      <c r="R4" s="3491" t="s">
        <v>1771</v>
      </c>
      <c r="S4" s="3492"/>
      <c r="T4" s="3491" t="s">
        <v>1772</v>
      </c>
      <c r="U4" s="3492"/>
      <c r="V4" s="3500" t="s">
        <v>1773</v>
      </c>
      <c r="W4" s="3500"/>
      <c r="X4" s="1805"/>
      <c r="Y4" s="3491" t="s">
        <v>1775</v>
      </c>
      <c r="Z4" s="3492"/>
      <c r="AA4" s="3490" t="s">
        <v>1771</v>
      </c>
      <c r="AB4" s="3490" t="s">
        <v>1772</v>
      </c>
      <c r="AC4" s="3493" t="s">
        <v>1773</v>
      </c>
    </row>
    <row r="5" spans="1:29" ht="15">
      <c r="A5" s="348"/>
      <c r="B5" s="349"/>
      <c r="C5" s="3465" t="s">
        <v>1673</v>
      </c>
      <c r="D5" s="3466"/>
      <c r="E5" s="3488" t="s">
        <v>3884</v>
      </c>
      <c r="F5" s="3458"/>
      <c r="G5" s="3489" t="s">
        <v>3885</v>
      </c>
      <c r="H5" s="3466"/>
      <c r="I5" s="3489" t="s">
        <v>3885</v>
      </c>
      <c r="J5" s="3466"/>
      <c r="K5" s="537"/>
      <c r="L5" s="2483"/>
      <c r="M5" s="2484"/>
      <c r="N5" s="2484"/>
      <c r="O5" s="2484"/>
      <c r="P5" s="3498"/>
      <c r="Q5" s="3454"/>
      <c r="R5" s="3463"/>
      <c r="S5" s="3464"/>
      <c r="T5" s="3463"/>
      <c r="U5" s="3464"/>
      <c r="V5" s="3439"/>
      <c r="W5" s="3439"/>
      <c r="X5" s="1263"/>
      <c r="Y5" s="3463"/>
      <c r="Z5" s="3464"/>
      <c r="AA5" s="3445"/>
      <c r="AB5" s="3445"/>
      <c r="AC5" s="3494"/>
    </row>
    <row r="6" spans="1:29" ht="15.75" thickBot="1">
      <c r="A6" s="350"/>
      <c r="B6" s="351"/>
      <c r="C6" s="3476" t="s">
        <v>1677</v>
      </c>
      <c r="D6" s="3477"/>
      <c r="E6" s="3478" t="s">
        <v>1677</v>
      </c>
      <c r="F6" s="3479"/>
      <c r="G6" s="3476" t="s">
        <v>1677</v>
      </c>
      <c r="H6" s="3477"/>
      <c r="I6" s="3476" t="s">
        <v>1677</v>
      </c>
      <c r="J6" s="3477"/>
      <c r="K6" s="537" t="s">
        <v>1678</v>
      </c>
      <c r="L6" s="2483"/>
      <c r="M6" s="2484"/>
      <c r="N6" s="2484"/>
      <c r="O6" s="2484"/>
      <c r="P6" s="3499"/>
      <c r="Q6" s="3456"/>
      <c r="R6" s="3463"/>
      <c r="S6" s="3464"/>
      <c r="T6" s="3472"/>
      <c r="U6" s="3473"/>
      <c r="V6" s="3439"/>
      <c r="W6" s="3439"/>
      <c r="X6" s="1263"/>
      <c r="Y6" s="3472"/>
      <c r="Z6" s="3473"/>
      <c r="AA6" s="3446"/>
      <c r="AB6" s="3446"/>
      <c r="AC6" s="3495"/>
    </row>
    <row r="7" spans="1:29" s="102" customFormat="1" ht="15.75" thickBot="1">
      <c r="A7" s="352" t="s">
        <v>1679</v>
      </c>
      <c r="B7" s="353"/>
      <c r="C7" s="354">
        <f>'数据-取费表'!B2</f>
        <v>45463</v>
      </c>
      <c r="D7" s="355">
        <v>100</v>
      </c>
      <c r="E7" s="3208" t="s">
        <v>3879</v>
      </c>
      <c r="F7" s="357">
        <f>SUMIF(59:59,YEAR(E7)&amp;"-"&amp;MONTH(E7),60:60)</f>
        <v>100</v>
      </c>
      <c r="G7" s="3208" t="s">
        <v>3879</v>
      </c>
      <c r="H7" s="355">
        <f>SUMIF(59:59,YEAR(G7)&amp;"-"&amp;MONTH(G7),60:60)</f>
        <v>100</v>
      </c>
      <c r="I7" s="3208" t="s">
        <v>3879</v>
      </c>
      <c r="J7" s="355">
        <f>SUMIF(59:59,YEAR(I7)&amp;"-"&amp;MONTH(I7),60:60)</f>
        <v>100</v>
      </c>
      <c r="K7" s="38"/>
      <c r="L7" s="2485"/>
      <c r="M7" s="2436"/>
      <c r="N7" s="2436"/>
      <c r="O7" s="2436"/>
      <c r="P7" s="3501" t="s">
        <v>1680</v>
      </c>
      <c r="Q7" s="3469"/>
      <c r="R7" s="664" t="s">
        <v>14</v>
      </c>
      <c r="S7" s="665">
        <f t="shared" ref="S7:S15" si="0">F7</f>
        <v>100</v>
      </c>
      <c r="T7" s="664" t="s">
        <v>14</v>
      </c>
      <c r="U7" s="665">
        <f t="shared" ref="U7:U15" si="1">H7</f>
        <v>100</v>
      </c>
      <c r="V7" s="664" t="s">
        <v>14</v>
      </c>
      <c r="W7" s="665">
        <f t="shared" ref="W7:W15" si="2">J7</f>
        <v>100</v>
      </c>
      <c r="X7" s="666"/>
      <c r="Y7" s="3437" t="s">
        <v>1680</v>
      </c>
      <c r="Z7" s="3438"/>
      <c r="AA7" s="50">
        <f>D7/F7</f>
        <v>1</v>
      </c>
      <c r="AB7" s="50">
        <f>D7/H7</f>
        <v>1</v>
      </c>
      <c r="AC7" s="800">
        <f>D7/J7</f>
        <v>1</v>
      </c>
    </row>
    <row r="8" spans="1:29" s="102" customFormat="1" ht="15.75" thickBot="1">
      <c r="A8" s="352" t="s">
        <v>1681</v>
      </c>
      <c r="B8" s="353"/>
      <c r="C8" s="358" t="s">
        <v>3671</v>
      </c>
      <c r="D8" s="355">
        <v>100</v>
      </c>
      <c r="E8" s="358" t="s">
        <v>3689</v>
      </c>
      <c r="F8" s="357">
        <f>SUMIF(62:62,E8,63:63)-SUMIF(62:62,C8,63:63)+100</f>
        <v>102</v>
      </c>
      <c r="G8" s="358" t="s">
        <v>3689</v>
      </c>
      <c r="H8" s="355">
        <f>SUMIF(62:62,G8,63:63)-SUMIF(62:62,C8,63:63)+100</f>
        <v>102</v>
      </c>
      <c r="I8" s="358" t="s">
        <v>3689</v>
      </c>
      <c r="J8" s="355">
        <f>SUMIF(62:62,I8,63:63)-SUMIF(62:62,C8,63:63)+100</f>
        <v>102</v>
      </c>
      <c r="K8" s="38"/>
      <c r="L8" s="2485"/>
      <c r="M8" s="2436"/>
      <c r="N8" s="2436"/>
      <c r="O8" s="2436"/>
      <c r="P8" s="3501" t="s">
        <v>1683</v>
      </c>
      <c r="Q8" s="3438"/>
      <c r="R8" s="664" t="s">
        <v>14</v>
      </c>
      <c r="S8" s="665">
        <f t="shared" si="0"/>
        <v>102</v>
      </c>
      <c r="T8" s="664" t="s">
        <v>14</v>
      </c>
      <c r="U8" s="665">
        <f t="shared" si="1"/>
        <v>102</v>
      </c>
      <c r="V8" s="664" t="s">
        <v>14</v>
      </c>
      <c r="W8" s="665">
        <f t="shared" si="2"/>
        <v>102</v>
      </c>
      <c r="X8" s="666"/>
      <c r="Y8" s="3437" t="s">
        <v>1683</v>
      </c>
      <c r="Z8" s="3438"/>
      <c r="AA8" s="50">
        <f t="shared" ref="AA8:AA47" si="3">D8/F8</f>
        <v>0.98039215686274506</v>
      </c>
      <c r="AB8" s="50">
        <f t="shared" ref="AB8:AB47" si="4">D8/H8</f>
        <v>0.98039215686274506</v>
      </c>
      <c r="AC8" s="800">
        <f t="shared" ref="AC8:AC47" si="5">D8/J8</f>
        <v>0.98039215686274506</v>
      </c>
    </row>
    <row r="9" spans="1:29" s="102" customFormat="1">
      <c r="A9" s="359" t="s">
        <v>1684</v>
      </c>
      <c r="B9" s="60" t="s">
        <v>1685</v>
      </c>
      <c r="C9" s="3209" t="s">
        <v>3893</v>
      </c>
      <c r="D9" s="59">
        <v>100</v>
      </c>
      <c r="E9" s="362" t="s">
        <v>21</v>
      </c>
      <c r="F9" s="59">
        <f>SUMIF(64:64,E9,65:65)-SUMIF(64:64,C9,65:65)+100</f>
        <v>100</v>
      </c>
      <c r="G9" s="361" t="s">
        <v>21</v>
      </c>
      <c r="H9" s="59">
        <f>SUMIF(64:64,G9,65:65)-SUMIF(64:64,C9,65:65)+100</f>
        <v>100</v>
      </c>
      <c r="I9" s="361" t="s">
        <v>21</v>
      </c>
      <c r="J9" s="59">
        <f>SUMIF(64:64,I9,65:65)-SUMIF(64:64,C9,65:65)+100</f>
        <v>100</v>
      </c>
      <c r="K9" s="38"/>
      <c r="L9" s="2485"/>
      <c r="M9" s="2436"/>
      <c r="N9" s="2436"/>
      <c r="O9" s="2436"/>
      <c r="P9" s="3460" t="s">
        <v>1686</v>
      </c>
      <c r="Q9" s="530" t="str">
        <f t="shared" ref="Q9:Q15" si="6">B9</f>
        <v>用途</v>
      </c>
      <c r="R9" s="664" t="s">
        <v>14</v>
      </c>
      <c r="S9" s="665">
        <f t="shared" si="0"/>
        <v>100</v>
      </c>
      <c r="T9" s="664" t="s">
        <v>14</v>
      </c>
      <c r="U9" s="665">
        <f t="shared" si="1"/>
        <v>100</v>
      </c>
      <c r="V9" s="664" t="s">
        <v>14</v>
      </c>
      <c r="W9" s="665">
        <f t="shared" si="2"/>
        <v>100</v>
      </c>
      <c r="X9" s="666"/>
      <c r="Y9" s="3381" t="s">
        <v>1687</v>
      </c>
      <c r="Z9" s="50" t="str">
        <f t="shared" ref="Z9:Z15" si="7">Q9</f>
        <v>用途</v>
      </c>
      <c r="AA9" s="50">
        <f t="shared" si="3"/>
        <v>1</v>
      </c>
      <c r="AB9" s="50">
        <f t="shared" si="4"/>
        <v>1</v>
      </c>
      <c r="AC9" s="800">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60"/>
      <c r="Q10" s="530" t="str">
        <f t="shared" si="6"/>
        <v>土地使用年限（年）</v>
      </c>
      <c r="R10" s="664" t="s">
        <v>14</v>
      </c>
      <c r="S10" s="665">
        <f t="shared" si="0"/>
        <v>100</v>
      </c>
      <c r="T10" s="664" t="s">
        <v>14</v>
      </c>
      <c r="U10" s="665">
        <f t="shared" si="1"/>
        <v>100</v>
      </c>
      <c r="V10" s="664" t="s">
        <v>14</v>
      </c>
      <c r="W10" s="665">
        <f t="shared" si="2"/>
        <v>100</v>
      </c>
      <c r="X10" s="666"/>
      <c r="Y10" s="3381"/>
      <c r="Z10" s="50" t="str">
        <f t="shared" si="7"/>
        <v>土地使用年限（年）</v>
      </c>
      <c r="AA10" s="50">
        <f t="shared" si="3"/>
        <v>1</v>
      </c>
      <c r="AB10" s="50">
        <f t="shared" si="4"/>
        <v>1</v>
      </c>
      <c r="AC10" s="800">
        <f t="shared" si="5"/>
        <v>1</v>
      </c>
    </row>
    <row r="11" spans="1:29" ht="15.75" thickBot="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60"/>
      <c r="Q11" s="530" t="str">
        <f t="shared" si="6"/>
        <v>容积率</v>
      </c>
      <c r="R11" s="664" t="s">
        <v>14</v>
      </c>
      <c r="S11" s="665">
        <f t="shared" si="0"/>
        <v>100</v>
      </c>
      <c r="T11" s="664" t="s">
        <v>14</v>
      </c>
      <c r="U11" s="665">
        <f t="shared" si="1"/>
        <v>100</v>
      </c>
      <c r="V11" s="664" t="s">
        <v>14</v>
      </c>
      <c r="W11" s="665">
        <f t="shared" si="2"/>
        <v>100</v>
      </c>
      <c r="X11" s="666"/>
      <c r="Y11" s="3381"/>
      <c r="Z11" s="50" t="str">
        <f t="shared" si="7"/>
        <v>容积率</v>
      </c>
      <c r="AA11" s="50">
        <f t="shared" si="3"/>
        <v>1</v>
      </c>
      <c r="AB11" s="50">
        <f t="shared" si="4"/>
        <v>1</v>
      </c>
      <c r="AC11" s="800">
        <f t="shared" si="5"/>
        <v>1</v>
      </c>
    </row>
    <row r="12" spans="1:29" s="102" customFormat="1" ht="15" hidden="1">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5"/>
      <c r="M12" s="2436"/>
      <c r="N12" s="2436"/>
      <c r="O12" s="2436"/>
      <c r="P12" s="3460"/>
      <c r="Q12" s="530">
        <f t="shared" si="6"/>
        <v>111</v>
      </c>
      <c r="R12" s="664" t="s">
        <v>14</v>
      </c>
      <c r="S12" s="665">
        <f t="shared" si="0"/>
        <v>100</v>
      </c>
      <c r="T12" s="664" t="s">
        <v>14</v>
      </c>
      <c r="U12" s="665">
        <f t="shared" si="1"/>
        <v>100</v>
      </c>
      <c r="V12" s="664" t="s">
        <v>14</v>
      </c>
      <c r="W12" s="665">
        <f t="shared" si="2"/>
        <v>100</v>
      </c>
      <c r="X12" s="666"/>
      <c r="Y12" s="3381"/>
      <c r="Z12" s="50">
        <f t="shared" si="7"/>
        <v>111</v>
      </c>
      <c r="AA12" s="50">
        <f>D12/F12</f>
        <v>1</v>
      </c>
      <c r="AB12" s="50">
        <f>D12/H12</f>
        <v>1</v>
      </c>
      <c r="AC12" s="800">
        <f>D12/J12</f>
        <v>1</v>
      </c>
    </row>
    <row r="13" spans="1:29" ht="15" hidden="1">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9"/>
      <c r="M13" s="2484"/>
      <c r="N13" s="2484"/>
      <c r="O13" s="2484"/>
      <c r="P13" s="3460"/>
      <c r="Q13" s="530">
        <f t="shared" si="6"/>
        <v>111</v>
      </c>
      <c r="R13" s="664" t="s">
        <v>14</v>
      </c>
      <c r="S13" s="665">
        <f t="shared" si="0"/>
        <v>100</v>
      </c>
      <c r="T13" s="664" t="s">
        <v>14</v>
      </c>
      <c r="U13" s="665">
        <f t="shared" si="1"/>
        <v>100</v>
      </c>
      <c r="V13" s="664" t="s">
        <v>14</v>
      </c>
      <c r="W13" s="665">
        <f t="shared" si="2"/>
        <v>100</v>
      </c>
      <c r="X13" s="666"/>
      <c r="Y13" s="3381"/>
      <c r="Z13" s="50">
        <f t="shared" si="7"/>
        <v>111</v>
      </c>
      <c r="AA13" s="50">
        <f t="shared" si="3"/>
        <v>1</v>
      </c>
      <c r="AB13" s="50">
        <f t="shared" si="4"/>
        <v>1</v>
      </c>
      <c r="AC13" s="800">
        <f t="shared" si="5"/>
        <v>1</v>
      </c>
    </row>
    <row r="14" spans="1:29" ht="15.75" hidden="1"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9"/>
      <c r="M14" s="2484"/>
      <c r="N14" s="2484"/>
      <c r="O14" s="2484"/>
      <c r="P14" s="3460"/>
      <c r="Q14" s="530">
        <f t="shared" si="6"/>
        <v>111</v>
      </c>
      <c r="R14" s="664" t="s">
        <v>14</v>
      </c>
      <c r="S14" s="665">
        <f t="shared" si="0"/>
        <v>100</v>
      </c>
      <c r="T14" s="664" t="s">
        <v>14</v>
      </c>
      <c r="U14" s="665">
        <f t="shared" si="1"/>
        <v>100</v>
      </c>
      <c r="V14" s="664" t="s">
        <v>14</v>
      </c>
      <c r="W14" s="665">
        <f t="shared" si="2"/>
        <v>100</v>
      </c>
      <c r="X14" s="666"/>
      <c r="Y14" s="3381"/>
      <c r="Z14" s="50">
        <f t="shared" si="7"/>
        <v>111</v>
      </c>
      <c r="AA14" s="50">
        <f t="shared" si="3"/>
        <v>1</v>
      </c>
      <c r="AB14" s="50">
        <f t="shared" si="4"/>
        <v>1</v>
      </c>
      <c r="AC14" s="800">
        <f t="shared" si="5"/>
        <v>1</v>
      </c>
    </row>
    <row r="15" spans="1:29" ht="15">
      <c r="A15" s="379" t="s">
        <v>1690</v>
      </c>
      <c r="B15" s="554" t="s">
        <v>1811</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89"/>
      <c r="M15" s="2484"/>
      <c r="N15" s="2484"/>
      <c r="O15" s="2484"/>
      <c r="P15" s="3480" t="s">
        <v>1691</v>
      </c>
      <c r="Q15" s="1261" t="str">
        <f t="shared" si="6"/>
        <v>办公集聚程度</v>
      </c>
      <c r="R15" s="667" t="s">
        <v>14</v>
      </c>
      <c r="S15" s="668">
        <f t="shared" si="0"/>
        <v>100</v>
      </c>
      <c r="T15" s="667" t="s">
        <v>14</v>
      </c>
      <c r="U15" s="668">
        <f t="shared" si="1"/>
        <v>100</v>
      </c>
      <c r="V15" s="667" t="s">
        <v>14</v>
      </c>
      <c r="W15" s="668">
        <f t="shared" si="2"/>
        <v>100</v>
      </c>
      <c r="X15" s="1263"/>
      <c r="Y15" s="3440" t="s">
        <v>1691</v>
      </c>
      <c r="Z15" s="1262" t="str">
        <f t="shared" si="7"/>
        <v>办公集聚程度</v>
      </c>
      <c r="AA15" s="1262">
        <f t="shared" si="3"/>
        <v>1</v>
      </c>
      <c r="AB15" s="1262">
        <f t="shared" si="4"/>
        <v>1</v>
      </c>
      <c r="AC15" s="1808">
        <f t="shared" si="5"/>
        <v>1</v>
      </c>
    </row>
    <row r="16" spans="1:29" ht="15">
      <c r="A16" s="367"/>
      <c r="B16" s="555"/>
      <c r="C16" s="1756" t="s">
        <v>3676</v>
      </c>
      <c r="D16" s="387"/>
      <c r="E16" s="1756" t="s">
        <v>3676</v>
      </c>
      <c r="F16" s="387"/>
      <c r="G16" s="1756" t="s">
        <v>3676</v>
      </c>
      <c r="H16" s="389"/>
      <c r="I16" s="1756" t="s">
        <v>3676</v>
      </c>
      <c r="J16" s="387"/>
      <c r="K16" s="541"/>
      <c r="L16" s="2489"/>
      <c r="M16" s="2484"/>
      <c r="N16" s="2484"/>
      <c r="O16" s="2484"/>
      <c r="P16" s="3481"/>
      <c r="Q16" s="1261"/>
      <c r="R16" s="667"/>
      <c r="S16" s="668"/>
      <c r="T16" s="667"/>
      <c r="U16" s="668"/>
      <c r="V16" s="667"/>
      <c r="W16" s="668"/>
      <c r="X16" s="1263"/>
      <c r="Y16" s="3441"/>
      <c r="Z16" s="1262"/>
      <c r="AA16" s="1262">
        <v>1</v>
      </c>
      <c r="AB16" s="1262">
        <v>1</v>
      </c>
      <c r="AC16" s="1808">
        <v>1</v>
      </c>
    </row>
    <row r="17" spans="1:29" ht="15">
      <c r="A17" s="367"/>
      <c r="B17" s="556" t="s">
        <v>1259</v>
      </c>
      <c r="C17" s="1809">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89"/>
      <c r="M17" s="2484"/>
      <c r="N17" s="2484"/>
      <c r="O17" s="2484"/>
      <c r="P17" s="3481"/>
      <c r="Q17" s="1261" t="str">
        <f>B17</f>
        <v>交通便捷度</v>
      </c>
      <c r="R17" s="667" t="s">
        <v>14</v>
      </c>
      <c r="S17" s="668">
        <f>F17</f>
        <v>100</v>
      </c>
      <c r="T17" s="667" t="s">
        <v>14</v>
      </c>
      <c r="U17" s="668">
        <f>H17</f>
        <v>100</v>
      </c>
      <c r="V17" s="667" t="s">
        <v>14</v>
      </c>
      <c r="W17" s="668">
        <f>J17</f>
        <v>100</v>
      </c>
      <c r="X17" s="1263"/>
      <c r="Y17" s="3441"/>
      <c r="Z17" s="1262" t="str">
        <f>Q17</f>
        <v>交通便捷度</v>
      </c>
      <c r="AA17" s="1262">
        <f t="shared" si="3"/>
        <v>1</v>
      </c>
      <c r="AB17" s="1262">
        <f t="shared" si="4"/>
        <v>1</v>
      </c>
      <c r="AC17" s="1808">
        <f t="shared" si="5"/>
        <v>1</v>
      </c>
    </row>
    <row r="18" spans="1:29" ht="15">
      <c r="A18" s="367"/>
      <c r="B18" s="401"/>
      <c r="C18" s="1810" t="s">
        <v>3677</v>
      </c>
      <c r="D18" s="389"/>
      <c r="E18" s="1810" t="s">
        <v>3677</v>
      </c>
      <c r="F18" s="389"/>
      <c r="G18" s="1810" t="s">
        <v>3677</v>
      </c>
      <c r="H18" s="387"/>
      <c r="I18" s="1810" t="s">
        <v>3677</v>
      </c>
      <c r="J18" s="387"/>
      <c r="K18" s="541"/>
      <c r="L18" s="2489"/>
      <c r="M18" s="2484"/>
      <c r="N18" s="2484"/>
      <c r="O18" s="2484"/>
      <c r="P18" s="3481"/>
      <c r="Q18" s="1261"/>
      <c r="R18" s="667"/>
      <c r="S18" s="668"/>
      <c r="T18" s="667"/>
      <c r="U18" s="668"/>
      <c r="V18" s="667"/>
      <c r="W18" s="668"/>
      <c r="X18" s="1263"/>
      <c r="Y18" s="3441"/>
      <c r="Z18" s="1262"/>
      <c r="AA18" s="1262">
        <v>1</v>
      </c>
      <c r="AB18" s="1262">
        <v>1</v>
      </c>
      <c r="AC18" s="1808">
        <v>1</v>
      </c>
    </row>
    <row r="19" spans="1:29" ht="15">
      <c r="A19" s="367"/>
      <c r="B19" s="556" t="s">
        <v>1812</v>
      </c>
      <c r="C19" s="1809">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89"/>
      <c r="M19" s="2484"/>
      <c r="N19" s="2484"/>
      <c r="O19" s="2484"/>
      <c r="P19" s="3481"/>
      <c r="Q19" s="1261" t="str">
        <f>B19</f>
        <v>公共配套设施</v>
      </c>
      <c r="R19" s="667" t="s">
        <v>14</v>
      </c>
      <c r="S19" s="668">
        <f>F19</f>
        <v>100</v>
      </c>
      <c r="T19" s="667" t="s">
        <v>14</v>
      </c>
      <c r="U19" s="668">
        <f>H19</f>
        <v>100</v>
      </c>
      <c r="V19" s="667" t="s">
        <v>14</v>
      </c>
      <c r="W19" s="668">
        <f>J19</f>
        <v>100</v>
      </c>
      <c r="X19" s="1263"/>
      <c r="Y19" s="3441"/>
      <c r="Z19" s="1262" t="str">
        <f>Q19</f>
        <v>公共配套设施</v>
      </c>
      <c r="AA19" s="1262">
        <f t="shared" si="3"/>
        <v>1</v>
      </c>
      <c r="AB19" s="1262">
        <f t="shared" si="4"/>
        <v>1</v>
      </c>
      <c r="AC19" s="1808">
        <f t="shared" si="5"/>
        <v>1</v>
      </c>
    </row>
    <row r="20" spans="1:29" ht="15">
      <c r="A20" s="367"/>
      <c r="B20" s="401"/>
      <c r="C20" s="1810" t="s">
        <v>3677</v>
      </c>
      <c r="D20" s="387"/>
      <c r="E20" s="1810" t="s">
        <v>3677</v>
      </c>
      <c r="F20" s="387"/>
      <c r="G20" s="1810" t="s">
        <v>3677</v>
      </c>
      <c r="H20" s="387"/>
      <c r="I20" s="1810" t="s">
        <v>3677</v>
      </c>
      <c r="J20" s="387"/>
      <c r="K20" s="541"/>
      <c r="L20" s="2489"/>
      <c r="M20" s="2484"/>
      <c r="N20" s="2484"/>
      <c r="O20" s="2484"/>
      <c r="P20" s="3481"/>
      <c r="Q20" s="1261"/>
      <c r="R20" s="667"/>
      <c r="S20" s="668"/>
      <c r="T20" s="667"/>
      <c r="U20" s="668"/>
      <c r="V20" s="667"/>
      <c r="W20" s="668"/>
      <c r="X20" s="1263"/>
      <c r="Y20" s="3441"/>
      <c r="Z20" s="1262"/>
      <c r="AA20" s="1262">
        <v>1</v>
      </c>
      <c r="AB20" s="1262">
        <v>1</v>
      </c>
      <c r="AC20" s="1808">
        <v>1</v>
      </c>
    </row>
    <row r="21" spans="1:29" ht="15">
      <c r="A21" s="367"/>
      <c r="B21" s="557" t="s">
        <v>1813</v>
      </c>
      <c r="C21" s="1809">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89"/>
      <c r="M21" s="2484"/>
      <c r="N21" s="2484"/>
      <c r="O21" s="2484"/>
      <c r="P21" s="3481"/>
      <c r="Q21" s="1261" t="str">
        <f>B21</f>
        <v>基础设施水平</v>
      </c>
      <c r="R21" s="667" t="s">
        <v>14</v>
      </c>
      <c r="S21" s="668">
        <f>F21</f>
        <v>100</v>
      </c>
      <c r="T21" s="667" t="s">
        <v>14</v>
      </c>
      <c r="U21" s="668">
        <f>H21</f>
        <v>100</v>
      </c>
      <c r="V21" s="667" t="s">
        <v>14</v>
      </c>
      <c r="W21" s="668">
        <f>J21</f>
        <v>100</v>
      </c>
      <c r="X21" s="1263"/>
      <c r="Y21" s="3441"/>
      <c r="Z21" s="1262" t="str">
        <f>Q21</f>
        <v>基础设施水平</v>
      </c>
      <c r="AA21" s="1262">
        <f t="shared" ref="AA21" si="8">D21/F21</f>
        <v>1</v>
      </c>
      <c r="AB21" s="1262">
        <f t="shared" ref="AB21" si="9">D21/H21</f>
        <v>1</v>
      </c>
      <c r="AC21" s="1808">
        <f t="shared" ref="AC21" si="10">D21/J21</f>
        <v>1</v>
      </c>
    </row>
    <row r="22" spans="1:29" ht="15">
      <c r="A22" s="367"/>
      <c r="B22" s="557"/>
      <c r="C22" s="1810" t="s">
        <v>3678</v>
      </c>
      <c r="D22" s="387"/>
      <c r="E22" s="1810" t="s">
        <v>3678</v>
      </c>
      <c r="F22" s="387"/>
      <c r="G22" s="1810" t="s">
        <v>3678</v>
      </c>
      <c r="H22" s="387"/>
      <c r="I22" s="1810" t="s">
        <v>3678</v>
      </c>
      <c r="J22" s="387"/>
      <c r="K22" s="1062"/>
      <c r="L22" s="2489"/>
      <c r="M22" s="2484"/>
      <c r="N22" s="2484"/>
      <c r="O22" s="2484"/>
      <c r="P22" s="3481"/>
      <c r="Q22" s="1261"/>
      <c r="R22" s="667"/>
      <c r="S22" s="668"/>
      <c r="T22" s="667"/>
      <c r="U22" s="668"/>
      <c r="V22" s="667"/>
      <c r="W22" s="668"/>
      <c r="X22" s="1263"/>
      <c r="Y22" s="3441"/>
      <c r="Z22" s="1262"/>
      <c r="AA22" s="1262">
        <v>1</v>
      </c>
      <c r="AB22" s="1262">
        <v>1</v>
      </c>
      <c r="AC22" s="1808">
        <v>1</v>
      </c>
    </row>
    <row r="23" spans="1:29" ht="15">
      <c r="A23" s="367"/>
      <c r="B23" s="556" t="s">
        <v>1814</v>
      </c>
      <c r="C23" s="1809">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89"/>
      <c r="M23" s="2484"/>
      <c r="N23" s="2484"/>
      <c r="O23" s="2484"/>
      <c r="P23" s="3481"/>
      <c r="Q23" s="1261" t="str">
        <f>B23</f>
        <v>环境质量</v>
      </c>
      <c r="R23" s="667" t="s">
        <v>14</v>
      </c>
      <c r="S23" s="668">
        <f>F23</f>
        <v>100</v>
      </c>
      <c r="T23" s="667" t="s">
        <v>14</v>
      </c>
      <c r="U23" s="668">
        <f>H23</f>
        <v>100</v>
      </c>
      <c r="V23" s="667" t="s">
        <v>14</v>
      </c>
      <c r="W23" s="668">
        <f>J23</f>
        <v>100</v>
      </c>
      <c r="X23" s="1263"/>
      <c r="Y23" s="3441"/>
      <c r="Z23" s="1262" t="str">
        <f>Q23</f>
        <v>环境质量</v>
      </c>
      <c r="AA23" s="1262">
        <f t="shared" si="3"/>
        <v>1</v>
      </c>
      <c r="AB23" s="1262">
        <f t="shared" si="4"/>
        <v>1</v>
      </c>
      <c r="AC23" s="1808">
        <f t="shared" si="5"/>
        <v>1</v>
      </c>
    </row>
    <row r="24" spans="1:29" ht="15.75" thickBot="1">
      <c r="A24" s="367"/>
      <c r="B24" s="557"/>
      <c r="C24" s="1756" t="s">
        <v>3677</v>
      </c>
      <c r="D24" s="387"/>
      <c r="E24" s="1756" t="s">
        <v>3677</v>
      </c>
      <c r="F24" s="387"/>
      <c r="G24" s="1756" t="s">
        <v>3677</v>
      </c>
      <c r="H24" s="387"/>
      <c r="I24" s="1756" t="s">
        <v>3677</v>
      </c>
      <c r="J24" s="387"/>
      <c r="K24" s="541"/>
      <c r="L24" s="2489"/>
      <c r="M24" s="2484"/>
      <c r="N24" s="2484"/>
      <c r="O24" s="2484"/>
      <c r="P24" s="3481"/>
      <c r="Q24" s="1261"/>
      <c r="R24" s="667"/>
      <c r="S24" s="668"/>
      <c r="T24" s="667"/>
      <c r="U24" s="668"/>
      <c r="V24" s="667"/>
      <c r="W24" s="668"/>
      <c r="X24" s="1263"/>
      <c r="Y24" s="3441"/>
      <c r="Z24" s="1262"/>
      <c r="AA24" s="1262">
        <v>1</v>
      </c>
      <c r="AB24" s="1262">
        <v>1</v>
      </c>
      <c r="AC24" s="1808">
        <v>1</v>
      </c>
    </row>
    <row r="25" spans="1:29" ht="27" hidden="1">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9"/>
      <c r="M25" s="2484"/>
      <c r="N25" s="2484"/>
      <c r="O25" s="2484"/>
      <c r="P25" s="3481"/>
      <c r="Q25" s="1261" t="str">
        <f>B25</f>
        <v>毗邻道路的类型与等级</v>
      </c>
      <c r="R25" s="667" t="s">
        <v>14</v>
      </c>
      <c r="S25" s="668">
        <f>F25</f>
        <v>100</v>
      </c>
      <c r="T25" s="667" t="s">
        <v>14</v>
      </c>
      <c r="U25" s="668">
        <f>H25</f>
        <v>100</v>
      </c>
      <c r="V25" s="667" t="s">
        <v>14</v>
      </c>
      <c r="W25" s="668">
        <f>J25</f>
        <v>100</v>
      </c>
      <c r="X25" s="1263"/>
      <c r="Y25" s="3441"/>
      <c r="Z25" s="1262" t="str">
        <f>Q25</f>
        <v>毗邻道路的类型与等级</v>
      </c>
      <c r="AA25" s="1262">
        <f t="shared" si="3"/>
        <v>1</v>
      </c>
      <c r="AB25" s="1262">
        <f t="shared" si="4"/>
        <v>1</v>
      </c>
      <c r="AC25" s="1808">
        <f t="shared" si="5"/>
        <v>1</v>
      </c>
    </row>
    <row r="26" spans="1:29" ht="15" hidden="1">
      <c r="A26" s="348"/>
      <c r="B26" s="401"/>
      <c r="C26" s="558"/>
      <c r="D26" s="374"/>
      <c r="E26" s="542"/>
      <c r="F26" s="374"/>
      <c r="G26" s="558"/>
      <c r="H26" s="374"/>
      <c r="I26" s="542"/>
      <c r="J26" s="374"/>
      <c r="K26" s="541"/>
      <c r="L26" s="2489"/>
      <c r="M26" s="2484"/>
      <c r="N26" s="2484"/>
      <c r="O26" s="2484"/>
      <c r="P26" s="3481"/>
      <c r="Q26" s="1261"/>
      <c r="R26" s="667"/>
      <c r="S26" s="668"/>
      <c r="T26" s="667"/>
      <c r="U26" s="668"/>
      <c r="V26" s="667"/>
      <c r="W26" s="668"/>
      <c r="X26" s="1263"/>
      <c r="Y26" s="3441"/>
      <c r="Z26" s="1262"/>
      <c r="AA26" s="1262">
        <v>1</v>
      </c>
      <c r="AB26" s="1262">
        <v>1</v>
      </c>
      <c r="AC26" s="1808">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81"/>
      <c r="Q27" s="1261" t="str">
        <f t="shared" ref="Q27:Q47" si="11">B27</f>
        <v>楼层</v>
      </c>
      <c r="R27" s="667" t="s">
        <v>14</v>
      </c>
      <c r="S27" s="668">
        <f>F27</f>
        <v>100</v>
      </c>
      <c r="T27" s="667" t="s">
        <v>14</v>
      </c>
      <c r="U27" s="668">
        <f>H27</f>
        <v>100</v>
      </c>
      <c r="V27" s="667" t="s">
        <v>14</v>
      </c>
      <c r="W27" s="668">
        <f>J27</f>
        <v>100</v>
      </c>
      <c r="X27" s="1263"/>
      <c r="Y27" s="3441"/>
      <c r="Z27" s="1262" t="str">
        <f>Q27</f>
        <v>楼层</v>
      </c>
      <c r="AA27" s="1262">
        <f t="shared" si="3"/>
        <v>1</v>
      </c>
      <c r="AB27" s="1262">
        <f t="shared" si="4"/>
        <v>1</v>
      </c>
      <c r="AC27" s="1808">
        <f t="shared" si="5"/>
        <v>1</v>
      </c>
    </row>
    <row r="28" spans="1:29" s="102" customFormat="1" ht="15.75" hidden="1" thickBot="1">
      <c r="A28" s="370"/>
      <c r="B28" s="556" t="s">
        <v>1816</v>
      </c>
      <c r="C28" s="1811"/>
      <c r="D28" s="401">
        <v>100</v>
      </c>
      <c r="E28" s="1803"/>
      <c r="F28" s="401">
        <f>SUMIF(91:91,E28,92:92)-SUMIF(91:91,C28,92:92)+100</f>
        <v>100</v>
      </c>
      <c r="G28" s="1811"/>
      <c r="H28" s="401">
        <f>SUMIF(91:91,G28,92:92)-SUMIF(91:91,C28,92:92)+100</f>
        <v>100</v>
      </c>
      <c r="I28" s="1803"/>
      <c r="J28" s="401">
        <f>SUMIF(91:91,I28,92:92)-SUMIF(91:91,C28,92:92)+100</f>
        <v>100</v>
      </c>
      <c r="K28" s="538"/>
      <c r="L28" s="2485"/>
      <c r="M28" s="2436"/>
      <c r="N28" s="2436"/>
      <c r="O28" s="2436"/>
      <c r="P28" s="3481"/>
      <c r="Q28" s="530" t="str">
        <f t="shared" si="11"/>
        <v>朝向</v>
      </c>
      <c r="R28" s="664" t="s">
        <v>14</v>
      </c>
      <c r="S28" s="665">
        <f>F28</f>
        <v>100</v>
      </c>
      <c r="T28" s="664" t="s">
        <v>14</v>
      </c>
      <c r="U28" s="665">
        <f>H28</f>
        <v>100</v>
      </c>
      <c r="V28" s="664" t="s">
        <v>14</v>
      </c>
      <c r="W28" s="665">
        <f>J28</f>
        <v>100</v>
      </c>
      <c r="X28" s="666"/>
      <c r="Y28" s="3441"/>
      <c r="Z28" s="50" t="str">
        <f>Q28</f>
        <v>朝向</v>
      </c>
      <c r="AA28" s="1262">
        <f>D28/F28</f>
        <v>1</v>
      </c>
      <c r="AB28" s="1262">
        <f>D28/H28</f>
        <v>1</v>
      </c>
      <c r="AC28" s="1808">
        <f>D28/J28</f>
        <v>1</v>
      </c>
    </row>
    <row r="29" spans="1:29" ht="15" hidden="1">
      <c r="A29" s="367"/>
      <c r="B29" s="1097">
        <v>111</v>
      </c>
      <c r="C29" s="1760"/>
      <c r="D29" s="374">
        <v>100</v>
      </c>
      <c r="E29" s="371"/>
      <c r="F29" s="374">
        <f>SUMIF(93:93,E29,94:94)-SUMIF(93:93,C29,94:94)+100</f>
        <v>100</v>
      </c>
      <c r="G29" s="1806"/>
      <c r="H29" s="374">
        <f>SUMIF(93:93,G29,94:94)-SUMIF(93:93,C29,94:94)+100</f>
        <v>100</v>
      </c>
      <c r="I29" s="371"/>
      <c r="J29" s="374">
        <f>SUMIF(93:93,I29,94:94)-SUMIF(93:93,C29,94:94)+100</f>
        <v>100</v>
      </c>
      <c r="K29" s="539"/>
      <c r="L29" s="2489"/>
      <c r="M29" s="2484"/>
      <c r="N29" s="2484"/>
      <c r="O29" s="2484"/>
      <c r="P29" s="3481"/>
      <c r="Q29" s="1261">
        <f t="shared" si="11"/>
        <v>111</v>
      </c>
      <c r="R29" s="667" t="s">
        <v>14</v>
      </c>
      <c r="S29" s="668">
        <f t="shared" ref="S29:S47" si="12">F29</f>
        <v>100</v>
      </c>
      <c r="T29" s="667" t="s">
        <v>14</v>
      </c>
      <c r="U29" s="668">
        <f t="shared" ref="U29:U47" si="13">H29</f>
        <v>100</v>
      </c>
      <c r="V29" s="667" t="s">
        <v>14</v>
      </c>
      <c r="W29" s="668">
        <f t="shared" ref="W29:W47" si="14">J29</f>
        <v>100</v>
      </c>
      <c r="X29" s="1263"/>
      <c r="Y29" s="3441"/>
      <c r="Z29" s="1262">
        <f t="shared" ref="Z29:Z47" si="15">Q29</f>
        <v>111</v>
      </c>
      <c r="AA29" s="1262">
        <f t="shared" si="3"/>
        <v>1</v>
      </c>
      <c r="AB29" s="1262">
        <f t="shared" si="4"/>
        <v>1</v>
      </c>
      <c r="AC29" s="1808">
        <f t="shared" si="5"/>
        <v>1</v>
      </c>
    </row>
    <row r="30" spans="1:29" ht="15" hidden="1">
      <c r="A30" s="367"/>
      <c r="B30" s="1097">
        <v>111</v>
      </c>
      <c r="C30" s="1760"/>
      <c r="D30" s="374">
        <v>100</v>
      </c>
      <c r="E30" s="371"/>
      <c r="F30" s="374">
        <f>SUMIF(95:95,E30,96:96)-SUMIF(95:95,C30,96:96)+100</f>
        <v>100</v>
      </c>
      <c r="G30" s="1806"/>
      <c r="H30" s="374">
        <f>SUMIF(95:95,G30,96:96)-SUMIF(95:95,C30,96:96)+100</f>
        <v>100</v>
      </c>
      <c r="I30" s="371"/>
      <c r="J30" s="374">
        <f>SUMIF(95:95,I30,96:96)-SUMIF(95:95,C30,96:96)+100</f>
        <v>100</v>
      </c>
      <c r="K30" s="539"/>
      <c r="L30" s="2489"/>
      <c r="M30" s="2484"/>
      <c r="N30" s="2484"/>
      <c r="O30" s="2484"/>
      <c r="P30" s="3481"/>
      <c r="Q30" s="1261">
        <f t="shared" si="11"/>
        <v>111</v>
      </c>
      <c r="R30" s="667" t="s">
        <v>14</v>
      </c>
      <c r="S30" s="668">
        <f t="shared" si="12"/>
        <v>100</v>
      </c>
      <c r="T30" s="667" t="s">
        <v>14</v>
      </c>
      <c r="U30" s="668">
        <f t="shared" si="13"/>
        <v>100</v>
      </c>
      <c r="V30" s="667" t="s">
        <v>14</v>
      </c>
      <c r="W30" s="668">
        <f t="shared" si="14"/>
        <v>100</v>
      </c>
      <c r="X30" s="1263"/>
      <c r="Y30" s="3441"/>
      <c r="Z30" s="1262">
        <f t="shared" si="15"/>
        <v>111</v>
      </c>
      <c r="AA30" s="1262">
        <f t="shared" si="3"/>
        <v>1</v>
      </c>
      <c r="AB30" s="1262">
        <f t="shared" si="4"/>
        <v>1</v>
      </c>
      <c r="AC30" s="1808">
        <f t="shared" si="5"/>
        <v>1</v>
      </c>
    </row>
    <row r="31" spans="1:29" ht="15" hidden="1">
      <c r="A31" s="367"/>
      <c r="B31" s="1097">
        <v>111</v>
      </c>
      <c r="C31" s="1760"/>
      <c r="D31" s="374">
        <v>100</v>
      </c>
      <c r="E31" s="371"/>
      <c r="F31" s="374">
        <f>SUMIF(97:97,E31,98:98)-SUMIF(97:97,C31,98:98)+100</f>
        <v>100</v>
      </c>
      <c r="G31" s="1806"/>
      <c r="H31" s="374">
        <f>SUMIF(97:97,G31,98:98)-SUMIF(97:97,C31,98:98)+100</f>
        <v>100</v>
      </c>
      <c r="I31" s="371"/>
      <c r="J31" s="374">
        <f>SUMIF(97:97,I31,98:98)-SUMIF(97:97,C31,98:98)+100</f>
        <v>100</v>
      </c>
      <c r="K31" s="539"/>
      <c r="L31" s="2489"/>
      <c r="M31" s="2484"/>
      <c r="N31" s="2484"/>
      <c r="O31" s="2484"/>
      <c r="P31" s="3481"/>
      <c r="Q31" s="1261">
        <f t="shared" si="11"/>
        <v>111</v>
      </c>
      <c r="R31" s="667" t="s">
        <v>14</v>
      </c>
      <c r="S31" s="668">
        <f t="shared" si="12"/>
        <v>100</v>
      </c>
      <c r="T31" s="667" t="s">
        <v>14</v>
      </c>
      <c r="U31" s="668">
        <f t="shared" si="13"/>
        <v>100</v>
      </c>
      <c r="V31" s="667" t="s">
        <v>14</v>
      </c>
      <c r="W31" s="668">
        <f t="shared" si="14"/>
        <v>100</v>
      </c>
      <c r="X31" s="1263"/>
      <c r="Y31" s="3441"/>
      <c r="Z31" s="1262">
        <f t="shared" si="15"/>
        <v>111</v>
      </c>
      <c r="AA31" s="1262">
        <f t="shared" si="3"/>
        <v>1</v>
      </c>
      <c r="AB31" s="1262">
        <f t="shared" si="4"/>
        <v>1</v>
      </c>
      <c r="AC31" s="1808">
        <f t="shared" si="5"/>
        <v>1</v>
      </c>
    </row>
    <row r="32" spans="1:29" ht="15.75" hidden="1"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9"/>
      <c r="M32" s="2484"/>
      <c r="N32" s="2484"/>
      <c r="O32" s="2484"/>
      <c r="P32" s="3481"/>
      <c r="Q32" s="1261">
        <f t="shared" si="11"/>
        <v>111</v>
      </c>
      <c r="R32" s="667" t="s">
        <v>14</v>
      </c>
      <c r="S32" s="668">
        <f t="shared" si="12"/>
        <v>100</v>
      </c>
      <c r="T32" s="667" t="s">
        <v>14</v>
      </c>
      <c r="U32" s="668">
        <f t="shared" si="13"/>
        <v>100</v>
      </c>
      <c r="V32" s="667" t="s">
        <v>14</v>
      </c>
      <c r="W32" s="668">
        <f t="shared" si="14"/>
        <v>100</v>
      </c>
      <c r="X32" s="1263"/>
      <c r="Y32" s="3441"/>
      <c r="Z32" s="1262">
        <f t="shared" si="15"/>
        <v>111</v>
      </c>
      <c r="AA32" s="1262">
        <f t="shared" si="3"/>
        <v>1</v>
      </c>
      <c r="AB32" s="1262">
        <f t="shared" si="4"/>
        <v>1</v>
      </c>
      <c r="AC32" s="1808">
        <f t="shared" si="5"/>
        <v>1</v>
      </c>
    </row>
    <row r="33" spans="1:29" ht="15">
      <c r="A33" s="379" t="s">
        <v>1694</v>
      </c>
      <c r="B33" s="60" t="s">
        <v>1817</v>
      </c>
      <c r="C33" s="1762" t="s">
        <v>3894</v>
      </c>
      <c r="D33" s="405">
        <v>100</v>
      </c>
      <c r="E33" s="1762" t="s">
        <v>3894</v>
      </c>
      <c r="F33" s="400">
        <f>SUMIF(101:101,E33,102:102)-SUMIF(101:101,C33,102:102)+100</f>
        <v>100</v>
      </c>
      <c r="G33" s="1762" t="s">
        <v>3894</v>
      </c>
      <c r="H33" s="374">
        <f>SUMIF(101:101,G33,102:102)-SUMIF(101:101,C33,102:102)+100</f>
        <v>100</v>
      </c>
      <c r="I33" s="1762" t="s">
        <v>3894</v>
      </c>
      <c r="J33" s="405">
        <f>SUMIF(101:101,I33,102:102)-SUMIF(101:101,C33,102:102)+100</f>
        <v>100</v>
      </c>
      <c r="K33" s="538">
        <v>2</v>
      </c>
      <c r="L33" s="2489"/>
      <c r="M33" s="2484"/>
      <c r="N33" s="2484"/>
      <c r="O33" s="2484"/>
      <c r="P33" s="3482" t="s">
        <v>1696</v>
      </c>
      <c r="Q33" s="1261" t="str">
        <f t="shared" si="11"/>
        <v>建筑类型</v>
      </c>
      <c r="R33" s="667" t="s">
        <v>14</v>
      </c>
      <c r="S33" s="668">
        <f t="shared" si="12"/>
        <v>100</v>
      </c>
      <c r="T33" s="667" t="s">
        <v>14</v>
      </c>
      <c r="U33" s="668">
        <f t="shared" si="13"/>
        <v>100</v>
      </c>
      <c r="V33" s="667" t="s">
        <v>14</v>
      </c>
      <c r="W33" s="668">
        <f t="shared" si="14"/>
        <v>100</v>
      </c>
      <c r="X33" s="1263"/>
      <c r="Y33" s="3443" t="s">
        <v>1696</v>
      </c>
      <c r="Z33" s="1262" t="str">
        <f t="shared" si="15"/>
        <v>建筑类型</v>
      </c>
      <c r="AA33" s="1262">
        <f t="shared" si="3"/>
        <v>1</v>
      </c>
      <c r="AB33" s="1262">
        <f t="shared" si="4"/>
        <v>1</v>
      </c>
      <c r="AC33" s="1808">
        <f t="shared" si="5"/>
        <v>1</v>
      </c>
    </row>
    <row r="34" spans="1:29" s="408" customFormat="1" ht="15">
      <c r="A34" s="406"/>
      <c r="B34" s="364" t="s">
        <v>1697</v>
      </c>
      <c r="C34" s="407">
        <f>'数据-汇总表'!E3</f>
        <v>83292.240000000005</v>
      </c>
      <c r="D34" s="119">
        <v>100</v>
      </c>
      <c r="E34" s="407">
        <v>150</v>
      </c>
      <c r="F34" s="364">
        <f>LOOKUP(E34,104:104,105:105)-LOOKUP(C34,104:104,105:105)+100</f>
        <v>100</v>
      </c>
      <c r="G34" s="407">
        <v>96</v>
      </c>
      <c r="H34" s="119">
        <f>LOOKUP(G34,104:104,105:105)-LOOKUP(C34,104:104,105:105)+100</f>
        <v>100</v>
      </c>
      <c r="I34" s="407">
        <v>350</v>
      </c>
      <c r="J34" s="119">
        <f>LOOKUP(I34,104:104,105:105)-LOOKUP(C34,104:104,105:105)+100</f>
        <v>100</v>
      </c>
      <c r="K34" s="539"/>
      <c r="L34" s="2488"/>
      <c r="M34" s="2490"/>
      <c r="N34" s="2490"/>
      <c r="O34" s="2490"/>
      <c r="P34" s="3483"/>
      <c r="Q34" s="531" t="str">
        <f t="shared" si="11"/>
        <v>项目建筑规模</v>
      </c>
      <c r="R34" s="669" t="s">
        <v>14</v>
      </c>
      <c r="S34" s="670">
        <f t="shared" si="12"/>
        <v>100</v>
      </c>
      <c r="T34" s="669" t="s">
        <v>14</v>
      </c>
      <c r="U34" s="670">
        <f t="shared" si="13"/>
        <v>100</v>
      </c>
      <c r="V34" s="669" t="s">
        <v>14</v>
      </c>
      <c r="W34" s="670">
        <f t="shared" si="14"/>
        <v>100</v>
      </c>
      <c r="X34" s="671"/>
      <c r="Y34" s="3443"/>
      <c r="Z34" s="672" t="str">
        <f t="shared" si="15"/>
        <v>项目建筑规模</v>
      </c>
      <c r="AA34" s="1262">
        <f t="shared" si="3"/>
        <v>1</v>
      </c>
      <c r="AB34" s="1262">
        <f t="shared" si="4"/>
        <v>1</v>
      </c>
      <c r="AC34" s="1808">
        <f t="shared" si="5"/>
        <v>1</v>
      </c>
    </row>
    <row r="35" spans="1:29" ht="15">
      <c r="A35" s="409"/>
      <c r="B35" s="364" t="s">
        <v>1698</v>
      </c>
      <c r="C35" s="399" t="s">
        <v>3846</v>
      </c>
      <c r="D35" s="374">
        <v>100</v>
      </c>
      <c r="E35" s="399" t="s">
        <v>3846</v>
      </c>
      <c r="F35" s="400">
        <f>SUMIF(106:106,E35,107:107)-SUMIF(106:106,C35,107:107)+100</f>
        <v>100</v>
      </c>
      <c r="G35" s="399" t="s">
        <v>3846</v>
      </c>
      <c r="H35" s="374">
        <f>SUMIF(106:106,G35,107:107)-SUMIF(106:106,C35,107:107)+100</f>
        <v>100</v>
      </c>
      <c r="I35" s="399" t="s">
        <v>3846</v>
      </c>
      <c r="J35" s="374">
        <f>SUMIF(106:106,I35,107:107)-SUMIF(106:106,C35,107:107)+100</f>
        <v>100</v>
      </c>
      <c r="K35" s="538">
        <v>1</v>
      </c>
      <c r="L35" s="2489"/>
      <c r="M35" s="2484"/>
      <c r="N35" s="2484"/>
      <c r="O35" s="2484"/>
      <c r="P35" s="3483"/>
      <c r="Q35" s="1261" t="str">
        <f t="shared" si="11"/>
        <v>建筑结构</v>
      </c>
      <c r="R35" s="667" t="s">
        <v>14</v>
      </c>
      <c r="S35" s="668">
        <f t="shared" si="12"/>
        <v>100</v>
      </c>
      <c r="T35" s="667" t="s">
        <v>14</v>
      </c>
      <c r="U35" s="668">
        <f t="shared" si="13"/>
        <v>100</v>
      </c>
      <c r="V35" s="667" t="s">
        <v>14</v>
      </c>
      <c r="W35" s="668">
        <f t="shared" si="14"/>
        <v>100</v>
      </c>
      <c r="X35" s="1263"/>
      <c r="Y35" s="3443"/>
      <c r="Z35" s="1262" t="str">
        <f t="shared" si="15"/>
        <v>建筑结构</v>
      </c>
      <c r="AA35" s="1262">
        <f t="shared" si="3"/>
        <v>1</v>
      </c>
      <c r="AB35" s="1262">
        <f t="shared" si="4"/>
        <v>1</v>
      </c>
      <c r="AC35" s="1808">
        <f t="shared" si="5"/>
        <v>1</v>
      </c>
    </row>
    <row r="36" spans="1:29" ht="15">
      <c r="A36" s="409"/>
      <c r="B36" s="364" t="s">
        <v>1785</v>
      </c>
      <c r="C36" s="399" t="s">
        <v>3895</v>
      </c>
      <c r="D36" s="374">
        <v>100</v>
      </c>
      <c r="E36" s="399" t="s">
        <v>3895</v>
      </c>
      <c r="F36" s="400">
        <f>SUMIF(108:108,E36,109:109)-SUMIF(108:108,C36,109:109)+100</f>
        <v>100</v>
      </c>
      <c r="G36" s="399" t="s">
        <v>3895</v>
      </c>
      <c r="H36" s="374">
        <f>SUMIF(108:108,G36,109:109)-SUMIF(108:108,C36,109:109)+100</f>
        <v>100</v>
      </c>
      <c r="I36" s="399" t="s">
        <v>3895</v>
      </c>
      <c r="J36" s="374">
        <f>SUMIF(108:108,I36,109:109)-SUMIF(108:108,C36,109:109)+100</f>
        <v>100</v>
      </c>
      <c r="K36" s="538">
        <v>1</v>
      </c>
      <c r="L36" s="2489"/>
      <c r="M36" s="2484"/>
      <c r="N36" s="2484"/>
      <c r="O36" s="2484"/>
      <c r="P36" s="3483"/>
      <c r="Q36" s="1261" t="str">
        <f t="shared" si="11"/>
        <v>公共部分装修</v>
      </c>
      <c r="R36" s="667" t="s">
        <v>14</v>
      </c>
      <c r="S36" s="668">
        <f t="shared" si="12"/>
        <v>100</v>
      </c>
      <c r="T36" s="667" t="s">
        <v>14</v>
      </c>
      <c r="U36" s="668">
        <f t="shared" si="13"/>
        <v>100</v>
      </c>
      <c r="V36" s="667" t="s">
        <v>14</v>
      </c>
      <c r="W36" s="668">
        <f t="shared" si="14"/>
        <v>100</v>
      </c>
      <c r="X36" s="1263"/>
      <c r="Y36" s="3443"/>
      <c r="Z36" s="1262" t="str">
        <f t="shared" si="15"/>
        <v>公共部分装修</v>
      </c>
      <c r="AA36" s="1262">
        <f t="shared" si="3"/>
        <v>1</v>
      </c>
      <c r="AB36" s="1262">
        <f t="shared" si="4"/>
        <v>1</v>
      </c>
      <c r="AC36" s="1808">
        <f t="shared" si="5"/>
        <v>1</v>
      </c>
    </row>
    <row r="37" spans="1:29" ht="15">
      <c r="A37" s="409"/>
      <c r="B37" s="364" t="s">
        <v>1786</v>
      </c>
      <c r="C37" s="411">
        <v>1</v>
      </c>
      <c r="D37" s="374">
        <v>100</v>
      </c>
      <c r="E37" s="411">
        <v>1</v>
      </c>
      <c r="F37" s="400">
        <f>LOOKUP(E37,111:111,112:112)-LOOKUP(C37,111:111,112:112)+100</f>
        <v>100</v>
      </c>
      <c r="G37" s="411">
        <v>1</v>
      </c>
      <c r="H37" s="400">
        <f>LOOKUP(G37,111:111,112:112)-LOOKUP(C37,111:111,112:112)+100</f>
        <v>100</v>
      </c>
      <c r="I37" s="411">
        <v>1</v>
      </c>
      <c r="J37" s="374">
        <f>LOOKUP(I37,111:111,112:112)-LOOKUP(C37,111:111,112:112)+100</f>
        <v>100</v>
      </c>
      <c r="K37" s="538">
        <v>1</v>
      </c>
      <c r="L37" s="2489"/>
      <c r="M37" s="2484"/>
      <c r="N37" s="2484"/>
      <c r="O37" s="2484"/>
      <c r="P37" s="3483"/>
      <c r="Q37" s="1261" t="str">
        <f t="shared" si="11"/>
        <v>成新度</v>
      </c>
      <c r="R37" s="667" t="s">
        <v>14</v>
      </c>
      <c r="S37" s="668">
        <f t="shared" si="12"/>
        <v>100</v>
      </c>
      <c r="T37" s="667" t="s">
        <v>14</v>
      </c>
      <c r="U37" s="668">
        <f t="shared" si="13"/>
        <v>100</v>
      </c>
      <c r="V37" s="667" t="s">
        <v>14</v>
      </c>
      <c r="W37" s="668">
        <f t="shared" si="14"/>
        <v>100</v>
      </c>
      <c r="X37" s="1263"/>
      <c r="Y37" s="3443"/>
      <c r="Z37" s="1262" t="str">
        <f t="shared" si="15"/>
        <v>成新度</v>
      </c>
      <c r="AA37" s="1262">
        <f t="shared" si="3"/>
        <v>1</v>
      </c>
      <c r="AB37" s="1262">
        <f t="shared" si="4"/>
        <v>1</v>
      </c>
      <c r="AC37" s="1808">
        <f t="shared" si="5"/>
        <v>1</v>
      </c>
    </row>
    <row r="38" spans="1:29" s="102" customFormat="1" ht="15">
      <c r="A38" s="410"/>
      <c r="B38" s="364" t="s">
        <v>1818</v>
      </c>
      <c r="C38" s="399" t="s">
        <v>3896</v>
      </c>
      <c r="D38" s="119">
        <v>100</v>
      </c>
      <c r="E38" s="399" t="s">
        <v>3896</v>
      </c>
      <c r="F38" s="400">
        <f>SUMIF(113:113,E38,114:114)-SUMIF(113:113,C38,114:114)+100</f>
        <v>100</v>
      </c>
      <c r="G38" s="399" t="s">
        <v>3896</v>
      </c>
      <c r="H38" s="374">
        <f>SUMIF(113:113,G38,114:114)-SUMIF(113:113,C38,114:114)+100</f>
        <v>100</v>
      </c>
      <c r="I38" s="399" t="s">
        <v>3896</v>
      </c>
      <c r="J38" s="374">
        <f>SUMIF(113:113,I38,114:114)-SUMIF(113:113,C38,114:114)+100</f>
        <v>100</v>
      </c>
      <c r="K38" s="538">
        <v>1</v>
      </c>
      <c r="L38" s="2485"/>
      <c r="M38" s="2436"/>
      <c r="N38" s="2436"/>
      <c r="O38" s="2436"/>
      <c r="P38" s="3483"/>
      <c r="Q38" s="530" t="str">
        <f t="shared" si="11"/>
        <v>写字楼等级</v>
      </c>
      <c r="R38" s="664" t="s">
        <v>14</v>
      </c>
      <c r="S38" s="665">
        <f t="shared" si="12"/>
        <v>100</v>
      </c>
      <c r="T38" s="664" t="s">
        <v>14</v>
      </c>
      <c r="U38" s="665">
        <f t="shared" si="13"/>
        <v>100</v>
      </c>
      <c r="V38" s="664" t="s">
        <v>14</v>
      </c>
      <c r="W38" s="665">
        <f t="shared" si="14"/>
        <v>100</v>
      </c>
      <c r="X38" s="666"/>
      <c r="Y38" s="3443"/>
      <c r="Z38" s="50" t="str">
        <f t="shared" si="15"/>
        <v>写字楼等级</v>
      </c>
      <c r="AA38" s="50">
        <f t="shared" si="3"/>
        <v>1</v>
      </c>
      <c r="AB38" s="50">
        <f t="shared" si="4"/>
        <v>1</v>
      </c>
      <c r="AC38" s="800">
        <f t="shared" si="5"/>
        <v>1</v>
      </c>
    </row>
    <row r="39" spans="1:29" ht="15">
      <c r="A39" s="409"/>
      <c r="B39" s="364" t="s">
        <v>1819</v>
      </c>
      <c r="C39" s="399" t="s">
        <v>3897</v>
      </c>
      <c r="D39" s="374">
        <v>100</v>
      </c>
      <c r="E39" s="399" t="s">
        <v>3897</v>
      </c>
      <c r="F39" s="400">
        <f>SUMIF(115:115,E39,116:116)-SUMIF(115:115,C39,116:116)+100</f>
        <v>100</v>
      </c>
      <c r="G39" s="399" t="s">
        <v>3897</v>
      </c>
      <c r="H39" s="374">
        <f>SUMIF(115:115,G39,116:116)-SUMIF(115:115,C39,116:116)+100</f>
        <v>100</v>
      </c>
      <c r="I39" s="399" t="s">
        <v>3897</v>
      </c>
      <c r="J39" s="374">
        <f>SUMIF(115:115,I39,116:116)-SUMIF(115:115,C39,116:116)+100</f>
        <v>100</v>
      </c>
      <c r="K39" s="538">
        <v>1</v>
      </c>
      <c r="L39" s="2489"/>
      <c r="M39" s="2484"/>
      <c r="N39" s="2484"/>
      <c r="O39" s="2484"/>
      <c r="P39" s="3483" t="s">
        <v>1696</v>
      </c>
      <c r="Q39" s="1261" t="str">
        <f t="shared" si="11"/>
        <v>物业管理</v>
      </c>
      <c r="R39" s="667" t="s">
        <v>14</v>
      </c>
      <c r="S39" s="668">
        <f t="shared" si="12"/>
        <v>100</v>
      </c>
      <c r="T39" s="667" t="s">
        <v>14</v>
      </c>
      <c r="U39" s="668">
        <f t="shared" si="13"/>
        <v>100</v>
      </c>
      <c r="V39" s="667" t="s">
        <v>14</v>
      </c>
      <c r="W39" s="668">
        <f t="shared" si="14"/>
        <v>100</v>
      </c>
      <c r="X39" s="1263"/>
      <c r="Y39" s="3443" t="s">
        <v>1696</v>
      </c>
      <c r="Z39" s="1262" t="str">
        <f t="shared" si="15"/>
        <v>物业管理</v>
      </c>
      <c r="AA39" s="1262">
        <f t="shared" si="3"/>
        <v>1</v>
      </c>
      <c r="AB39" s="1262">
        <f t="shared" si="4"/>
        <v>1</v>
      </c>
      <c r="AC39" s="1808">
        <f t="shared" si="5"/>
        <v>1</v>
      </c>
    </row>
    <row r="40" spans="1:29" ht="15">
      <c r="A40" s="409"/>
      <c r="B40" s="364" t="s">
        <v>1787</v>
      </c>
      <c r="C40" s="399" t="s">
        <v>3680</v>
      </c>
      <c r="D40" s="374">
        <v>100</v>
      </c>
      <c r="E40" s="399" t="s">
        <v>3680</v>
      </c>
      <c r="F40" s="400">
        <f>SUMIF(117:117,E40,118:118)-SUMIF(117:117,C40,118:118)+100</f>
        <v>100</v>
      </c>
      <c r="G40" s="399" t="s">
        <v>3680</v>
      </c>
      <c r="H40" s="374">
        <f>SUMIF(117:117,G40,118:118)-SUMIF(117:117,C40,118:118)+100</f>
        <v>100</v>
      </c>
      <c r="I40" s="399" t="s">
        <v>3680</v>
      </c>
      <c r="J40" s="374">
        <f>SUMIF(117:117,I40,118:118)-SUMIF(117:117,C40,118:118)+100</f>
        <v>100</v>
      </c>
      <c r="K40" s="538">
        <v>1</v>
      </c>
      <c r="L40" s="2489"/>
      <c r="M40" s="2484"/>
      <c r="N40" s="2484"/>
      <c r="O40" s="2484"/>
      <c r="P40" s="3483"/>
      <c r="Q40" s="1261" t="str">
        <f t="shared" si="11"/>
        <v>市政基础设施</v>
      </c>
      <c r="R40" s="667" t="s">
        <v>14</v>
      </c>
      <c r="S40" s="668">
        <f t="shared" si="12"/>
        <v>100</v>
      </c>
      <c r="T40" s="667" t="s">
        <v>14</v>
      </c>
      <c r="U40" s="668">
        <f t="shared" si="13"/>
        <v>100</v>
      </c>
      <c r="V40" s="667" t="s">
        <v>14</v>
      </c>
      <c r="W40" s="668">
        <f t="shared" si="14"/>
        <v>100</v>
      </c>
      <c r="X40" s="1263"/>
      <c r="Y40" s="3443"/>
      <c r="Z40" s="1262" t="str">
        <f t="shared" si="15"/>
        <v>市政基础设施</v>
      </c>
      <c r="AA40" s="1262">
        <f t="shared" si="3"/>
        <v>1</v>
      </c>
      <c r="AB40" s="1262">
        <f t="shared" si="4"/>
        <v>1</v>
      </c>
      <c r="AC40" s="1808">
        <f t="shared" si="5"/>
        <v>1</v>
      </c>
    </row>
    <row r="41" spans="1:29" ht="15">
      <c r="A41" s="409"/>
      <c r="B41" s="364" t="s">
        <v>1789</v>
      </c>
      <c r="C41" s="542" t="s">
        <v>3898</v>
      </c>
      <c r="D41" s="374">
        <v>100</v>
      </c>
      <c r="E41" s="542" t="s">
        <v>3898</v>
      </c>
      <c r="F41" s="400">
        <f>SUMIF(119:119,E41,120:120)-SUMIF(119:119,C41,120:120)+100</f>
        <v>100</v>
      </c>
      <c r="G41" s="542" t="s">
        <v>3898</v>
      </c>
      <c r="H41" s="374">
        <f>SUMIF(119:119,G41,120:120)-SUMIF(119:119,C41,120:120)+100</f>
        <v>100</v>
      </c>
      <c r="I41" s="542" t="s">
        <v>3898</v>
      </c>
      <c r="J41" s="374">
        <f>SUMIF(119:119,I41,120:120)-SUMIF(119:119,C41,120:120)+100</f>
        <v>100</v>
      </c>
      <c r="K41" s="538">
        <v>1</v>
      </c>
      <c r="L41" s="2489"/>
      <c r="M41" s="2484"/>
      <c r="N41" s="2484"/>
      <c r="O41" s="2484"/>
      <c r="P41" s="3483"/>
      <c r="Q41" s="1261" t="str">
        <f t="shared" si="11"/>
        <v>层高</v>
      </c>
      <c r="R41" s="667" t="s">
        <v>14</v>
      </c>
      <c r="S41" s="668">
        <f t="shared" si="12"/>
        <v>100</v>
      </c>
      <c r="T41" s="667" t="s">
        <v>14</v>
      </c>
      <c r="U41" s="668">
        <f t="shared" si="13"/>
        <v>100</v>
      </c>
      <c r="V41" s="667" t="s">
        <v>14</v>
      </c>
      <c r="W41" s="668">
        <f t="shared" si="14"/>
        <v>100</v>
      </c>
      <c r="X41" s="1263"/>
      <c r="Y41" s="3443"/>
      <c r="Z41" s="1262" t="str">
        <f t="shared" si="15"/>
        <v>层高</v>
      </c>
      <c r="AA41" s="1262">
        <f t="shared" si="3"/>
        <v>1</v>
      </c>
      <c r="AB41" s="1262">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83"/>
      <c r="Q42" s="531" t="str">
        <f t="shared" si="11"/>
        <v>单套建筑面积</v>
      </c>
      <c r="R42" s="669" t="s">
        <v>14</v>
      </c>
      <c r="S42" s="670">
        <f t="shared" si="12"/>
        <v>100</v>
      </c>
      <c r="T42" s="669" t="s">
        <v>14</v>
      </c>
      <c r="U42" s="670">
        <f t="shared" si="13"/>
        <v>100</v>
      </c>
      <c r="V42" s="669" t="s">
        <v>14</v>
      </c>
      <c r="W42" s="670">
        <f t="shared" si="14"/>
        <v>100</v>
      </c>
      <c r="X42" s="671"/>
      <c r="Y42" s="3443"/>
      <c r="Z42" s="672" t="str">
        <f t="shared" si="15"/>
        <v>单套建筑面积</v>
      </c>
      <c r="AA42" s="1262">
        <f t="shared" si="3"/>
        <v>1</v>
      </c>
      <c r="AB42" s="1262">
        <f t="shared" si="4"/>
        <v>1</v>
      </c>
      <c r="AC42" s="1808">
        <f t="shared" si="5"/>
        <v>1</v>
      </c>
    </row>
    <row r="43" spans="1:29" ht="15">
      <c r="A43" s="409"/>
      <c r="B43" s="364" t="s">
        <v>1792</v>
      </c>
      <c r="C43" s="399" t="s">
        <v>3895</v>
      </c>
      <c r="D43" s="374">
        <v>100</v>
      </c>
      <c r="E43" s="399" t="s">
        <v>3895</v>
      </c>
      <c r="F43" s="400">
        <f>SUMIF(123:123,E43,124:124)-SUMIF(123:123,C43,124:124)+100</f>
        <v>100</v>
      </c>
      <c r="G43" s="399" t="s">
        <v>3895</v>
      </c>
      <c r="H43" s="374">
        <f>SUMIF(123:123,G43,124:124)-SUMIF(123:123,C43,124:124)+100</f>
        <v>100</v>
      </c>
      <c r="I43" s="399" t="s">
        <v>3895</v>
      </c>
      <c r="J43" s="374">
        <f>SUMIF(123:123,I43,124:124)-SUMIF(123:123,C43,124:124)+100</f>
        <v>100</v>
      </c>
      <c r="K43" s="538">
        <v>1</v>
      </c>
      <c r="L43" s="2489"/>
      <c r="M43" s="2484"/>
      <c r="N43" s="2484"/>
      <c r="O43" s="2484"/>
      <c r="P43" s="3483"/>
      <c r="Q43" s="1261" t="str">
        <f t="shared" si="11"/>
        <v>内部装修</v>
      </c>
      <c r="R43" s="667" t="s">
        <v>14</v>
      </c>
      <c r="S43" s="668">
        <f t="shared" si="12"/>
        <v>100</v>
      </c>
      <c r="T43" s="667" t="s">
        <v>14</v>
      </c>
      <c r="U43" s="668">
        <f t="shared" si="13"/>
        <v>100</v>
      </c>
      <c r="V43" s="667" t="s">
        <v>14</v>
      </c>
      <c r="W43" s="668">
        <f t="shared" si="14"/>
        <v>100</v>
      </c>
      <c r="X43" s="1263"/>
      <c r="Y43" s="3443"/>
      <c r="Z43" s="1262" t="str">
        <f t="shared" si="15"/>
        <v>内部装修</v>
      </c>
      <c r="AA43" s="1262">
        <f t="shared" si="3"/>
        <v>1</v>
      </c>
      <c r="AB43" s="1262">
        <f t="shared" si="4"/>
        <v>1</v>
      </c>
      <c r="AC43" s="1808">
        <f t="shared" si="5"/>
        <v>1</v>
      </c>
    </row>
    <row r="44" spans="1:29" ht="15.75" thickBot="1">
      <c r="A44" s="409"/>
      <c r="B44" s="364" t="s">
        <v>1707</v>
      </c>
      <c r="C44" s="399" t="s">
        <v>3676</v>
      </c>
      <c r="D44" s="374">
        <v>100</v>
      </c>
      <c r="E44" s="399" t="s">
        <v>3676</v>
      </c>
      <c r="F44" s="400">
        <f>SUMIF(125:125,E44,126:126)-SUMIF(125:125,C44,126:126)+100</f>
        <v>100</v>
      </c>
      <c r="G44" s="399" t="s">
        <v>3676</v>
      </c>
      <c r="H44" s="374">
        <f>SUMIF(125:125,G44,126:126)-SUMIF(125:125,C44,126:126)+100</f>
        <v>100</v>
      </c>
      <c r="I44" s="399" t="s">
        <v>3676</v>
      </c>
      <c r="J44" s="374">
        <f>SUMIF(125:125,I44,126:126)-SUMIF(125:125,C44,126:126)+100</f>
        <v>100</v>
      </c>
      <c r="K44" s="538">
        <v>1</v>
      </c>
      <c r="L44" s="2489"/>
      <c r="M44" s="2484"/>
      <c r="N44" s="2484"/>
      <c r="O44" s="2484"/>
      <c r="P44" s="3483"/>
      <c r="Q44" s="1261" t="str">
        <f t="shared" si="11"/>
        <v>内部装修维护情况</v>
      </c>
      <c r="R44" s="667" t="s">
        <v>14</v>
      </c>
      <c r="S44" s="668">
        <f t="shared" si="12"/>
        <v>100</v>
      </c>
      <c r="T44" s="667" t="s">
        <v>14</v>
      </c>
      <c r="U44" s="668">
        <f t="shared" si="13"/>
        <v>100</v>
      </c>
      <c r="V44" s="667" t="s">
        <v>14</v>
      </c>
      <c r="W44" s="668">
        <f t="shared" si="14"/>
        <v>100</v>
      </c>
      <c r="X44" s="1263"/>
      <c r="Y44" s="3443"/>
      <c r="Z44" s="1262" t="str">
        <f t="shared" si="15"/>
        <v>内部装修维护情况</v>
      </c>
      <c r="AA44" s="1262">
        <f t="shared" si="3"/>
        <v>1</v>
      </c>
      <c r="AB44" s="1262">
        <f t="shared" si="4"/>
        <v>1</v>
      </c>
      <c r="AC44" s="1808">
        <f t="shared" si="5"/>
        <v>1</v>
      </c>
    </row>
    <row r="45" spans="1:29" s="102" customFormat="1" ht="15" hidden="1">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83"/>
      <c r="Q45" s="530">
        <f t="shared" si="11"/>
        <v>111</v>
      </c>
      <c r="R45" s="664" t="s">
        <v>14</v>
      </c>
      <c r="S45" s="665">
        <f t="shared" si="12"/>
        <v>100</v>
      </c>
      <c r="T45" s="664" t="s">
        <v>14</v>
      </c>
      <c r="U45" s="665">
        <f t="shared" si="13"/>
        <v>100</v>
      </c>
      <c r="V45" s="664" t="s">
        <v>14</v>
      </c>
      <c r="W45" s="665">
        <f t="shared" si="14"/>
        <v>100</v>
      </c>
      <c r="X45" s="666"/>
      <c r="Y45" s="3443"/>
      <c r="Z45" s="50">
        <f t="shared" si="15"/>
        <v>111</v>
      </c>
      <c r="AA45" s="50">
        <f t="shared" si="3"/>
        <v>1</v>
      </c>
      <c r="AB45" s="50">
        <f t="shared" si="4"/>
        <v>1</v>
      </c>
      <c r="AC45" s="800">
        <f t="shared" si="5"/>
        <v>1</v>
      </c>
    </row>
    <row r="46" spans="1:29" ht="15" hidden="1">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83"/>
      <c r="Q46" s="1261">
        <f t="shared" si="11"/>
        <v>111</v>
      </c>
      <c r="R46" s="667" t="s">
        <v>14</v>
      </c>
      <c r="S46" s="668">
        <f t="shared" si="12"/>
        <v>100</v>
      </c>
      <c r="T46" s="667" t="s">
        <v>14</v>
      </c>
      <c r="U46" s="668">
        <f t="shared" si="13"/>
        <v>100</v>
      </c>
      <c r="V46" s="667" t="s">
        <v>14</v>
      </c>
      <c r="W46" s="668">
        <f t="shared" si="14"/>
        <v>100</v>
      </c>
      <c r="X46" s="1263"/>
      <c r="Y46" s="3443"/>
      <c r="Z46" s="1262">
        <f t="shared" si="15"/>
        <v>111</v>
      </c>
      <c r="AA46" s="1262">
        <f t="shared" si="3"/>
        <v>1</v>
      </c>
      <c r="AB46" s="1262">
        <f t="shared" si="4"/>
        <v>1</v>
      </c>
      <c r="AC46" s="1808">
        <f t="shared" si="5"/>
        <v>1</v>
      </c>
    </row>
    <row r="47" spans="1:29" ht="15.75" hidden="1"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84"/>
      <c r="Q47" s="1261">
        <f t="shared" si="11"/>
        <v>111</v>
      </c>
      <c r="R47" s="667" t="s">
        <v>14</v>
      </c>
      <c r="S47" s="668">
        <f t="shared" si="12"/>
        <v>100</v>
      </c>
      <c r="T47" s="667" t="s">
        <v>14</v>
      </c>
      <c r="U47" s="668">
        <f t="shared" si="13"/>
        <v>100</v>
      </c>
      <c r="V47" s="667" t="s">
        <v>14</v>
      </c>
      <c r="W47" s="668">
        <f t="shared" si="14"/>
        <v>100</v>
      </c>
      <c r="X47" s="1263"/>
      <c r="Y47" s="3485"/>
      <c r="Z47" s="1262">
        <f t="shared" si="15"/>
        <v>111</v>
      </c>
      <c r="AA47" s="1262">
        <f t="shared" si="3"/>
        <v>1</v>
      </c>
      <c r="AB47" s="1262">
        <f t="shared" si="4"/>
        <v>1</v>
      </c>
      <c r="AC47" s="1808">
        <f t="shared" si="5"/>
        <v>1</v>
      </c>
    </row>
    <row r="48" spans="1:29" ht="15">
      <c r="A48" s="416" t="s">
        <v>1708</v>
      </c>
      <c r="B48" s="417"/>
      <c r="C48" s="1079" t="s">
        <v>0</v>
      </c>
      <c r="D48" s="418"/>
      <c r="E48" s="419">
        <v>1.25</v>
      </c>
      <c r="F48" s="420"/>
      <c r="G48" s="421">
        <v>1.39</v>
      </c>
      <c r="H48" s="422"/>
      <c r="I48" s="419">
        <v>1.3</v>
      </c>
      <c r="J48" s="422"/>
      <c r="K48" s="674"/>
      <c r="L48" s="2491"/>
      <c r="M48" s="2484"/>
      <c r="N48" s="2484"/>
      <c r="O48" s="2484"/>
      <c r="P48" s="3460" t="str">
        <f>A48</f>
        <v>成交单价（元/平方米）</v>
      </c>
      <c r="Q48" s="3435"/>
      <c r="R48" s="3439">
        <f>E48</f>
        <v>1.25</v>
      </c>
      <c r="S48" s="3439"/>
      <c r="T48" s="3439">
        <f>G48</f>
        <v>1.39</v>
      </c>
      <c r="U48" s="3439"/>
      <c r="V48" s="3439">
        <f>I48</f>
        <v>1.3</v>
      </c>
      <c r="W48" s="3439"/>
      <c r="X48" s="385"/>
      <c r="Y48" s="673"/>
      <c r="Z48" s="385"/>
      <c r="AA48" s="385"/>
      <c r="AB48" s="385"/>
      <c r="AC48" s="555"/>
    </row>
    <row r="49" spans="1:29" ht="15.75" thickBot="1">
      <c r="A49" s="423" t="s">
        <v>1793</v>
      </c>
      <c r="B49" s="424"/>
      <c r="C49" s="1080">
        <f>R50</f>
        <v>1.3</v>
      </c>
      <c r="D49" s="2137" t="s">
        <v>2137</v>
      </c>
      <c r="E49" s="1081">
        <f>R49</f>
        <v>1.2</v>
      </c>
      <c r="F49" s="2138"/>
      <c r="G49" s="1080">
        <f>T49</f>
        <v>1.4</v>
      </c>
      <c r="H49" s="2138"/>
      <c r="I49" s="1081">
        <f>V49</f>
        <v>1.3</v>
      </c>
      <c r="J49" s="2138"/>
      <c r="K49" s="2140">
        <f>F49+H49+J49</f>
        <v>0</v>
      </c>
      <c r="L49" s="2491"/>
      <c r="M49" s="2484"/>
      <c r="N49" s="2484"/>
      <c r="O49" s="2484"/>
      <c r="P49" s="3460" t="str">
        <f>A49</f>
        <v>比较价值（元/平方米）</v>
      </c>
      <c r="Q49" s="3435"/>
      <c r="R49" s="3439">
        <f>IF(F1="售价",ROUND(PRODUCT(R48,AA7:AA47),0),ROUND(PRODUCT(R48,AA7:AA47),1))</f>
        <v>1.2</v>
      </c>
      <c r="S49" s="3439"/>
      <c r="T49" s="3439">
        <f>IF(F1="售价",ROUND(PRODUCT(T48,AB7:AB47),0),ROUND(PRODUCT(T48,AB7:AB47),1))</f>
        <v>1.4</v>
      </c>
      <c r="U49" s="3439"/>
      <c r="V49" s="3439">
        <f>IF(F1="售价",ROUND(PRODUCT(V48,AC7:AC47),0),ROUND(PRODUCT(V48,AC7:AC47),1))</f>
        <v>1.3</v>
      </c>
      <c r="W49" s="3439"/>
      <c r="X49" s="385"/>
      <c r="Y49" s="385"/>
      <c r="Z49" s="385"/>
      <c r="AA49" s="385"/>
      <c r="AB49" s="385"/>
      <c r="AC49" s="555"/>
    </row>
    <row r="50" spans="1:29" ht="15.75" thickBot="1">
      <c r="A50" s="427" t="s">
        <v>1794</v>
      </c>
      <c r="B50" s="428"/>
      <c r="C50" s="351">
        <f>R50</f>
        <v>1.3</v>
      </c>
      <c r="D50" s="351"/>
      <c r="E50" s="351"/>
      <c r="F50" s="351"/>
      <c r="G50" s="351"/>
      <c r="H50" s="351"/>
      <c r="I50" s="351"/>
      <c r="J50" s="429"/>
      <c r="K50" s="675"/>
      <c r="L50" s="2491"/>
      <c r="M50" s="2484"/>
      <c r="N50" s="2484"/>
      <c r="O50" s="2484"/>
      <c r="P50" s="3502" t="str">
        <f>A50</f>
        <v>估价对象XX用房的比较价值（楼面单价，元/平方米）</v>
      </c>
      <c r="Q50" s="3503"/>
      <c r="R50" s="3504">
        <f>IF(F1="售价",ROUND(IF(D49="简单平均",AVERAGE(R49:V49),R49*F49+T49*H49+V49*J49),0),ROUND(IF(D49="简单平均",AVERAGE(R49:V49),R49*F49+T49*H49+V49*J49),1))</f>
        <v>1.3</v>
      </c>
      <c r="S50" s="3504"/>
      <c r="T50" s="3504"/>
      <c r="U50" s="3504"/>
      <c r="V50" s="3504"/>
      <c r="W50" s="3504"/>
      <c r="X50" s="1794"/>
      <c r="Y50" s="1794"/>
      <c r="Z50" s="1794"/>
      <c r="AA50" s="1794"/>
      <c r="AB50" s="1794"/>
      <c r="AC50" s="1795"/>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f>IF(E48&lt;E49,E49/E48-1,E48/E49-1)</f>
        <v>4.1666666666666741E-2</v>
      </c>
      <c r="F53" s="435" t="str">
        <f>IF(OR(E53&gt;=0.3,E53&lt;=-0.3),"超过30%","")</f>
        <v/>
      </c>
      <c r="G53" s="434">
        <f>IF(G48&lt;G49,G49/G48-1,G48/G49-1)</f>
        <v>7.194244604316502E-3</v>
      </c>
      <c r="H53" s="435" t="str">
        <f>IF(OR(G53&gt;=0.3,G53&lt;=-0.3),"超过30%","")</f>
        <v/>
      </c>
      <c r="I53" s="434">
        <f>IF(I48&lt;I49,I49/I48-1,I48/I49-1)</f>
        <v>0</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f>IF(E49&lt;G49,G49/E49-1,E49/G49-1)</f>
        <v>0.16666666666666674</v>
      </c>
      <c r="F54" s="435" t="str">
        <f>IF(OR(E54&gt;=0.2,E54&lt;=-0.2),"超过20%","")</f>
        <v/>
      </c>
      <c r="G54" s="434">
        <f>IF(G49&lt;I49,I49/G49-1,G49/I49-1)</f>
        <v>7.6923076923076872E-2</v>
      </c>
      <c r="H54" s="435" t="str">
        <f>IF(OR(G54&gt;=0.2,G54&lt;=-0.2),"超过20%","")</f>
        <v/>
      </c>
      <c r="I54" s="434">
        <f>IF(I49&lt;E49,E49/I49-1,I49/E49-1)</f>
        <v>8.3333333333333481E-2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f>IF(E48&lt;G48,G48/E48-1,E48/G48-1)</f>
        <v>0.11199999999999988</v>
      </c>
      <c r="F55" s="435" t="str">
        <f>IF(OR(E55&gt;=0.3,E55&lt;=-0.3),"超过30%","")</f>
        <v/>
      </c>
      <c r="G55" s="434">
        <f>IF(G48&lt;I48,I48/G48-1,G48/I48-1)</f>
        <v>6.9230769230769207E-2</v>
      </c>
      <c r="H55" s="435" t="str">
        <f>IF(OR(G55&gt;=0.3,G55&lt;=-0.3),"超过30%","")</f>
        <v/>
      </c>
      <c r="I55" s="434">
        <f>IF(I48&lt;E48,E48/I48-1,I48/E48-1)</f>
        <v>4.0000000000000036E-2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6"/>
      <c r="M58" s="884"/>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1" t="str">
        <f>YEAR(C7)&amp;"-"&amp;MONTH(C7)</f>
        <v>2024-6</v>
      </c>
      <c r="D59" s="1102">
        <f>EDATE(C59,-1)</f>
        <v>45413</v>
      </c>
      <c r="E59" s="1102">
        <f>EDATE(D59,-1)</f>
        <v>45383</v>
      </c>
      <c r="F59" s="1102">
        <f t="shared" ref="F59:O59" si="16">EDATE(E59,-1)</f>
        <v>45352</v>
      </c>
      <c r="G59" s="1102">
        <f t="shared" si="16"/>
        <v>45323</v>
      </c>
      <c r="H59" s="1102">
        <f t="shared" si="16"/>
        <v>45292</v>
      </c>
      <c r="I59" s="1102">
        <f t="shared" si="16"/>
        <v>45261</v>
      </c>
      <c r="J59" s="1102">
        <f t="shared" si="16"/>
        <v>45231</v>
      </c>
      <c r="K59" s="1102">
        <f t="shared" si="16"/>
        <v>45200</v>
      </c>
      <c r="L59" s="1102">
        <f t="shared" si="16"/>
        <v>45170</v>
      </c>
      <c r="M59" s="1102">
        <f t="shared" si="16"/>
        <v>45139</v>
      </c>
      <c r="N59" s="1102">
        <f t="shared" si="16"/>
        <v>45108</v>
      </c>
      <c r="O59" s="1102">
        <f t="shared" si="16"/>
        <v>45078</v>
      </c>
      <c r="P59" s="2524"/>
      <c r="Q59" s="2507"/>
      <c r="R59" s="2507"/>
      <c r="S59" s="2507"/>
      <c r="T59" s="2507"/>
      <c r="U59" s="2507"/>
      <c r="V59" s="2507"/>
      <c r="W59" s="2507"/>
      <c r="X59" s="2507"/>
      <c r="Y59" s="2507"/>
      <c r="Z59" s="2507"/>
      <c r="AA59" s="2507"/>
      <c r="AB59" s="2507"/>
      <c r="AC59" s="2507"/>
    </row>
    <row r="60" spans="1:29" s="102" customFormat="1" ht="15">
      <c r="A60" s="443"/>
      <c r="B60" s="444"/>
      <c r="C60" s="1100">
        <v>100</v>
      </c>
      <c r="D60" s="446"/>
      <c r="E60" s="446"/>
      <c r="F60" s="446"/>
      <c r="G60" s="446"/>
      <c r="H60" s="446">
        <v>100</v>
      </c>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1681</v>
      </c>
      <c r="B62" s="444"/>
      <c r="C62" s="456" t="s">
        <v>1776</v>
      </c>
      <c r="D62" s="3206" t="s">
        <v>3854</v>
      </c>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v>102</v>
      </c>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1719</v>
      </c>
      <c r="B64" s="460" t="s">
        <v>1685</v>
      </c>
      <c r="C64" s="461" t="str">
        <f>C9</f>
        <v>办公</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98</v>
      </c>
      <c r="E78" s="475">
        <f>D78-$K15</f>
        <v>96</v>
      </c>
      <c r="F78" s="475">
        <f>E78-$K15</f>
        <v>94</v>
      </c>
      <c r="G78" s="475">
        <f>F78-$K15</f>
        <v>92</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98</v>
      </c>
      <c r="E80" s="475">
        <f>D80-$K17</f>
        <v>96</v>
      </c>
      <c r="F80" s="475">
        <f>E80-$K17</f>
        <v>94</v>
      </c>
      <c r="G80" s="475">
        <f>F80-$K17</f>
        <v>92</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98</v>
      </c>
      <c r="E82" s="475">
        <f>D82-$K19</f>
        <v>96</v>
      </c>
      <c r="F82" s="475">
        <f>E82-$K19</f>
        <v>94</v>
      </c>
      <c r="G82" s="475">
        <f>F82-$K19</f>
        <v>92</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1"/>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98</v>
      </c>
      <c r="E84" s="475">
        <f>D84-$K21</f>
        <v>96</v>
      </c>
      <c r="F84" s="475">
        <f>E84-$K21</f>
        <v>94</v>
      </c>
      <c r="G84" s="475">
        <f>F84-$K21</f>
        <v>92</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98</v>
      </c>
      <c r="E86" s="475">
        <f>D86-$K23</f>
        <v>96</v>
      </c>
      <c r="F86" s="475">
        <f>E86-$K23</f>
        <v>94</v>
      </c>
      <c r="G86" s="475">
        <f>F86-$K23</f>
        <v>92</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6"/>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3207" t="s">
        <v>3886</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0(含)-100000</v>
      </c>
      <c r="D103" s="509" t="str">
        <f t="shared" ref="D103:L103" si="23">D104&amp;"(含)"&amp;"-"&amp;E104</f>
        <v>100000(含)-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100000</v>
      </c>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v>100</v>
      </c>
      <c r="D105" s="467">
        <v>100</v>
      </c>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200" t="s">
        <v>3887</v>
      </c>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200" t="s">
        <v>3888</v>
      </c>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3200" t="s">
        <v>3889</v>
      </c>
      <c r="D113" s="3200" t="s">
        <v>3890</v>
      </c>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200" t="s">
        <v>3859</v>
      </c>
      <c r="D115" s="3200" t="s">
        <v>3891</v>
      </c>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3200" t="s">
        <v>3669</v>
      </c>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3201" t="s">
        <v>3892</v>
      </c>
      <c r="D119" s="513"/>
      <c r="E119" s="513"/>
      <c r="F119" s="513"/>
      <c r="G119" s="513"/>
      <c r="H119" s="513"/>
      <c r="I119" s="513"/>
      <c r="J119" s="513"/>
      <c r="K119" s="513"/>
      <c r="L119" s="1812"/>
      <c r="M119" s="1813"/>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200" t="s">
        <v>3888</v>
      </c>
      <c r="D123" s="3200" t="s">
        <v>3858</v>
      </c>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F7:F47 H7:H47 J7:J47">
    <cfRule type="cellIs" dxfId="18" priority="1" operator="notEqual">
      <formula>100</formula>
    </cfRule>
  </conditionalFormatting>
  <conditionalFormatting sqref="F49">
    <cfRule type="expression" dxfId="17" priority="4">
      <formula>$D$49="简单平均"</formula>
    </cfRule>
  </conditionalFormatting>
  <conditionalFormatting sqref="F53:F55 H53:H55">
    <cfRule type="containsText" dxfId="16" priority="17" stopIfTrue="1" operator="containsText" text="超过">
      <formula>NOT(ISERROR(SEARCH("超过",F53)))</formula>
    </cfRule>
  </conditionalFormatting>
  <conditionalFormatting sqref="G53">
    <cfRule type="expression" dxfId="15" priority="12" stopIfTrue="1">
      <formula>$H$53="超过30%"</formula>
    </cfRule>
  </conditionalFormatting>
  <conditionalFormatting sqref="G54">
    <cfRule type="expression" dxfId="14" priority="11" stopIfTrue="1">
      <formula>$H$54="超过20%"</formula>
    </cfRule>
  </conditionalFormatting>
  <conditionalFormatting sqref="G55">
    <cfRule type="expression" dxfId="13" priority="13" stopIfTrue="1">
      <formula>$H$55="超过30%"</formula>
    </cfRule>
  </conditionalFormatting>
  <conditionalFormatting sqref="H49">
    <cfRule type="expression" dxfId="12" priority="3">
      <formula>$D$49="简单平均"</formula>
    </cfRule>
  </conditionalFormatting>
  <conditionalFormatting sqref="I53">
    <cfRule type="expression" dxfId="11" priority="7" stopIfTrue="1">
      <formula>$J$53="超过30%"</formula>
    </cfRule>
  </conditionalFormatting>
  <conditionalFormatting sqref="I54">
    <cfRule type="expression" dxfId="10" priority="6" stopIfTrue="1">
      <formula>$J$53+$J$54="超过20%"</formula>
    </cfRule>
  </conditionalFormatting>
  <conditionalFormatting sqref="I55">
    <cfRule type="expression" dxfId="9" priority="5" stopIfTrue="1">
      <formula>$J$55="超过30%"</formula>
    </cfRule>
  </conditionalFormatting>
  <conditionalFormatting sqref="J49">
    <cfRule type="expression" dxfId="8" priority="2">
      <formula>$D$49="简单平均"</formula>
    </cfRule>
  </conditionalFormatting>
  <conditionalFormatting sqref="J53:J55">
    <cfRule type="containsText" dxfId="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B4273-2ACA-4BB1-866B-C60CF41A5764}">
  <dimension ref="A1"/>
  <sheetViews>
    <sheetView workbookViewId="0">
      <selection activeCell="P25" sqref="P25"/>
    </sheetView>
  </sheetViews>
  <sheetFormatPr defaultRowHeight="13.5"/>
  <cols>
    <col min="1" max="16384" width="9" style="3205"/>
  </cols>
  <sheetData/>
  <phoneticPr fontId="134" type="noConversion"/>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B73D0-28EC-4087-A0F5-E2905B02A130}">
  <dimension ref="A1"/>
  <sheetViews>
    <sheetView workbookViewId="0">
      <selection activeCell="R27" sqref="R27"/>
    </sheetView>
  </sheetViews>
  <sheetFormatPr defaultRowHeight="13.5"/>
  <cols>
    <col min="1" max="16384" width="9" style="3205"/>
  </cols>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07265-C337-4609-A330-2C4D70025F14}">
  <dimension ref="A1"/>
  <sheetViews>
    <sheetView workbookViewId="0">
      <selection activeCell="R27" sqref="R27"/>
    </sheetView>
  </sheetViews>
  <sheetFormatPr defaultRowHeight="13.5"/>
  <cols>
    <col min="1" max="16384" width="9" style="3205"/>
  </cols>
  <sheetData/>
  <phoneticPr fontId="134"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56187-38B7-4566-896F-A8DF9E837ED0}">
  <dimension ref="A1:P47"/>
  <sheetViews>
    <sheetView topLeftCell="B1" workbookViewId="0">
      <selection activeCell="G21" sqref="G21:M24"/>
    </sheetView>
  </sheetViews>
  <sheetFormatPr defaultRowHeight="12"/>
  <cols>
    <col min="1" max="1" width="37.5" style="3195" customWidth="1"/>
    <col min="2" max="2" width="13.125" style="3195" bestFit="1" customWidth="1"/>
    <col min="3" max="3" width="24.125" style="3195" customWidth="1"/>
    <col min="4" max="5" width="15.125" style="3195" bestFit="1" customWidth="1"/>
    <col min="6" max="6" width="8" style="3195" bestFit="1" customWidth="1"/>
    <col min="7" max="7" width="30.625" style="3195" bestFit="1" customWidth="1"/>
    <col min="8" max="8" width="11.5" style="3195" bestFit="1" customWidth="1"/>
    <col min="9" max="9" width="11.625" style="3195" bestFit="1" customWidth="1"/>
    <col min="10" max="10" width="8" style="3195" bestFit="1" customWidth="1"/>
    <col min="11" max="11" width="10.25" style="3195" bestFit="1" customWidth="1"/>
    <col min="12" max="12" width="8" style="3195" bestFit="1" customWidth="1"/>
    <col min="13" max="13" width="11.5" style="3195" bestFit="1" customWidth="1"/>
    <col min="14" max="14" width="17.875" style="3195" bestFit="1" customWidth="1"/>
    <col min="15" max="15" width="16.125" style="3195" bestFit="1" customWidth="1"/>
    <col min="16" max="16" width="33" style="3195" bestFit="1" customWidth="1"/>
    <col min="17" max="16384" width="9" style="3195"/>
  </cols>
  <sheetData>
    <row r="1" spans="1:16">
      <c r="A1" s="3505" t="s">
        <v>3474</v>
      </c>
      <c r="B1" s="3505" t="s">
        <v>3843</v>
      </c>
      <c r="C1" s="3505" t="s">
        <v>3475</v>
      </c>
      <c r="D1" s="3505" t="s">
        <v>3476</v>
      </c>
      <c r="E1" s="3505" t="s">
        <v>3477</v>
      </c>
      <c r="F1" s="3505" t="s">
        <v>3842</v>
      </c>
      <c r="G1" s="3505" t="s">
        <v>3479</v>
      </c>
      <c r="H1" s="3505" t="s">
        <v>3841</v>
      </c>
      <c r="I1" s="3505" t="s">
        <v>3478</v>
      </c>
      <c r="J1" s="3505" t="s">
        <v>3840</v>
      </c>
      <c r="K1" s="3505" t="s">
        <v>3480</v>
      </c>
      <c r="L1" s="3505" t="s">
        <v>3839</v>
      </c>
      <c r="M1" s="3505" t="s">
        <v>3481</v>
      </c>
      <c r="N1" s="3505" t="s">
        <v>3482</v>
      </c>
      <c r="O1" s="3505" t="s">
        <v>3483</v>
      </c>
      <c r="P1" s="3505" t="s">
        <v>3485</v>
      </c>
    </row>
    <row r="2" spans="1:16">
      <c r="A2" s="3505" t="s">
        <v>3838</v>
      </c>
      <c r="B2" s="3505" t="s">
        <v>3734</v>
      </c>
      <c r="C2" s="3505" t="s">
        <v>3837</v>
      </c>
      <c r="D2" s="3505">
        <v>44913.919999999998</v>
      </c>
      <c r="E2" s="3505">
        <v>67370.880000000005</v>
      </c>
      <c r="F2" s="3505" t="s">
        <v>2471</v>
      </c>
      <c r="G2" s="3505" t="s">
        <v>2471</v>
      </c>
      <c r="H2" s="3505">
        <v>20</v>
      </c>
      <c r="I2" s="3505" t="s">
        <v>3700</v>
      </c>
      <c r="J2" s="3505" t="s">
        <v>3832</v>
      </c>
      <c r="K2" s="3505" t="s">
        <v>3836</v>
      </c>
      <c r="L2" s="3505" t="s">
        <v>3687</v>
      </c>
      <c r="M2" s="3505">
        <v>9761.9500000000007</v>
      </c>
      <c r="N2" s="3505">
        <v>144.9</v>
      </c>
      <c r="O2" s="3505">
        <v>1449</v>
      </c>
      <c r="P2" s="3505" t="s">
        <v>3835</v>
      </c>
    </row>
    <row r="3" spans="1:16">
      <c r="A3" s="3505" t="s">
        <v>3834</v>
      </c>
      <c r="B3" s="3505" t="s">
        <v>3734</v>
      </c>
      <c r="C3" s="3505" t="s">
        <v>3833</v>
      </c>
      <c r="D3" s="3505">
        <v>19400</v>
      </c>
      <c r="E3" s="3505">
        <v>29100</v>
      </c>
      <c r="F3" s="3505" t="s">
        <v>2471</v>
      </c>
      <c r="G3" s="3505" t="s">
        <v>2471</v>
      </c>
      <c r="H3" s="3505">
        <v>20</v>
      </c>
      <c r="I3" s="3505" t="s">
        <v>3700</v>
      </c>
      <c r="J3" s="3505" t="s">
        <v>3832</v>
      </c>
      <c r="K3" s="3505" t="s">
        <v>3831</v>
      </c>
      <c r="L3" s="3505" t="s">
        <v>3687</v>
      </c>
      <c r="M3" s="3505">
        <v>4213.68</v>
      </c>
      <c r="N3" s="3505">
        <v>144.80000000000001</v>
      </c>
      <c r="O3" s="3505">
        <v>1448</v>
      </c>
      <c r="P3" s="3505" t="s">
        <v>3830</v>
      </c>
    </row>
    <row r="4" spans="1:16">
      <c r="A4" s="3505" t="s">
        <v>3829</v>
      </c>
      <c r="B4" s="3505" t="s">
        <v>3722</v>
      </c>
      <c r="C4" s="3505" t="s">
        <v>3828</v>
      </c>
      <c r="D4" s="3505">
        <v>203586.66</v>
      </c>
      <c r="E4" s="3505">
        <v>305379.99</v>
      </c>
      <c r="F4" s="3505" t="s">
        <v>2471</v>
      </c>
      <c r="G4" s="3505" t="s">
        <v>3</v>
      </c>
      <c r="H4" s="3505">
        <v>50</v>
      </c>
      <c r="I4" s="3505" t="s">
        <v>3760</v>
      </c>
      <c r="J4" s="3505" t="s">
        <v>3689</v>
      </c>
      <c r="K4" s="3505" t="s">
        <v>3812</v>
      </c>
      <c r="L4" s="3505" t="s">
        <v>3687</v>
      </c>
      <c r="M4" s="3505">
        <v>36462.370000000003</v>
      </c>
      <c r="N4" s="3505">
        <v>119.4</v>
      </c>
      <c r="O4" s="3505">
        <v>1194</v>
      </c>
      <c r="P4" s="3505" t="s">
        <v>3827</v>
      </c>
    </row>
    <row r="5" spans="1:16">
      <c r="A5" s="3505" t="s">
        <v>3826</v>
      </c>
      <c r="B5" s="3505" t="s">
        <v>3734</v>
      </c>
      <c r="C5" s="3505" t="s">
        <v>3825</v>
      </c>
      <c r="D5" s="3505">
        <v>5467.2</v>
      </c>
      <c r="E5" s="3505">
        <v>5467.2</v>
      </c>
      <c r="F5" s="3505" t="s">
        <v>2471</v>
      </c>
      <c r="G5" s="3505" t="s">
        <v>3824</v>
      </c>
      <c r="H5" s="3505">
        <v>20</v>
      </c>
      <c r="I5" s="3505" t="s">
        <v>3823</v>
      </c>
      <c r="J5" s="3505" t="s">
        <v>3689</v>
      </c>
      <c r="K5" s="3505" t="s">
        <v>3822</v>
      </c>
      <c r="L5" s="3505" t="s">
        <v>3687</v>
      </c>
      <c r="M5" s="3505">
        <v>844.63</v>
      </c>
      <c r="N5" s="3505">
        <v>102.99</v>
      </c>
      <c r="O5" s="3505">
        <v>1545</v>
      </c>
      <c r="P5" s="3505" t="s">
        <v>3821</v>
      </c>
    </row>
    <row r="6" spans="1:16">
      <c r="A6" s="3505" t="s">
        <v>3820</v>
      </c>
      <c r="B6" s="3505" t="s">
        <v>3734</v>
      </c>
      <c r="C6" s="3505" t="s">
        <v>3819</v>
      </c>
      <c r="D6" s="3505">
        <v>5450.05</v>
      </c>
      <c r="E6" s="3505">
        <v>10900.1</v>
      </c>
      <c r="F6" s="3505" t="s">
        <v>2471</v>
      </c>
      <c r="G6" s="3505" t="s">
        <v>2471</v>
      </c>
      <c r="H6" s="3505">
        <v>20</v>
      </c>
      <c r="I6" s="3505" t="s">
        <v>3695</v>
      </c>
      <c r="J6" s="3505" t="s">
        <v>3689</v>
      </c>
      <c r="K6" s="3505" t="s">
        <v>3818</v>
      </c>
      <c r="L6" s="3505" t="s">
        <v>3687</v>
      </c>
      <c r="M6" s="3505">
        <v>1115.02</v>
      </c>
      <c r="N6" s="3505">
        <v>136.38999999999999</v>
      </c>
      <c r="O6" s="3505">
        <v>1023</v>
      </c>
      <c r="P6" s="3505" t="s">
        <v>3817</v>
      </c>
    </row>
    <row r="7" spans="1:16">
      <c r="A7" s="3505" t="s">
        <v>3816</v>
      </c>
      <c r="B7" s="3505" t="s">
        <v>3722</v>
      </c>
      <c r="C7" s="3505" t="s">
        <v>3815</v>
      </c>
      <c r="D7" s="3505">
        <v>260416.91</v>
      </c>
      <c r="E7" s="3505">
        <v>260416.91</v>
      </c>
      <c r="F7" s="3505" t="s">
        <v>2471</v>
      </c>
      <c r="G7" s="3505" t="s">
        <v>3814</v>
      </c>
      <c r="H7" s="3505">
        <v>20</v>
      </c>
      <c r="I7" s="3505" t="s">
        <v>3813</v>
      </c>
      <c r="J7" s="3505" t="s">
        <v>3689</v>
      </c>
      <c r="K7" s="3505" t="s">
        <v>3812</v>
      </c>
      <c r="L7" s="3505" t="s">
        <v>3687</v>
      </c>
      <c r="M7" s="3505">
        <v>22500.02</v>
      </c>
      <c r="N7" s="3505">
        <v>57.6</v>
      </c>
      <c r="O7" s="3505">
        <v>864</v>
      </c>
      <c r="P7" s="3505" t="s">
        <v>3811</v>
      </c>
    </row>
    <row r="8" spans="1:16">
      <c r="A8" s="3505" t="s">
        <v>3486</v>
      </c>
      <c r="B8" s="3505" t="s">
        <v>3743</v>
      </c>
      <c r="C8" s="3505" t="s">
        <v>3487</v>
      </c>
      <c r="D8" s="3505">
        <v>17549.900000000001</v>
      </c>
      <c r="E8" s="3505">
        <v>17549.900000000001</v>
      </c>
      <c r="F8" s="3505" t="s">
        <v>2471</v>
      </c>
      <c r="G8" s="3505" t="s">
        <v>3754</v>
      </c>
      <c r="H8" s="3505">
        <v>20</v>
      </c>
      <c r="I8" s="3505" t="s">
        <v>3730</v>
      </c>
      <c r="J8" s="3505" t="s">
        <v>3689</v>
      </c>
      <c r="K8" s="3505" t="s">
        <v>3810</v>
      </c>
      <c r="L8" s="3505" t="s">
        <v>3687</v>
      </c>
      <c r="M8" s="3505">
        <v>2100.7199999999998</v>
      </c>
      <c r="N8" s="3505">
        <v>79.8</v>
      </c>
      <c r="O8" s="3505">
        <v>1197</v>
      </c>
      <c r="P8" s="3505" t="s">
        <v>3809</v>
      </c>
    </row>
    <row r="9" spans="1:16">
      <c r="A9" s="3505" t="s">
        <v>3491</v>
      </c>
      <c r="B9" s="3505" t="s">
        <v>3759</v>
      </c>
      <c r="C9" s="3505" t="s">
        <v>3492</v>
      </c>
      <c r="D9" s="3505">
        <v>72656</v>
      </c>
      <c r="E9" s="3505">
        <v>145312</v>
      </c>
      <c r="F9" s="3505" t="s">
        <v>2471</v>
      </c>
      <c r="G9" s="3505" t="s">
        <v>3808</v>
      </c>
      <c r="H9" s="3505" t="s">
        <v>3675</v>
      </c>
      <c r="I9" s="3505" t="s">
        <v>3807</v>
      </c>
      <c r="J9" s="3505" t="s">
        <v>3689</v>
      </c>
      <c r="K9" s="3505" t="s">
        <v>3806</v>
      </c>
      <c r="L9" s="3505" t="s">
        <v>3687</v>
      </c>
      <c r="M9" s="3505">
        <v>19181.18</v>
      </c>
      <c r="N9" s="3505">
        <v>176</v>
      </c>
      <c r="O9" s="3505">
        <v>1320</v>
      </c>
      <c r="P9" s="3505" t="s">
        <v>3805</v>
      </c>
    </row>
    <row r="10" spans="1:16">
      <c r="A10" s="3505" t="s">
        <v>3504</v>
      </c>
      <c r="B10" s="3505" t="s">
        <v>3804</v>
      </c>
      <c r="C10" s="3505" t="s">
        <v>3505</v>
      </c>
      <c r="D10" s="3505">
        <v>16968</v>
      </c>
      <c r="E10" s="3505">
        <v>40904</v>
      </c>
      <c r="F10" s="3505" t="s">
        <v>2471</v>
      </c>
      <c r="G10" s="3505" t="s">
        <v>3803</v>
      </c>
      <c r="H10" s="3505" t="s">
        <v>3675</v>
      </c>
      <c r="I10" s="3505" t="s">
        <v>3789</v>
      </c>
      <c r="J10" s="3505" t="s">
        <v>3689</v>
      </c>
      <c r="K10" s="3505" t="s">
        <v>3802</v>
      </c>
      <c r="L10" s="3505" t="s">
        <v>3687</v>
      </c>
      <c r="M10" s="3505">
        <v>7041.48</v>
      </c>
      <c r="N10" s="3505">
        <v>276.66000000000003</v>
      </c>
      <c r="O10" s="3505">
        <v>1721</v>
      </c>
      <c r="P10" s="3505" t="s">
        <v>3801</v>
      </c>
    </row>
    <row r="11" spans="1:16">
      <c r="A11" s="3505" t="s">
        <v>3513</v>
      </c>
      <c r="B11" s="3505" t="s">
        <v>3692</v>
      </c>
      <c r="C11" s="3505" t="s">
        <v>3514</v>
      </c>
      <c r="D11" s="3505">
        <v>14975.1</v>
      </c>
      <c r="E11" s="3505">
        <v>22462.65</v>
      </c>
      <c r="F11" s="3505" t="s">
        <v>2471</v>
      </c>
      <c r="G11" s="3505" t="s">
        <v>3</v>
      </c>
      <c r="H11" s="3505" t="s">
        <v>3675</v>
      </c>
      <c r="I11" s="3505" t="s">
        <v>3700</v>
      </c>
      <c r="J11" s="3505" t="s">
        <v>3689</v>
      </c>
      <c r="K11" s="3505" t="s">
        <v>3800</v>
      </c>
      <c r="L11" s="3505" t="s">
        <v>3687</v>
      </c>
      <c r="M11" s="3505">
        <v>1682.45</v>
      </c>
      <c r="N11" s="3505">
        <v>74.900000000000006</v>
      </c>
      <c r="O11" s="3505">
        <v>749</v>
      </c>
      <c r="P11" s="3505" t="s">
        <v>3799</v>
      </c>
    </row>
    <row r="12" spans="1:16">
      <c r="A12" s="3505" t="s">
        <v>3516</v>
      </c>
      <c r="B12" s="3505" t="s">
        <v>3786</v>
      </c>
      <c r="C12" s="3505" t="s">
        <v>3517</v>
      </c>
      <c r="D12" s="3505">
        <v>74702.7</v>
      </c>
      <c r="E12" s="3505">
        <v>110253.98</v>
      </c>
      <c r="F12" s="3505" t="s">
        <v>2471</v>
      </c>
      <c r="G12" s="3505" t="s">
        <v>3798</v>
      </c>
      <c r="H12" s="3505" t="s">
        <v>3675</v>
      </c>
      <c r="I12" s="3505" t="s">
        <v>3797</v>
      </c>
      <c r="J12" s="3505" t="s">
        <v>3689</v>
      </c>
      <c r="K12" s="3505" t="s">
        <v>3796</v>
      </c>
      <c r="L12" s="3505" t="s">
        <v>3687</v>
      </c>
      <c r="M12" s="3505">
        <v>16910.09</v>
      </c>
      <c r="N12" s="3505">
        <v>150.91</v>
      </c>
      <c r="O12" s="3505">
        <v>1534</v>
      </c>
      <c r="P12" s="3505" t="s">
        <v>3795</v>
      </c>
    </row>
    <row r="13" spans="1:16">
      <c r="A13" s="3505" t="s">
        <v>3520</v>
      </c>
      <c r="B13" s="3505" t="s">
        <v>3743</v>
      </c>
      <c r="C13" s="3505" t="s">
        <v>3521</v>
      </c>
      <c r="D13" s="3505">
        <v>26178.400000000001</v>
      </c>
      <c r="E13" s="3505">
        <v>52356.800000000003</v>
      </c>
      <c r="F13" s="3505" t="s">
        <v>2471</v>
      </c>
      <c r="G13" s="3505" t="s">
        <v>3</v>
      </c>
      <c r="H13" s="3505" t="s">
        <v>3675</v>
      </c>
      <c r="I13" s="3505" t="s">
        <v>3695</v>
      </c>
      <c r="J13" s="3505" t="s">
        <v>3689</v>
      </c>
      <c r="K13" s="3505" t="s">
        <v>3794</v>
      </c>
      <c r="L13" s="3505" t="s">
        <v>3687</v>
      </c>
      <c r="M13" s="3505">
        <v>3413.66</v>
      </c>
      <c r="N13" s="3505">
        <v>86.93</v>
      </c>
      <c r="O13" s="3505">
        <v>652</v>
      </c>
      <c r="P13" s="3505" t="s">
        <v>3793</v>
      </c>
    </row>
    <row r="14" spans="1:16">
      <c r="A14" s="3505" t="s">
        <v>3523</v>
      </c>
      <c r="B14" s="3505" t="s">
        <v>3792</v>
      </c>
      <c r="C14" s="3505" t="s">
        <v>3524</v>
      </c>
      <c r="D14" s="3505">
        <v>14078.7</v>
      </c>
      <c r="E14" s="3505">
        <v>28157.4</v>
      </c>
      <c r="F14" s="3505" t="s">
        <v>2471</v>
      </c>
      <c r="G14" s="3505" t="s">
        <v>3</v>
      </c>
      <c r="H14" s="3505" t="s">
        <v>3675</v>
      </c>
      <c r="I14" s="3505" t="s">
        <v>3695</v>
      </c>
      <c r="J14" s="3505" t="s">
        <v>3689</v>
      </c>
      <c r="K14" s="3505" t="s">
        <v>3791</v>
      </c>
      <c r="L14" s="3505" t="s">
        <v>3687</v>
      </c>
      <c r="M14" s="3505">
        <v>2044.23</v>
      </c>
      <c r="N14" s="3505">
        <v>96.8</v>
      </c>
      <c r="O14" s="3505">
        <v>726</v>
      </c>
      <c r="P14" s="3505" t="s">
        <v>3790</v>
      </c>
    </row>
    <row r="15" spans="1:16">
      <c r="A15" s="3505" t="s">
        <v>3526</v>
      </c>
      <c r="B15" s="3505" t="s">
        <v>3722</v>
      </c>
      <c r="C15" s="3505" t="s">
        <v>3527</v>
      </c>
      <c r="D15" s="3505">
        <v>20278.599999999999</v>
      </c>
      <c r="E15" s="3505">
        <v>50696.5</v>
      </c>
      <c r="F15" s="3505" t="s">
        <v>2471</v>
      </c>
      <c r="G15" s="3505" t="s">
        <v>3782</v>
      </c>
      <c r="H15" s="3505" t="s">
        <v>3675</v>
      </c>
      <c r="I15" s="3505" t="s">
        <v>3789</v>
      </c>
      <c r="J15" s="3505" t="s">
        <v>3689</v>
      </c>
      <c r="K15" s="3505" t="s">
        <v>3788</v>
      </c>
      <c r="L15" s="3505" t="s">
        <v>3687</v>
      </c>
      <c r="M15" s="3505">
        <v>2975.88</v>
      </c>
      <c r="N15" s="3505">
        <v>97.83</v>
      </c>
      <c r="O15" s="3505">
        <v>587</v>
      </c>
      <c r="P15" s="3505" t="s">
        <v>3787</v>
      </c>
    </row>
    <row r="16" spans="1:16">
      <c r="A16" s="3505" t="s">
        <v>3530</v>
      </c>
      <c r="B16" s="3505" t="s">
        <v>3786</v>
      </c>
      <c r="C16" s="3505" t="s">
        <v>3531</v>
      </c>
      <c r="D16" s="3505">
        <v>52522.559999999998</v>
      </c>
      <c r="E16" s="3505">
        <v>78783.839999999997</v>
      </c>
      <c r="F16" s="3505" t="s">
        <v>2471</v>
      </c>
      <c r="G16" s="3505" t="s">
        <v>3785</v>
      </c>
      <c r="H16" s="3505" t="s">
        <v>3675</v>
      </c>
      <c r="I16" s="3505" t="s">
        <v>3700</v>
      </c>
      <c r="J16" s="3505" t="s">
        <v>3689</v>
      </c>
      <c r="K16" s="3505" t="s">
        <v>3784</v>
      </c>
      <c r="L16" s="3505" t="s">
        <v>3687</v>
      </c>
      <c r="M16" s="3505">
        <v>9585.85</v>
      </c>
      <c r="N16" s="3505">
        <v>121.67</v>
      </c>
      <c r="O16" s="3505">
        <v>1217</v>
      </c>
      <c r="P16" s="3505" t="s">
        <v>3783</v>
      </c>
    </row>
    <row r="17" spans="1:16">
      <c r="A17" s="3505" t="s">
        <v>3534</v>
      </c>
      <c r="B17" s="3505" t="s">
        <v>3692</v>
      </c>
      <c r="C17" s="3505" t="s">
        <v>3535</v>
      </c>
      <c r="D17" s="3505">
        <v>20292</v>
      </c>
      <c r="E17" s="3505">
        <v>40584</v>
      </c>
      <c r="F17" s="3505" t="s">
        <v>2471</v>
      </c>
      <c r="G17" s="3505" t="s">
        <v>3782</v>
      </c>
      <c r="H17" s="3505" t="s">
        <v>3675</v>
      </c>
      <c r="I17" s="3505" t="s">
        <v>3781</v>
      </c>
      <c r="J17" s="3505" t="s">
        <v>3689</v>
      </c>
      <c r="K17" s="3505" t="s">
        <v>3780</v>
      </c>
      <c r="L17" s="3505" t="s">
        <v>3687</v>
      </c>
      <c r="M17" s="3505">
        <v>2317.35</v>
      </c>
      <c r="N17" s="3505">
        <v>76.13</v>
      </c>
      <c r="O17" s="3505">
        <v>571</v>
      </c>
      <c r="P17" s="3505" t="s">
        <v>3779</v>
      </c>
    </row>
    <row r="18" spans="1:16">
      <c r="A18" s="3505" t="s">
        <v>3538</v>
      </c>
      <c r="B18" s="3505" t="s">
        <v>3692</v>
      </c>
      <c r="C18" s="3505" t="s">
        <v>3539</v>
      </c>
      <c r="D18" s="3505">
        <v>24855</v>
      </c>
      <c r="E18" s="3505">
        <v>37282.5</v>
      </c>
      <c r="F18" s="3505" t="s">
        <v>2471</v>
      </c>
      <c r="G18" s="3505" t="s">
        <v>3</v>
      </c>
      <c r="H18" s="3505" t="s">
        <v>3675</v>
      </c>
      <c r="I18" s="3505" t="s">
        <v>3725</v>
      </c>
      <c r="J18" s="3505" t="s">
        <v>3689</v>
      </c>
      <c r="K18" s="3505" t="s">
        <v>3777</v>
      </c>
      <c r="L18" s="3505" t="s">
        <v>3687</v>
      </c>
      <c r="M18" s="3505">
        <v>2128.83</v>
      </c>
      <c r="N18" s="3505">
        <v>57.1</v>
      </c>
      <c r="O18" s="3505">
        <v>571</v>
      </c>
      <c r="P18" s="3505" t="s">
        <v>3778</v>
      </c>
    </row>
    <row r="19" spans="1:16">
      <c r="A19" s="3505" t="s">
        <v>3541</v>
      </c>
      <c r="B19" s="3505" t="s">
        <v>3692</v>
      </c>
      <c r="C19" s="3505" t="s">
        <v>3542</v>
      </c>
      <c r="D19" s="3505">
        <v>25945.1</v>
      </c>
      <c r="E19" s="3505">
        <v>38917.65</v>
      </c>
      <c r="F19" s="3505" t="s">
        <v>2471</v>
      </c>
      <c r="G19" s="3505" t="s">
        <v>3</v>
      </c>
      <c r="H19" s="3505" t="s">
        <v>3675</v>
      </c>
      <c r="I19" s="3505" t="s">
        <v>3700</v>
      </c>
      <c r="J19" s="3505" t="s">
        <v>3689</v>
      </c>
      <c r="K19" s="3505" t="s">
        <v>3777</v>
      </c>
      <c r="L19" s="3505" t="s">
        <v>3687</v>
      </c>
      <c r="M19" s="3505">
        <v>2222.1999999999998</v>
      </c>
      <c r="N19" s="3505">
        <v>57.1</v>
      </c>
      <c r="O19" s="3505">
        <v>571</v>
      </c>
      <c r="P19" s="3505" t="s">
        <v>3776</v>
      </c>
    </row>
    <row r="20" spans="1:16">
      <c r="A20" s="3505" t="s">
        <v>3544</v>
      </c>
      <c r="B20" s="3505" t="s">
        <v>3692</v>
      </c>
      <c r="C20" s="3505" t="s">
        <v>3545</v>
      </c>
      <c r="D20" s="3505">
        <v>22492.5</v>
      </c>
      <c r="E20" s="3505">
        <v>33738.75</v>
      </c>
      <c r="F20" s="3505" t="s">
        <v>2471</v>
      </c>
      <c r="G20" s="3505" t="s">
        <v>3</v>
      </c>
      <c r="H20" s="3505" t="s">
        <v>3675</v>
      </c>
      <c r="I20" s="3505" t="s">
        <v>3725</v>
      </c>
      <c r="J20" s="3505" t="s">
        <v>3689</v>
      </c>
      <c r="K20" s="3505" t="s">
        <v>3775</v>
      </c>
      <c r="L20" s="3505" t="s">
        <v>3687</v>
      </c>
      <c r="M20" s="3505">
        <v>1926.48</v>
      </c>
      <c r="N20" s="3505">
        <v>57.1</v>
      </c>
      <c r="O20" s="3505">
        <v>571</v>
      </c>
      <c r="P20" s="3505" t="s">
        <v>3774</v>
      </c>
    </row>
    <row r="21" spans="1:16">
      <c r="A21" s="3505" t="s">
        <v>3547</v>
      </c>
      <c r="B21" s="3505" t="s">
        <v>3722</v>
      </c>
      <c r="C21" s="3505" t="s">
        <v>3548</v>
      </c>
      <c r="D21" s="3505">
        <v>37965.22</v>
      </c>
      <c r="E21" s="3505">
        <v>75930.44</v>
      </c>
      <c r="F21" s="3505" t="s">
        <v>2471</v>
      </c>
      <c r="G21" s="3505" t="s">
        <v>3</v>
      </c>
      <c r="H21" s="3505" t="s">
        <v>3675</v>
      </c>
      <c r="I21" s="3505" t="s">
        <v>3695</v>
      </c>
      <c r="J21" s="3505" t="s">
        <v>3689</v>
      </c>
      <c r="K21" s="3505" t="s">
        <v>3773</v>
      </c>
      <c r="L21" s="3505" t="s">
        <v>3687</v>
      </c>
      <c r="M21" s="3505">
        <v>4457.12</v>
      </c>
      <c r="N21" s="3505">
        <v>78.27</v>
      </c>
      <c r="O21" s="3505">
        <v>587</v>
      </c>
      <c r="P21" s="3505" t="s">
        <v>3772</v>
      </c>
    </row>
    <row r="22" spans="1:16">
      <c r="A22" s="3505" t="s">
        <v>3550</v>
      </c>
      <c r="B22" s="3505" t="s">
        <v>3771</v>
      </c>
      <c r="C22" s="3505" t="s">
        <v>3551</v>
      </c>
      <c r="D22" s="3505">
        <v>6837.8</v>
      </c>
      <c r="E22" s="3505">
        <v>5470.24</v>
      </c>
      <c r="F22" s="3505" t="s">
        <v>2471</v>
      </c>
      <c r="G22" s="3505" t="s">
        <v>3770</v>
      </c>
      <c r="H22" s="3505" t="s">
        <v>3675</v>
      </c>
      <c r="I22" s="3505" t="s">
        <v>3769</v>
      </c>
      <c r="J22" s="3505" t="s">
        <v>3689</v>
      </c>
      <c r="K22" s="3505" t="s">
        <v>3768</v>
      </c>
      <c r="L22" s="3505" t="s">
        <v>3687</v>
      </c>
      <c r="M22" s="3505">
        <v>496.42</v>
      </c>
      <c r="N22" s="3505">
        <v>48.4</v>
      </c>
      <c r="O22" s="3505">
        <v>907</v>
      </c>
      <c r="P22" s="3505" t="s">
        <v>3767</v>
      </c>
    </row>
    <row r="23" spans="1:16">
      <c r="A23" s="3505" t="s">
        <v>3554</v>
      </c>
      <c r="B23" s="3505" t="s">
        <v>3692</v>
      </c>
      <c r="C23" s="3505" t="s">
        <v>3555</v>
      </c>
      <c r="D23" s="3505">
        <v>420642.53</v>
      </c>
      <c r="E23" s="3505">
        <v>841285.06</v>
      </c>
      <c r="F23" s="3505" t="s">
        <v>2471</v>
      </c>
      <c r="G23" s="3505" t="s">
        <v>2471</v>
      </c>
      <c r="H23" s="3505" t="s">
        <v>3675</v>
      </c>
      <c r="I23" s="3505" t="s">
        <v>3766</v>
      </c>
      <c r="J23" s="3505" t="s">
        <v>3689</v>
      </c>
      <c r="K23" s="3505" t="s">
        <v>3765</v>
      </c>
      <c r="L23" s="3505" t="s">
        <v>3687</v>
      </c>
      <c r="M23" s="3505">
        <v>49383.43</v>
      </c>
      <c r="N23" s="3505">
        <v>78.27</v>
      </c>
      <c r="O23" s="3505">
        <v>587</v>
      </c>
      <c r="P23" s="3505" t="s">
        <v>3764</v>
      </c>
    </row>
    <row r="24" spans="1:16">
      <c r="A24" s="3505" t="s">
        <v>3558</v>
      </c>
      <c r="B24" s="3505" t="s">
        <v>3759</v>
      </c>
      <c r="C24" s="3505" t="s">
        <v>3559</v>
      </c>
      <c r="D24" s="3505">
        <v>15343</v>
      </c>
      <c r="E24" s="3505">
        <v>36000</v>
      </c>
      <c r="F24" s="3505" t="s">
        <v>2471</v>
      </c>
      <c r="G24" s="3505" t="s">
        <v>3763</v>
      </c>
      <c r="H24" s="3505" t="s">
        <v>3675</v>
      </c>
      <c r="I24" s="3505" t="s">
        <v>3762</v>
      </c>
      <c r="J24" s="3505" t="s">
        <v>3689</v>
      </c>
      <c r="K24" s="3505" t="s">
        <v>3756</v>
      </c>
      <c r="L24" s="3505" t="s">
        <v>3687</v>
      </c>
      <c r="M24" s="3505">
        <v>11401.2</v>
      </c>
      <c r="N24" s="3505">
        <v>495.39</v>
      </c>
      <c r="O24" s="3505">
        <v>3167</v>
      </c>
      <c r="P24" s="3505" t="s">
        <v>3761</v>
      </c>
    </row>
    <row r="25" spans="1:16">
      <c r="A25" s="3505" t="s">
        <v>3563</v>
      </c>
      <c r="B25" s="3505" t="s">
        <v>3759</v>
      </c>
      <c r="C25" s="3505" t="s">
        <v>3564</v>
      </c>
      <c r="D25" s="3505">
        <v>21884.6</v>
      </c>
      <c r="E25" s="3505">
        <v>32826.9</v>
      </c>
      <c r="F25" s="3505" t="s">
        <v>2471</v>
      </c>
      <c r="G25" s="3505" t="s">
        <v>3754</v>
      </c>
      <c r="H25" s="3505" t="s">
        <v>3675</v>
      </c>
      <c r="I25" s="3505" t="s">
        <v>3760</v>
      </c>
      <c r="J25" s="3505" t="s">
        <v>3689</v>
      </c>
      <c r="K25" s="3505" t="s">
        <v>3756</v>
      </c>
      <c r="L25" s="3505" t="s">
        <v>3687</v>
      </c>
      <c r="M25" s="3505">
        <v>3308.95</v>
      </c>
      <c r="N25" s="3505">
        <v>100.8</v>
      </c>
      <c r="O25" s="3505">
        <v>1008</v>
      </c>
      <c r="P25" s="3505" t="s">
        <v>3755</v>
      </c>
    </row>
    <row r="26" spans="1:16">
      <c r="A26" s="3505" t="s">
        <v>3567</v>
      </c>
      <c r="B26" s="3505" t="s">
        <v>3759</v>
      </c>
      <c r="C26" s="3505" t="s">
        <v>3568</v>
      </c>
      <c r="D26" s="3505">
        <v>3658.3</v>
      </c>
      <c r="E26" s="3505">
        <v>3900</v>
      </c>
      <c r="F26" s="3505" t="s">
        <v>2471</v>
      </c>
      <c r="G26" s="3505" t="s">
        <v>3754</v>
      </c>
      <c r="H26" s="3505" t="s">
        <v>3758</v>
      </c>
      <c r="I26" s="3505" t="s">
        <v>3757</v>
      </c>
      <c r="J26" s="3505" t="s">
        <v>3689</v>
      </c>
      <c r="K26" s="3505" t="s">
        <v>3756</v>
      </c>
      <c r="L26" s="3505" t="s">
        <v>3687</v>
      </c>
      <c r="M26" s="3505">
        <v>368.94</v>
      </c>
      <c r="N26" s="3505">
        <v>67.23</v>
      </c>
      <c r="O26" s="3505">
        <v>946</v>
      </c>
      <c r="P26" s="3505" t="s">
        <v>3755</v>
      </c>
    </row>
    <row r="27" spans="1:16">
      <c r="A27" s="3505" t="s">
        <v>3570</v>
      </c>
      <c r="B27" s="3505" t="s">
        <v>3692</v>
      </c>
      <c r="C27" s="3505" t="s">
        <v>3571</v>
      </c>
      <c r="D27" s="3505">
        <v>25334.799999999999</v>
      </c>
      <c r="E27" s="3505">
        <v>38002.199999999997</v>
      </c>
      <c r="F27" s="3505" t="s">
        <v>2471</v>
      </c>
      <c r="G27" s="3505" t="s">
        <v>3754</v>
      </c>
      <c r="H27" s="3505" t="s">
        <v>3675</v>
      </c>
      <c r="I27" s="3505" t="s">
        <v>3700</v>
      </c>
      <c r="J27" s="3505" t="s">
        <v>3689</v>
      </c>
      <c r="K27" s="3505" t="s">
        <v>3753</v>
      </c>
      <c r="L27" s="3505" t="s">
        <v>3687</v>
      </c>
      <c r="M27" s="3505">
        <v>2169.9299999999998</v>
      </c>
      <c r="N27" s="3505">
        <v>57.1</v>
      </c>
      <c r="O27" s="3505">
        <v>571</v>
      </c>
      <c r="P27" s="3505" t="s">
        <v>3752</v>
      </c>
    </row>
    <row r="28" spans="1:16">
      <c r="A28" s="3505" t="s">
        <v>3573</v>
      </c>
      <c r="B28" s="3505" t="s">
        <v>3734</v>
      </c>
      <c r="C28" s="3505" t="s">
        <v>3574</v>
      </c>
      <c r="D28" s="3505">
        <v>52790.03</v>
      </c>
      <c r="E28" s="3505">
        <v>79185.05</v>
      </c>
      <c r="F28" s="3505" t="s">
        <v>2471</v>
      </c>
      <c r="G28" s="3505" t="s">
        <v>2471</v>
      </c>
      <c r="H28" s="3505" t="s">
        <v>3675</v>
      </c>
      <c r="I28" s="3505" t="s">
        <v>3725</v>
      </c>
      <c r="J28" s="3505" t="s">
        <v>3689</v>
      </c>
      <c r="K28" s="3505" t="s">
        <v>3751</v>
      </c>
      <c r="L28" s="3505" t="s">
        <v>3687</v>
      </c>
      <c r="M28" s="3505">
        <v>9429.41</v>
      </c>
      <c r="N28" s="3505">
        <v>119.08</v>
      </c>
      <c r="O28" s="3505">
        <v>1191</v>
      </c>
      <c r="P28" s="3505" t="s">
        <v>3750</v>
      </c>
    </row>
    <row r="29" spans="1:16">
      <c r="A29" s="3505" t="s">
        <v>3576</v>
      </c>
      <c r="B29" s="3505" t="s">
        <v>3749</v>
      </c>
      <c r="C29" s="3505" t="s">
        <v>3577</v>
      </c>
      <c r="D29" s="3505">
        <v>19670.8</v>
      </c>
      <c r="E29" s="3505">
        <v>29506.2</v>
      </c>
      <c r="F29" s="3505" t="s">
        <v>2471</v>
      </c>
      <c r="G29" s="3505" t="s">
        <v>3737</v>
      </c>
      <c r="H29" s="3505" t="s">
        <v>3675</v>
      </c>
      <c r="I29" s="3505" t="s">
        <v>3700</v>
      </c>
      <c r="J29" s="3505" t="s">
        <v>3689</v>
      </c>
      <c r="K29" s="3505" t="s">
        <v>3747</v>
      </c>
      <c r="L29" s="3505" t="s">
        <v>3687</v>
      </c>
      <c r="M29" s="3505">
        <v>1684.8</v>
      </c>
      <c r="N29" s="3505">
        <v>57.1</v>
      </c>
      <c r="O29" s="3505">
        <v>571</v>
      </c>
      <c r="P29" s="3505" t="s">
        <v>3748</v>
      </c>
    </row>
    <row r="30" spans="1:16">
      <c r="A30" s="3505" t="s">
        <v>3580</v>
      </c>
      <c r="B30" s="3505" t="s">
        <v>3722</v>
      </c>
      <c r="C30" s="3505" t="s">
        <v>3581</v>
      </c>
      <c r="D30" s="3505">
        <v>24526.2</v>
      </c>
      <c r="E30" s="3505">
        <v>49052.4</v>
      </c>
      <c r="F30" s="3505" t="s">
        <v>2471</v>
      </c>
      <c r="G30" s="3505" t="s">
        <v>3737</v>
      </c>
      <c r="H30" s="3505" t="s">
        <v>3675</v>
      </c>
      <c r="I30" s="3505" t="s">
        <v>3695</v>
      </c>
      <c r="J30" s="3505" t="s">
        <v>3689</v>
      </c>
      <c r="K30" s="3505" t="s">
        <v>3747</v>
      </c>
      <c r="L30" s="3505" t="s">
        <v>3687</v>
      </c>
      <c r="M30" s="3505">
        <v>2800.89</v>
      </c>
      <c r="N30" s="3505">
        <v>76.13</v>
      </c>
      <c r="O30" s="3505">
        <v>571</v>
      </c>
      <c r="P30" s="3505" t="s">
        <v>3746</v>
      </c>
    </row>
    <row r="31" spans="1:16">
      <c r="A31" s="3505" t="s">
        <v>3583</v>
      </c>
      <c r="B31" s="3505" t="s">
        <v>3743</v>
      </c>
      <c r="C31" s="3505" t="s">
        <v>3584</v>
      </c>
      <c r="D31" s="3505">
        <v>26316.6</v>
      </c>
      <c r="E31" s="3505">
        <v>30264.09</v>
      </c>
      <c r="F31" s="3505" t="s">
        <v>2471</v>
      </c>
      <c r="G31" s="3505" t="s">
        <v>3737</v>
      </c>
      <c r="H31" s="3505" t="s">
        <v>3675</v>
      </c>
      <c r="I31" s="3505" t="s">
        <v>3745</v>
      </c>
      <c r="J31" s="3505" t="s">
        <v>3689</v>
      </c>
      <c r="K31" s="3505" t="s">
        <v>3741</v>
      </c>
      <c r="L31" s="3505" t="s">
        <v>3687</v>
      </c>
      <c r="M31" s="3505">
        <v>1973.22</v>
      </c>
      <c r="N31" s="3505">
        <v>49.99</v>
      </c>
      <c r="O31" s="3505">
        <v>652</v>
      </c>
      <c r="P31" s="3505" t="s">
        <v>3744</v>
      </c>
    </row>
    <row r="32" spans="1:16">
      <c r="A32" s="3505" t="s">
        <v>3587</v>
      </c>
      <c r="B32" s="3505" t="s">
        <v>3743</v>
      </c>
      <c r="C32" s="3505" t="s">
        <v>3588</v>
      </c>
      <c r="D32" s="3505">
        <v>10526.1</v>
      </c>
      <c r="E32" s="3505">
        <v>12631.32</v>
      </c>
      <c r="F32" s="3505" t="s">
        <v>2471</v>
      </c>
      <c r="G32" s="3505" t="s">
        <v>3737</v>
      </c>
      <c r="H32" s="3505" t="s">
        <v>3675</v>
      </c>
      <c r="I32" s="3505" t="s">
        <v>3742</v>
      </c>
      <c r="J32" s="3505" t="s">
        <v>3689</v>
      </c>
      <c r="K32" s="3505" t="s">
        <v>3741</v>
      </c>
      <c r="L32" s="3505" t="s">
        <v>3687</v>
      </c>
      <c r="M32" s="3505">
        <v>823.56</v>
      </c>
      <c r="N32" s="3505">
        <v>52.16</v>
      </c>
      <c r="O32" s="3505">
        <v>652</v>
      </c>
      <c r="P32" s="3505" t="s">
        <v>3740</v>
      </c>
    </row>
    <row r="33" spans="1:16">
      <c r="A33" s="3505" t="s">
        <v>3590</v>
      </c>
      <c r="B33" s="3505" t="s">
        <v>3722</v>
      </c>
      <c r="C33" s="3505" t="s">
        <v>3591</v>
      </c>
      <c r="D33" s="3505">
        <v>15975.8</v>
      </c>
      <c r="E33" s="3505">
        <v>23963.7</v>
      </c>
      <c r="F33" s="3505" t="s">
        <v>2471</v>
      </c>
      <c r="G33" s="3505" t="s">
        <v>3737</v>
      </c>
      <c r="H33" s="3505" t="s">
        <v>3675</v>
      </c>
      <c r="I33" s="3505" t="s">
        <v>3725</v>
      </c>
      <c r="J33" s="3505" t="s">
        <v>3689</v>
      </c>
      <c r="K33" s="3505" t="s">
        <v>3736</v>
      </c>
      <c r="L33" s="3505" t="s">
        <v>3687</v>
      </c>
      <c r="M33" s="3505">
        <v>1368.33</v>
      </c>
      <c r="N33" s="3505">
        <v>57.1</v>
      </c>
      <c r="O33" s="3505">
        <v>571</v>
      </c>
      <c r="P33" s="3505" t="s">
        <v>3739</v>
      </c>
    </row>
    <row r="34" spans="1:16">
      <c r="A34" s="3505" t="s">
        <v>3593</v>
      </c>
      <c r="B34" s="3505" t="s">
        <v>3738</v>
      </c>
      <c r="C34" s="3505" t="s">
        <v>3594</v>
      </c>
      <c r="D34" s="3505">
        <v>7506.5</v>
      </c>
      <c r="E34" s="3505">
        <v>11259.75</v>
      </c>
      <c r="F34" s="3505" t="s">
        <v>2471</v>
      </c>
      <c r="G34" s="3505" t="s">
        <v>3737</v>
      </c>
      <c r="H34" s="3505" t="s">
        <v>3675</v>
      </c>
      <c r="I34" s="3505" t="s">
        <v>3725</v>
      </c>
      <c r="J34" s="3505" t="s">
        <v>3689</v>
      </c>
      <c r="K34" s="3505" t="s">
        <v>3736</v>
      </c>
      <c r="L34" s="3505" t="s">
        <v>3687</v>
      </c>
      <c r="M34" s="3505">
        <v>1134.98</v>
      </c>
      <c r="N34" s="3505">
        <v>100.8</v>
      </c>
      <c r="O34" s="3505">
        <v>1008</v>
      </c>
      <c r="P34" s="3505" t="s">
        <v>3735</v>
      </c>
    </row>
    <row r="35" spans="1:16">
      <c r="A35" s="3505" t="s">
        <v>3596</v>
      </c>
      <c r="B35" s="3505" t="s">
        <v>3734</v>
      </c>
      <c r="C35" s="3505" t="s">
        <v>3597</v>
      </c>
      <c r="D35" s="3505">
        <v>20000</v>
      </c>
      <c r="E35" s="3505">
        <v>20000</v>
      </c>
      <c r="F35" s="3505" t="s">
        <v>2471</v>
      </c>
      <c r="G35" s="3505" t="s">
        <v>2471</v>
      </c>
      <c r="H35" s="3505" t="s">
        <v>3675</v>
      </c>
      <c r="I35" s="3505" t="s">
        <v>3733</v>
      </c>
      <c r="J35" s="3505" t="s">
        <v>3689</v>
      </c>
      <c r="K35" s="3505" t="s">
        <v>3732</v>
      </c>
      <c r="L35" s="3505" t="s">
        <v>3687</v>
      </c>
      <c r="M35" s="3505">
        <v>2284.42</v>
      </c>
      <c r="N35" s="3505">
        <v>76.150000000000006</v>
      </c>
      <c r="O35" s="3505">
        <v>1142</v>
      </c>
      <c r="P35" s="3505" t="s">
        <v>3731</v>
      </c>
    </row>
    <row r="36" spans="1:16">
      <c r="A36" s="3505" t="s">
        <v>3600</v>
      </c>
      <c r="B36" s="3505" t="s">
        <v>3722</v>
      </c>
      <c r="C36" s="3505" t="s">
        <v>3601</v>
      </c>
      <c r="D36" s="3505">
        <v>113291.7</v>
      </c>
      <c r="E36" s="3505">
        <v>113291.7</v>
      </c>
      <c r="F36" s="3505" t="s">
        <v>2471</v>
      </c>
      <c r="G36" s="3505" t="s">
        <v>3721</v>
      </c>
      <c r="H36" s="3505" t="s">
        <v>3675</v>
      </c>
      <c r="I36" s="3505" t="s">
        <v>3730</v>
      </c>
      <c r="J36" s="3505" t="s">
        <v>3689</v>
      </c>
      <c r="K36" s="3505" t="s">
        <v>3727</v>
      </c>
      <c r="L36" s="3505" t="s">
        <v>3687</v>
      </c>
      <c r="M36" s="3505">
        <v>6650.22</v>
      </c>
      <c r="N36" s="3505">
        <v>39.130000000000003</v>
      </c>
      <c r="O36" s="3505">
        <v>587</v>
      </c>
      <c r="P36" s="3505" t="s">
        <v>3729</v>
      </c>
    </row>
    <row r="37" spans="1:16">
      <c r="A37" s="3505" t="s">
        <v>3604</v>
      </c>
      <c r="B37" s="3505" t="s">
        <v>3692</v>
      </c>
      <c r="C37" s="3505" t="s">
        <v>3605</v>
      </c>
      <c r="D37" s="3505">
        <v>30589.9</v>
      </c>
      <c r="E37" s="3505">
        <v>45884.85</v>
      </c>
      <c r="F37" s="3505" t="s">
        <v>2471</v>
      </c>
      <c r="G37" s="3505" t="s">
        <v>3728</v>
      </c>
      <c r="H37" s="3505" t="s">
        <v>3675</v>
      </c>
      <c r="I37" s="3505" t="s">
        <v>3725</v>
      </c>
      <c r="J37" s="3505" t="s">
        <v>3689</v>
      </c>
      <c r="K37" s="3505" t="s">
        <v>3727</v>
      </c>
      <c r="L37" s="3505" t="s">
        <v>3687</v>
      </c>
      <c r="M37" s="3505">
        <v>2620.02</v>
      </c>
      <c r="N37" s="3505">
        <v>57.1</v>
      </c>
      <c r="O37" s="3505">
        <v>571</v>
      </c>
      <c r="P37" s="3505" t="s">
        <v>3726</v>
      </c>
    </row>
    <row r="38" spans="1:16">
      <c r="A38" s="3505" t="s">
        <v>3608</v>
      </c>
      <c r="B38" s="3505" t="s">
        <v>3710</v>
      </c>
      <c r="C38" s="3505" t="s">
        <v>3609</v>
      </c>
      <c r="D38" s="3505">
        <v>54995.519999999997</v>
      </c>
      <c r="E38" s="3505">
        <v>82493.289999999994</v>
      </c>
      <c r="F38" s="3505" t="s">
        <v>2471</v>
      </c>
      <c r="G38" s="3505" t="s">
        <v>3701</v>
      </c>
      <c r="H38" s="3505" t="s">
        <v>3675</v>
      </c>
      <c r="I38" s="3505" t="s">
        <v>3725</v>
      </c>
      <c r="J38" s="3505" t="s">
        <v>3689</v>
      </c>
      <c r="K38" s="3505" t="s">
        <v>3724</v>
      </c>
      <c r="L38" s="3505" t="s">
        <v>3687</v>
      </c>
      <c r="M38" s="3505">
        <v>8783.01</v>
      </c>
      <c r="N38" s="3505">
        <v>106.47</v>
      </c>
      <c r="O38" s="3505">
        <v>1065</v>
      </c>
      <c r="P38" s="3505" t="s">
        <v>3723</v>
      </c>
    </row>
    <row r="39" spans="1:16">
      <c r="A39" s="3505" t="s">
        <v>3612</v>
      </c>
      <c r="B39" s="3505" t="s">
        <v>3722</v>
      </c>
      <c r="C39" s="3505" t="s">
        <v>3612</v>
      </c>
      <c r="D39" s="3505">
        <v>103092.9</v>
      </c>
      <c r="E39" s="3505">
        <v>175257.93</v>
      </c>
      <c r="F39" s="3505" t="s">
        <v>2471</v>
      </c>
      <c r="G39" s="3505" t="s">
        <v>3721</v>
      </c>
      <c r="H39" s="3505" t="s">
        <v>3675</v>
      </c>
      <c r="I39" s="3505" t="s">
        <v>3720</v>
      </c>
      <c r="J39" s="3505" t="s">
        <v>3689</v>
      </c>
      <c r="K39" s="3505" t="s">
        <v>3719</v>
      </c>
      <c r="L39" s="3505" t="s">
        <v>3687</v>
      </c>
      <c r="M39" s="3505">
        <v>10287.64</v>
      </c>
      <c r="N39" s="3505">
        <v>66.53</v>
      </c>
      <c r="O39" s="3505">
        <v>587</v>
      </c>
      <c r="P39" s="3505" t="s">
        <v>3718</v>
      </c>
    </row>
    <row r="40" spans="1:16">
      <c r="A40" s="3505" t="s">
        <v>3615</v>
      </c>
      <c r="B40" s="3505" t="s">
        <v>3692</v>
      </c>
      <c r="C40" s="3505" t="s">
        <v>3616</v>
      </c>
      <c r="D40" s="3505">
        <v>21090.2</v>
      </c>
      <c r="E40" s="3505">
        <v>22144.7</v>
      </c>
      <c r="F40" s="3505" t="s">
        <v>2471</v>
      </c>
      <c r="G40" s="3505" t="s">
        <v>3717</v>
      </c>
      <c r="H40" s="3505" t="s">
        <v>3675</v>
      </c>
      <c r="I40" s="3505" t="s">
        <v>3716</v>
      </c>
      <c r="J40" s="3505" t="s">
        <v>3689</v>
      </c>
      <c r="K40" s="3505" t="s">
        <v>3712</v>
      </c>
      <c r="L40" s="3505" t="s">
        <v>3687</v>
      </c>
      <c r="M40" s="3505">
        <v>2163.09</v>
      </c>
      <c r="N40" s="3505">
        <v>68.38</v>
      </c>
      <c r="O40" s="3505">
        <v>977</v>
      </c>
      <c r="P40" s="3505" t="s">
        <v>3715</v>
      </c>
    </row>
    <row r="41" spans="1:16">
      <c r="A41" s="3505" t="s">
        <v>3619</v>
      </c>
      <c r="B41" s="3505" t="s">
        <v>3692</v>
      </c>
      <c r="C41" s="3505" t="s">
        <v>3620</v>
      </c>
      <c r="D41" s="3505">
        <v>718046.1</v>
      </c>
      <c r="E41" s="3505">
        <v>646241.49</v>
      </c>
      <c r="F41" s="3505" t="s">
        <v>2471</v>
      </c>
      <c r="G41" s="3505" t="s">
        <v>2471</v>
      </c>
      <c r="H41" s="3505" t="s">
        <v>3714</v>
      </c>
      <c r="I41" s="3505" t="s">
        <v>3713</v>
      </c>
      <c r="J41" s="3505" t="s">
        <v>3689</v>
      </c>
      <c r="K41" s="3505" t="s">
        <v>3712</v>
      </c>
      <c r="L41" s="3505" t="s">
        <v>3687</v>
      </c>
      <c r="M41" s="3505">
        <v>61033.919999999998</v>
      </c>
      <c r="N41" s="3505">
        <v>56.67</v>
      </c>
      <c r="O41" s="3505">
        <v>944</v>
      </c>
      <c r="P41" s="3505" t="s">
        <v>3711</v>
      </c>
    </row>
    <row r="42" spans="1:16">
      <c r="A42" s="3505" t="s">
        <v>3622</v>
      </c>
      <c r="B42" s="3505" t="s">
        <v>3710</v>
      </c>
      <c r="C42" s="3505" t="s">
        <v>3623</v>
      </c>
      <c r="D42" s="3505">
        <v>54214.080000000002</v>
      </c>
      <c r="E42" s="3505">
        <v>108428.16</v>
      </c>
      <c r="F42" s="3505" t="s">
        <v>2471</v>
      </c>
      <c r="G42" s="3505" t="s">
        <v>3701</v>
      </c>
      <c r="H42" s="3505" t="s">
        <v>3675</v>
      </c>
      <c r="I42" s="3505" t="s">
        <v>3695</v>
      </c>
      <c r="J42" s="3505" t="s">
        <v>3689</v>
      </c>
      <c r="K42" s="3505" t="s">
        <v>3709</v>
      </c>
      <c r="L42" s="3505" t="s">
        <v>3687</v>
      </c>
      <c r="M42" s="3505">
        <v>8793.52</v>
      </c>
      <c r="N42" s="3505">
        <v>108.13</v>
      </c>
      <c r="O42" s="3505">
        <v>811</v>
      </c>
      <c r="P42" s="3505" t="s">
        <v>3708</v>
      </c>
    </row>
    <row r="43" spans="1:16">
      <c r="A43" s="3505" t="s">
        <v>3625</v>
      </c>
      <c r="B43" s="3505" t="s">
        <v>3707</v>
      </c>
      <c r="C43" s="3505" t="s">
        <v>3626</v>
      </c>
      <c r="D43" s="3505">
        <v>76366.38</v>
      </c>
      <c r="E43" s="3505">
        <v>114549.57</v>
      </c>
      <c r="F43" s="3505" t="s">
        <v>2471</v>
      </c>
      <c r="G43" s="3505" t="s">
        <v>2471</v>
      </c>
      <c r="H43" s="3505" t="s">
        <v>3675</v>
      </c>
      <c r="I43" s="3505" t="s">
        <v>3700</v>
      </c>
      <c r="J43" s="3505" t="s">
        <v>3689</v>
      </c>
      <c r="K43" s="3505" t="s">
        <v>3706</v>
      </c>
      <c r="L43" s="3505" t="s">
        <v>3687</v>
      </c>
      <c r="M43" s="3505">
        <v>11431.52</v>
      </c>
      <c r="N43" s="3505">
        <v>99.8</v>
      </c>
      <c r="O43" s="3505">
        <v>998</v>
      </c>
      <c r="P43" s="3505" t="s">
        <v>3705</v>
      </c>
    </row>
    <row r="44" spans="1:16">
      <c r="A44" s="3505" t="s">
        <v>3628</v>
      </c>
      <c r="B44" s="3505" t="s">
        <v>3692</v>
      </c>
      <c r="C44" s="3505" t="s">
        <v>3629</v>
      </c>
      <c r="D44" s="3505">
        <v>40148.6</v>
      </c>
      <c r="E44" s="3505">
        <v>60222.9</v>
      </c>
      <c r="F44" s="3505" t="s">
        <v>2471</v>
      </c>
      <c r="G44" s="3505" t="s">
        <v>3</v>
      </c>
      <c r="H44" s="3505" t="s">
        <v>3675</v>
      </c>
      <c r="I44" s="3505" t="s">
        <v>3700</v>
      </c>
      <c r="J44" s="3505" t="s">
        <v>3689</v>
      </c>
      <c r="K44" s="3505" t="s">
        <v>3704</v>
      </c>
      <c r="L44" s="3505" t="s">
        <v>3687</v>
      </c>
      <c r="M44" s="3505">
        <v>3438.73</v>
      </c>
      <c r="N44" s="3505">
        <v>57.1</v>
      </c>
      <c r="O44" s="3505">
        <v>571</v>
      </c>
      <c r="P44" s="3505" t="s">
        <v>3703</v>
      </c>
    </row>
    <row r="45" spans="1:16">
      <c r="A45" s="3505" t="s">
        <v>3631</v>
      </c>
      <c r="B45" s="3505" t="s">
        <v>3702</v>
      </c>
      <c r="C45" s="3505" t="s">
        <v>3632</v>
      </c>
      <c r="D45" s="3505">
        <v>49662.400000000001</v>
      </c>
      <c r="E45" s="3505">
        <v>74493.600000000006</v>
      </c>
      <c r="F45" s="3505" t="s">
        <v>2471</v>
      </c>
      <c r="G45" s="3505" t="s">
        <v>3701</v>
      </c>
      <c r="H45" s="3505">
        <v>20</v>
      </c>
      <c r="I45" s="3505" t="s">
        <v>3700</v>
      </c>
      <c r="J45" s="3505" t="s">
        <v>3689</v>
      </c>
      <c r="K45" s="3505" t="s">
        <v>3699</v>
      </c>
      <c r="L45" s="3505" t="s">
        <v>3687</v>
      </c>
      <c r="M45" s="3505">
        <v>7665.39</v>
      </c>
      <c r="N45" s="3505">
        <v>102.9</v>
      </c>
      <c r="O45" s="3505">
        <v>1029</v>
      </c>
      <c r="P45" s="3505" t="s">
        <v>3698</v>
      </c>
    </row>
    <row r="46" spans="1:16">
      <c r="A46" s="3505" t="s">
        <v>3634</v>
      </c>
      <c r="B46" s="3505" t="s">
        <v>3697</v>
      </c>
      <c r="C46" s="3505" t="s">
        <v>3635</v>
      </c>
      <c r="D46" s="3505">
        <v>19333.34</v>
      </c>
      <c r="E46" s="3505">
        <v>38666.69</v>
      </c>
      <c r="F46" s="3505" t="s">
        <v>2471</v>
      </c>
      <c r="G46" s="3505" t="s">
        <v>3696</v>
      </c>
      <c r="H46" s="3505">
        <v>20</v>
      </c>
      <c r="I46" s="3505" t="s">
        <v>3695</v>
      </c>
      <c r="J46" s="3505" t="s">
        <v>3689</v>
      </c>
      <c r="K46" s="3505" t="s">
        <v>3694</v>
      </c>
      <c r="L46" s="3505" t="s">
        <v>3687</v>
      </c>
      <c r="M46" s="3505">
        <v>3477.1</v>
      </c>
      <c r="N46" s="3505">
        <v>119.9</v>
      </c>
      <c r="O46" s="3505">
        <v>899</v>
      </c>
      <c r="P46" s="3505" t="s">
        <v>3693</v>
      </c>
    </row>
    <row r="47" spans="1:16">
      <c r="A47" s="3505" t="s">
        <v>3638</v>
      </c>
      <c r="B47" s="3505" t="s">
        <v>3692</v>
      </c>
      <c r="C47" s="3505" t="s">
        <v>3639</v>
      </c>
      <c r="D47" s="3505">
        <v>95015.4</v>
      </c>
      <c r="E47" s="3505">
        <v>180529.26</v>
      </c>
      <c r="F47" s="3505" t="s">
        <v>2471</v>
      </c>
      <c r="G47" s="3505" t="s">
        <v>3691</v>
      </c>
      <c r="H47" s="3505">
        <v>20</v>
      </c>
      <c r="I47" s="3505" t="s">
        <v>3690</v>
      </c>
      <c r="J47" s="3505" t="s">
        <v>3689</v>
      </c>
      <c r="K47" s="3505" t="s">
        <v>3688</v>
      </c>
      <c r="L47" s="3505" t="s">
        <v>3687</v>
      </c>
      <c r="M47" s="3505">
        <v>10308.219999999999</v>
      </c>
      <c r="N47" s="3505">
        <v>72.33</v>
      </c>
      <c r="O47" s="3505">
        <v>571</v>
      </c>
      <c r="P47" s="3505" t="s">
        <v>3686</v>
      </c>
    </row>
  </sheetData>
  <mergeCells count="752">
    <mergeCell ref="P47"/>
    <mergeCell ref="M47"/>
    <mergeCell ref="N47"/>
    <mergeCell ref="O47"/>
    <mergeCell ref="A46"/>
    <mergeCell ref="B46"/>
    <mergeCell ref="C46"/>
    <mergeCell ref="D46"/>
    <mergeCell ref="E46"/>
    <mergeCell ref="F46"/>
    <mergeCell ref="G46"/>
    <mergeCell ref="G47"/>
    <mergeCell ref="H47"/>
    <mergeCell ref="I47"/>
    <mergeCell ref="J47"/>
    <mergeCell ref="K47"/>
    <mergeCell ref="L47"/>
    <mergeCell ref="A47"/>
    <mergeCell ref="B47"/>
    <mergeCell ref="C47"/>
    <mergeCell ref="D47"/>
    <mergeCell ref="E47"/>
    <mergeCell ref="F47"/>
    <mergeCell ref="J46"/>
    <mergeCell ref="A45"/>
    <mergeCell ref="B45"/>
    <mergeCell ref="C45"/>
    <mergeCell ref="D45"/>
    <mergeCell ref="E45"/>
    <mergeCell ref="F45"/>
    <mergeCell ref="G45"/>
    <mergeCell ref="L46"/>
    <mergeCell ref="P46"/>
    <mergeCell ref="M46"/>
    <mergeCell ref="N46"/>
    <mergeCell ref="O46"/>
    <mergeCell ref="M45"/>
    <mergeCell ref="N45"/>
    <mergeCell ref="O45"/>
    <mergeCell ref="K46"/>
    <mergeCell ref="H45"/>
    <mergeCell ref="I45"/>
    <mergeCell ref="J45"/>
    <mergeCell ref="K45"/>
    <mergeCell ref="L45"/>
    <mergeCell ref="P45"/>
    <mergeCell ref="H46"/>
    <mergeCell ref="I46"/>
    <mergeCell ref="N44"/>
    <mergeCell ref="J44"/>
    <mergeCell ref="K44"/>
    <mergeCell ref="L44"/>
    <mergeCell ref="J43"/>
    <mergeCell ref="K43"/>
    <mergeCell ref="L43"/>
    <mergeCell ref="P43"/>
    <mergeCell ref="M43"/>
    <mergeCell ref="N43"/>
    <mergeCell ref="P44"/>
    <mergeCell ref="M44"/>
    <mergeCell ref="O43"/>
    <mergeCell ref="O44"/>
    <mergeCell ref="H43"/>
    <mergeCell ref="I44"/>
    <mergeCell ref="A44"/>
    <mergeCell ref="B44"/>
    <mergeCell ref="C44"/>
    <mergeCell ref="D44"/>
    <mergeCell ref="E44"/>
    <mergeCell ref="F44"/>
    <mergeCell ref="G44"/>
    <mergeCell ref="H44"/>
    <mergeCell ref="I42"/>
    <mergeCell ref="J42"/>
    <mergeCell ref="K42"/>
    <mergeCell ref="L42"/>
    <mergeCell ref="P42"/>
    <mergeCell ref="M42"/>
    <mergeCell ref="I43"/>
    <mergeCell ref="A42"/>
    <mergeCell ref="B42"/>
    <mergeCell ref="C42"/>
    <mergeCell ref="D42"/>
    <mergeCell ref="E42"/>
    <mergeCell ref="F42"/>
    <mergeCell ref="G42"/>
    <mergeCell ref="H42"/>
    <mergeCell ref="N42"/>
    <mergeCell ref="O42"/>
    <mergeCell ref="A43"/>
    <mergeCell ref="B43"/>
    <mergeCell ref="C43"/>
    <mergeCell ref="D43"/>
    <mergeCell ref="E43"/>
    <mergeCell ref="F43"/>
    <mergeCell ref="G43"/>
    <mergeCell ref="J40"/>
    <mergeCell ref="K40"/>
    <mergeCell ref="L40"/>
    <mergeCell ref="P40"/>
    <mergeCell ref="M40"/>
    <mergeCell ref="N40"/>
    <mergeCell ref="O40"/>
    <mergeCell ref="P41"/>
    <mergeCell ref="M41"/>
    <mergeCell ref="N41"/>
    <mergeCell ref="O41"/>
    <mergeCell ref="J41"/>
    <mergeCell ref="K41"/>
    <mergeCell ref="L41"/>
    <mergeCell ref="A41"/>
    <mergeCell ref="B41"/>
    <mergeCell ref="C41"/>
    <mergeCell ref="D41"/>
    <mergeCell ref="E41"/>
    <mergeCell ref="F41"/>
    <mergeCell ref="G41"/>
    <mergeCell ref="H41"/>
    <mergeCell ref="I41"/>
    <mergeCell ref="A40"/>
    <mergeCell ref="B40"/>
    <mergeCell ref="C40"/>
    <mergeCell ref="D40"/>
    <mergeCell ref="E40"/>
    <mergeCell ref="F40"/>
    <mergeCell ref="G40"/>
    <mergeCell ref="H40"/>
    <mergeCell ref="I40"/>
    <mergeCell ref="A39"/>
    <mergeCell ref="B39"/>
    <mergeCell ref="C39"/>
    <mergeCell ref="D39"/>
    <mergeCell ref="E39"/>
    <mergeCell ref="F39"/>
    <mergeCell ref="G39"/>
    <mergeCell ref="H39"/>
    <mergeCell ref="I39"/>
    <mergeCell ref="O39"/>
    <mergeCell ref="J37"/>
    <mergeCell ref="K37"/>
    <mergeCell ref="L37"/>
    <mergeCell ref="P37"/>
    <mergeCell ref="M37"/>
    <mergeCell ref="N37"/>
    <mergeCell ref="O37"/>
    <mergeCell ref="J39"/>
    <mergeCell ref="K39"/>
    <mergeCell ref="L39"/>
    <mergeCell ref="P39"/>
    <mergeCell ref="M39"/>
    <mergeCell ref="N39"/>
    <mergeCell ref="P38"/>
    <mergeCell ref="M38"/>
    <mergeCell ref="N38"/>
    <mergeCell ref="O38"/>
    <mergeCell ref="A37"/>
    <mergeCell ref="B37"/>
    <mergeCell ref="C37"/>
    <mergeCell ref="D37"/>
    <mergeCell ref="E37"/>
    <mergeCell ref="F37"/>
    <mergeCell ref="G38"/>
    <mergeCell ref="H38"/>
    <mergeCell ref="I38"/>
    <mergeCell ref="J38"/>
    <mergeCell ref="K38"/>
    <mergeCell ref="L38"/>
    <mergeCell ref="A38"/>
    <mergeCell ref="B38"/>
    <mergeCell ref="C38"/>
    <mergeCell ref="D38"/>
    <mergeCell ref="E38"/>
    <mergeCell ref="F38"/>
    <mergeCell ref="G37"/>
    <mergeCell ref="H37"/>
    <mergeCell ref="I37"/>
    <mergeCell ref="A36"/>
    <mergeCell ref="B36"/>
    <mergeCell ref="C36"/>
    <mergeCell ref="D36"/>
    <mergeCell ref="E36"/>
    <mergeCell ref="F36"/>
    <mergeCell ref="N35"/>
    <mergeCell ref="J35"/>
    <mergeCell ref="K35"/>
    <mergeCell ref="L35"/>
    <mergeCell ref="G36"/>
    <mergeCell ref="H36"/>
    <mergeCell ref="I36"/>
    <mergeCell ref="J36"/>
    <mergeCell ref="K36"/>
    <mergeCell ref="L36"/>
    <mergeCell ref="P36"/>
    <mergeCell ref="M36"/>
    <mergeCell ref="N36"/>
    <mergeCell ref="O36"/>
    <mergeCell ref="G34"/>
    <mergeCell ref="H35"/>
    <mergeCell ref="I35"/>
    <mergeCell ref="A35"/>
    <mergeCell ref="B35"/>
    <mergeCell ref="C35"/>
    <mergeCell ref="D35"/>
    <mergeCell ref="E35"/>
    <mergeCell ref="F35"/>
    <mergeCell ref="G35"/>
    <mergeCell ref="J34"/>
    <mergeCell ref="K34"/>
    <mergeCell ref="L34"/>
    <mergeCell ref="P34"/>
    <mergeCell ref="M34"/>
    <mergeCell ref="P35"/>
    <mergeCell ref="N34"/>
    <mergeCell ref="O34"/>
    <mergeCell ref="O35"/>
    <mergeCell ref="M35"/>
    <mergeCell ref="H33"/>
    <mergeCell ref="I33"/>
    <mergeCell ref="J33"/>
    <mergeCell ref="K33"/>
    <mergeCell ref="L33"/>
    <mergeCell ref="P33"/>
    <mergeCell ref="H34"/>
    <mergeCell ref="I34"/>
    <mergeCell ref="A33"/>
    <mergeCell ref="B33"/>
    <mergeCell ref="C33"/>
    <mergeCell ref="D33"/>
    <mergeCell ref="E33"/>
    <mergeCell ref="F33"/>
    <mergeCell ref="G33"/>
    <mergeCell ref="M33"/>
    <mergeCell ref="N33"/>
    <mergeCell ref="O33"/>
    <mergeCell ref="A34"/>
    <mergeCell ref="B34"/>
    <mergeCell ref="C34"/>
    <mergeCell ref="D34"/>
    <mergeCell ref="E34"/>
    <mergeCell ref="F34"/>
    <mergeCell ref="N32"/>
    <mergeCell ref="J32"/>
    <mergeCell ref="K32"/>
    <mergeCell ref="L32"/>
    <mergeCell ref="J31"/>
    <mergeCell ref="K31"/>
    <mergeCell ref="L31"/>
    <mergeCell ref="P31"/>
    <mergeCell ref="M31"/>
    <mergeCell ref="N31"/>
    <mergeCell ref="P32"/>
    <mergeCell ref="M32"/>
    <mergeCell ref="O31"/>
    <mergeCell ref="O32"/>
    <mergeCell ref="H31"/>
    <mergeCell ref="I32"/>
    <mergeCell ref="A32"/>
    <mergeCell ref="B32"/>
    <mergeCell ref="C32"/>
    <mergeCell ref="D32"/>
    <mergeCell ref="E32"/>
    <mergeCell ref="F32"/>
    <mergeCell ref="G32"/>
    <mergeCell ref="H32"/>
    <mergeCell ref="I30"/>
    <mergeCell ref="J30"/>
    <mergeCell ref="K30"/>
    <mergeCell ref="L30"/>
    <mergeCell ref="P30"/>
    <mergeCell ref="M30"/>
    <mergeCell ref="I31"/>
    <mergeCell ref="A30"/>
    <mergeCell ref="B30"/>
    <mergeCell ref="C30"/>
    <mergeCell ref="D30"/>
    <mergeCell ref="E30"/>
    <mergeCell ref="F30"/>
    <mergeCell ref="G30"/>
    <mergeCell ref="H30"/>
    <mergeCell ref="N30"/>
    <mergeCell ref="O30"/>
    <mergeCell ref="A31"/>
    <mergeCell ref="B31"/>
    <mergeCell ref="C31"/>
    <mergeCell ref="D31"/>
    <mergeCell ref="E31"/>
    <mergeCell ref="F31"/>
    <mergeCell ref="G31"/>
    <mergeCell ref="J28"/>
    <mergeCell ref="K28"/>
    <mergeCell ref="L28"/>
    <mergeCell ref="P28"/>
    <mergeCell ref="M28"/>
    <mergeCell ref="N28"/>
    <mergeCell ref="O28"/>
    <mergeCell ref="P29"/>
    <mergeCell ref="M29"/>
    <mergeCell ref="N29"/>
    <mergeCell ref="O29"/>
    <mergeCell ref="J29"/>
    <mergeCell ref="K29"/>
    <mergeCell ref="L29"/>
    <mergeCell ref="A29"/>
    <mergeCell ref="B29"/>
    <mergeCell ref="C29"/>
    <mergeCell ref="D29"/>
    <mergeCell ref="E29"/>
    <mergeCell ref="F29"/>
    <mergeCell ref="G29"/>
    <mergeCell ref="H29"/>
    <mergeCell ref="I29"/>
    <mergeCell ref="A28"/>
    <mergeCell ref="B28"/>
    <mergeCell ref="C28"/>
    <mergeCell ref="D28"/>
    <mergeCell ref="E28"/>
    <mergeCell ref="F28"/>
    <mergeCell ref="G28"/>
    <mergeCell ref="H28"/>
    <mergeCell ref="I28"/>
    <mergeCell ref="A27"/>
    <mergeCell ref="B27"/>
    <mergeCell ref="C27"/>
    <mergeCell ref="D27"/>
    <mergeCell ref="E27"/>
    <mergeCell ref="F27"/>
    <mergeCell ref="G27"/>
    <mergeCell ref="H27"/>
    <mergeCell ref="I27"/>
    <mergeCell ref="O27"/>
    <mergeCell ref="J25"/>
    <mergeCell ref="K25"/>
    <mergeCell ref="L25"/>
    <mergeCell ref="P25"/>
    <mergeCell ref="M25"/>
    <mergeCell ref="N25"/>
    <mergeCell ref="O25"/>
    <mergeCell ref="J27"/>
    <mergeCell ref="K27"/>
    <mergeCell ref="L27"/>
    <mergeCell ref="P27"/>
    <mergeCell ref="M27"/>
    <mergeCell ref="N27"/>
    <mergeCell ref="P26"/>
    <mergeCell ref="M26"/>
    <mergeCell ref="N26"/>
    <mergeCell ref="O26"/>
    <mergeCell ref="A25"/>
    <mergeCell ref="B25"/>
    <mergeCell ref="C25"/>
    <mergeCell ref="D25"/>
    <mergeCell ref="E25"/>
    <mergeCell ref="F25"/>
    <mergeCell ref="G26"/>
    <mergeCell ref="H26"/>
    <mergeCell ref="I26"/>
    <mergeCell ref="J26"/>
    <mergeCell ref="K26"/>
    <mergeCell ref="L26"/>
    <mergeCell ref="A26"/>
    <mergeCell ref="B26"/>
    <mergeCell ref="C26"/>
    <mergeCell ref="D26"/>
    <mergeCell ref="E26"/>
    <mergeCell ref="F26"/>
    <mergeCell ref="G25"/>
    <mergeCell ref="H25"/>
    <mergeCell ref="I25"/>
    <mergeCell ref="A24"/>
    <mergeCell ref="B24"/>
    <mergeCell ref="C24"/>
    <mergeCell ref="D24"/>
    <mergeCell ref="E24"/>
    <mergeCell ref="F24"/>
    <mergeCell ref="N23"/>
    <mergeCell ref="J23"/>
    <mergeCell ref="K23"/>
    <mergeCell ref="L23"/>
    <mergeCell ref="G24"/>
    <mergeCell ref="H24"/>
    <mergeCell ref="I24"/>
    <mergeCell ref="J24"/>
    <mergeCell ref="K24"/>
    <mergeCell ref="L24"/>
    <mergeCell ref="P24"/>
    <mergeCell ref="M24"/>
    <mergeCell ref="N24"/>
    <mergeCell ref="O24"/>
    <mergeCell ref="G22"/>
    <mergeCell ref="H23"/>
    <mergeCell ref="I23"/>
    <mergeCell ref="A23"/>
    <mergeCell ref="B23"/>
    <mergeCell ref="C23"/>
    <mergeCell ref="D23"/>
    <mergeCell ref="E23"/>
    <mergeCell ref="F23"/>
    <mergeCell ref="G23"/>
    <mergeCell ref="J22"/>
    <mergeCell ref="K22"/>
    <mergeCell ref="L22"/>
    <mergeCell ref="P22"/>
    <mergeCell ref="M22"/>
    <mergeCell ref="P23"/>
    <mergeCell ref="N22"/>
    <mergeCell ref="O22"/>
    <mergeCell ref="O23"/>
    <mergeCell ref="M23"/>
    <mergeCell ref="H21"/>
    <mergeCell ref="I21"/>
    <mergeCell ref="J21"/>
    <mergeCell ref="K21"/>
    <mergeCell ref="L21"/>
    <mergeCell ref="P21"/>
    <mergeCell ref="H22"/>
    <mergeCell ref="I22"/>
    <mergeCell ref="A21"/>
    <mergeCell ref="B21"/>
    <mergeCell ref="C21"/>
    <mergeCell ref="D21"/>
    <mergeCell ref="E21"/>
    <mergeCell ref="F21"/>
    <mergeCell ref="G21"/>
    <mergeCell ref="M21"/>
    <mergeCell ref="N21"/>
    <mergeCell ref="O21"/>
    <mergeCell ref="A22"/>
    <mergeCell ref="B22"/>
    <mergeCell ref="C22"/>
    <mergeCell ref="D22"/>
    <mergeCell ref="E22"/>
    <mergeCell ref="F22"/>
    <mergeCell ref="N20"/>
    <mergeCell ref="J20"/>
    <mergeCell ref="K20"/>
    <mergeCell ref="L20"/>
    <mergeCell ref="J19"/>
    <mergeCell ref="K19"/>
    <mergeCell ref="L19"/>
    <mergeCell ref="P19"/>
    <mergeCell ref="M19"/>
    <mergeCell ref="N19"/>
    <mergeCell ref="P20"/>
    <mergeCell ref="M20"/>
    <mergeCell ref="O19"/>
    <mergeCell ref="O20"/>
    <mergeCell ref="H19"/>
    <mergeCell ref="I20"/>
    <mergeCell ref="A20"/>
    <mergeCell ref="B20"/>
    <mergeCell ref="C20"/>
    <mergeCell ref="D20"/>
    <mergeCell ref="E20"/>
    <mergeCell ref="F20"/>
    <mergeCell ref="G20"/>
    <mergeCell ref="H20"/>
    <mergeCell ref="I18"/>
    <mergeCell ref="J18"/>
    <mergeCell ref="K18"/>
    <mergeCell ref="L18"/>
    <mergeCell ref="P18"/>
    <mergeCell ref="M18"/>
    <mergeCell ref="I19"/>
    <mergeCell ref="A18"/>
    <mergeCell ref="B18"/>
    <mergeCell ref="C18"/>
    <mergeCell ref="D18"/>
    <mergeCell ref="E18"/>
    <mergeCell ref="F18"/>
    <mergeCell ref="G18"/>
    <mergeCell ref="H18"/>
    <mergeCell ref="N18"/>
    <mergeCell ref="O18"/>
    <mergeCell ref="A19"/>
    <mergeCell ref="B19"/>
    <mergeCell ref="C19"/>
    <mergeCell ref="D19"/>
    <mergeCell ref="E19"/>
    <mergeCell ref="F19"/>
    <mergeCell ref="G19"/>
    <mergeCell ref="J16"/>
    <mergeCell ref="K16"/>
    <mergeCell ref="L16"/>
    <mergeCell ref="P16"/>
    <mergeCell ref="M16"/>
    <mergeCell ref="N16"/>
    <mergeCell ref="O16"/>
    <mergeCell ref="P17"/>
    <mergeCell ref="M17"/>
    <mergeCell ref="N17"/>
    <mergeCell ref="O17"/>
    <mergeCell ref="J17"/>
    <mergeCell ref="K17"/>
    <mergeCell ref="L17"/>
    <mergeCell ref="A17"/>
    <mergeCell ref="B17"/>
    <mergeCell ref="C17"/>
    <mergeCell ref="D17"/>
    <mergeCell ref="E17"/>
    <mergeCell ref="F17"/>
    <mergeCell ref="G17"/>
    <mergeCell ref="H17"/>
    <mergeCell ref="I17"/>
    <mergeCell ref="A16"/>
    <mergeCell ref="B16"/>
    <mergeCell ref="C16"/>
    <mergeCell ref="D16"/>
    <mergeCell ref="E16"/>
    <mergeCell ref="F16"/>
    <mergeCell ref="G16"/>
    <mergeCell ref="H16"/>
    <mergeCell ref="I16"/>
    <mergeCell ref="A15"/>
    <mergeCell ref="B15"/>
    <mergeCell ref="C15"/>
    <mergeCell ref="D15"/>
    <mergeCell ref="E15"/>
    <mergeCell ref="F15"/>
    <mergeCell ref="G15"/>
    <mergeCell ref="H15"/>
    <mergeCell ref="I15"/>
    <mergeCell ref="O15"/>
    <mergeCell ref="J13"/>
    <mergeCell ref="K13"/>
    <mergeCell ref="L13"/>
    <mergeCell ref="P13"/>
    <mergeCell ref="M13"/>
    <mergeCell ref="N13"/>
    <mergeCell ref="O13"/>
    <mergeCell ref="J15"/>
    <mergeCell ref="K15"/>
    <mergeCell ref="L15"/>
    <mergeCell ref="P15"/>
    <mergeCell ref="M15"/>
    <mergeCell ref="N15"/>
    <mergeCell ref="P14"/>
    <mergeCell ref="M14"/>
    <mergeCell ref="N14"/>
    <mergeCell ref="O14"/>
    <mergeCell ref="A13"/>
    <mergeCell ref="B13"/>
    <mergeCell ref="C13"/>
    <mergeCell ref="D13"/>
    <mergeCell ref="E13"/>
    <mergeCell ref="F13"/>
    <mergeCell ref="G14"/>
    <mergeCell ref="H14"/>
    <mergeCell ref="I14"/>
    <mergeCell ref="J14"/>
    <mergeCell ref="K14"/>
    <mergeCell ref="L14"/>
    <mergeCell ref="A14"/>
    <mergeCell ref="B14"/>
    <mergeCell ref="C14"/>
    <mergeCell ref="D14"/>
    <mergeCell ref="E14"/>
    <mergeCell ref="F14"/>
    <mergeCell ref="G13"/>
    <mergeCell ref="H13"/>
    <mergeCell ref="I13"/>
    <mergeCell ref="A12"/>
    <mergeCell ref="B12"/>
    <mergeCell ref="C12"/>
    <mergeCell ref="D12"/>
    <mergeCell ref="E12"/>
    <mergeCell ref="F12"/>
    <mergeCell ref="N11"/>
    <mergeCell ref="J11"/>
    <mergeCell ref="K11"/>
    <mergeCell ref="L11"/>
    <mergeCell ref="G12"/>
    <mergeCell ref="H12"/>
    <mergeCell ref="I12"/>
    <mergeCell ref="J12"/>
    <mergeCell ref="K12"/>
    <mergeCell ref="L12"/>
    <mergeCell ref="P12"/>
    <mergeCell ref="M12"/>
    <mergeCell ref="N12"/>
    <mergeCell ref="O12"/>
    <mergeCell ref="G10"/>
    <mergeCell ref="H11"/>
    <mergeCell ref="I11"/>
    <mergeCell ref="A11"/>
    <mergeCell ref="B11"/>
    <mergeCell ref="C11"/>
    <mergeCell ref="D11"/>
    <mergeCell ref="E11"/>
    <mergeCell ref="F11"/>
    <mergeCell ref="G11"/>
    <mergeCell ref="J10"/>
    <mergeCell ref="K10"/>
    <mergeCell ref="L10"/>
    <mergeCell ref="P10"/>
    <mergeCell ref="M10"/>
    <mergeCell ref="P11"/>
    <mergeCell ref="N10"/>
    <mergeCell ref="O10"/>
    <mergeCell ref="O11"/>
    <mergeCell ref="M11"/>
    <mergeCell ref="H9"/>
    <mergeCell ref="I9"/>
    <mergeCell ref="J9"/>
    <mergeCell ref="K9"/>
    <mergeCell ref="L9"/>
    <mergeCell ref="P9"/>
    <mergeCell ref="H10"/>
    <mergeCell ref="I10"/>
    <mergeCell ref="A9"/>
    <mergeCell ref="B9"/>
    <mergeCell ref="C9"/>
    <mergeCell ref="D9"/>
    <mergeCell ref="E9"/>
    <mergeCell ref="F9"/>
    <mergeCell ref="G9"/>
    <mergeCell ref="M9"/>
    <mergeCell ref="N9"/>
    <mergeCell ref="O9"/>
    <mergeCell ref="A10"/>
    <mergeCell ref="B10"/>
    <mergeCell ref="C10"/>
    <mergeCell ref="D10"/>
    <mergeCell ref="E10"/>
    <mergeCell ref="F10"/>
    <mergeCell ref="N8"/>
    <mergeCell ref="J8"/>
    <mergeCell ref="K8"/>
    <mergeCell ref="L8"/>
    <mergeCell ref="J7"/>
    <mergeCell ref="K7"/>
    <mergeCell ref="L7"/>
    <mergeCell ref="P7"/>
    <mergeCell ref="M7"/>
    <mergeCell ref="N7"/>
    <mergeCell ref="P8"/>
    <mergeCell ref="M8"/>
    <mergeCell ref="O7"/>
    <mergeCell ref="O8"/>
    <mergeCell ref="H7"/>
    <mergeCell ref="I8"/>
    <mergeCell ref="A8"/>
    <mergeCell ref="B8"/>
    <mergeCell ref="C8"/>
    <mergeCell ref="D8"/>
    <mergeCell ref="E8"/>
    <mergeCell ref="F8"/>
    <mergeCell ref="G8"/>
    <mergeCell ref="H8"/>
    <mergeCell ref="I6"/>
    <mergeCell ref="J6"/>
    <mergeCell ref="K6"/>
    <mergeCell ref="L6"/>
    <mergeCell ref="P6"/>
    <mergeCell ref="M6"/>
    <mergeCell ref="I7"/>
    <mergeCell ref="A6"/>
    <mergeCell ref="B6"/>
    <mergeCell ref="C6"/>
    <mergeCell ref="D6"/>
    <mergeCell ref="E6"/>
    <mergeCell ref="F6"/>
    <mergeCell ref="G6"/>
    <mergeCell ref="H6"/>
    <mergeCell ref="N6"/>
    <mergeCell ref="O6"/>
    <mergeCell ref="A7"/>
    <mergeCell ref="B7"/>
    <mergeCell ref="C7"/>
    <mergeCell ref="D7"/>
    <mergeCell ref="E7"/>
    <mergeCell ref="F7"/>
    <mergeCell ref="G7"/>
    <mergeCell ref="J4"/>
    <mergeCell ref="K4"/>
    <mergeCell ref="L4"/>
    <mergeCell ref="P4"/>
    <mergeCell ref="M4"/>
    <mergeCell ref="N4"/>
    <mergeCell ref="O4"/>
    <mergeCell ref="P5"/>
    <mergeCell ref="M5"/>
    <mergeCell ref="N5"/>
    <mergeCell ref="O5"/>
    <mergeCell ref="J5"/>
    <mergeCell ref="K5"/>
    <mergeCell ref="L5"/>
    <mergeCell ref="A5"/>
    <mergeCell ref="B5"/>
    <mergeCell ref="C5"/>
    <mergeCell ref="D5"/>
    <mergeCell ref="E5"/>
    <mergeCell ref="F5"/>
    <mergeCell ref="G5"/>
    <mergeCell ref="H5"/>
    <mergeCell ref="I5"/>
    <mergeCell ref="A4"/>
    <mergeCell ref="B4"/>
    <mergeCell ref="C4"/>
    <mergeCell ref="D4"/>
    <mergeCell ref="E4"/>
    <mergeCell ref="F4"/>
    <mergeCell ref="G4"/>
    <mergeCell ref="H4"/>
    <mergeCell ref="I4"/>
    <mergeCell ref="A3"/>
    <mergeCell ref="B3"/>
    <mergeCell ref="C3"/>
    <mergeCell ref="D3"/>
    <mergeCell ref="E3"/>
    <mergeCell ref="F3"/>
    <mergeCell ref="G3"/>
    <mergeCell ref="H3"/>
    <mergeCell ref="I3"/>
    <mergeCell ref="O3"/>
    <mergeCell ref="J1"/>
    <mergeCell ref="K1"/>
    <mergeCell ref="L1"/>
    <mergeCell ref="P1"/>
    <mergeCell ref="M1"/>
    <mergeCell ref="N1"/>
    <mergeCell ref="O1"/>
    <mergeCell ref="J3"/>
    <mergeCell ref="K3"/>
    <mergeCell ref="L3"/>
    <mergeCell ref="P3"/>
    <mergeCell ref="M3"/>
    <mergeCell ref="N3"/>
    <mergeCell ref="P2"/>
    <mergeCell ref="M2"/>
    <mergeCell ref="N2"/>
    <mergeCell ref="O2"/>
    <mergeCell ref="J2"/>
    <mergeCell ref="K2"/>
    <mergeCell ref="L2"/>
    <mergeCell ref="F1"/>
    <mergeCell ref="G2"/>
    <mergeCell ref="H2"/>
    <mergeCell ref="I2"/>
    <mergeCell ref="F2"/>
    <mergeCell ref="G1"/>
    <mergeCell ref="H1"/>
    <mergeCell ref="I1"/>
    <mergeCell ref="A2"/>
    <mergeCell ref="B2"/>
    <mergeCell ref="C2"/>
    <mergeCell ref="D2"/>
    <mergeCell ref="E2"/>
    <mergeCell ref="A1"/>
    <mergeCell ref="B1"/>
    <mergeCell ref="C1"/>
    <mergeCell ref="D1"/>
    <mergeCell ref="E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2082</v>
      </c>
      <c r="C1" s="3509" t="s">
        <v>2083</v>
      </c>
      <c r="D1" s="3510"/>
      <c r="E1" s="3510"/>
      <c r="F1" s="3510"/>
      <c r="G1" s="3510"/>
      <c r="H1" s="3510"/>
      <c r="I1" s="3510"/>
      <c r="J1" s="3510"/>
      <c r="K1" s="3510"/>
      <c r="L1" s="3510"/>
      <c r="M1" s="3510"/>
      <c r="N1" s="3510"/>
      <c r="O1" s="3510"/>
      <c r="P1" s="3510"/>
      <c r="Q1" s="3510"/>
      <c r="R1" s="3510"/>
      <c r="S1" s="3511"/>
      <c r="T1" s="927" t="s">
        <v>2084</v>
      </c>
    </row>
    <row r="2" spans="1:45" s="625" customFormat="1">
      <c r="A2" s="928"/>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2"/>
      <c r="G4" s="1222"/>
      <c r="H4" s="1222"/>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
        <v>2086</v>
      </c>
      <c r="C5" s="938"/>
      <c r="D5" s="939"/>
      <c r="E5" s="939"/>
      <c r="F5" s="1225"/>
      <c r="G5" s="1225"/>
      <c r="H5" s="1225"/>
      <c r="I5" s="1225"/>
      <c r="J5" s="1225"/>
      <c r="K5" s="1225"/>
      <c r="L5" s="1226"/>
      <c r="M5" s="1227"/>
      <c r="N5" s="1227"/>
      <c r="O5" s="1225"/>
      <c r="P5" s="1225"/>
      <c r="Q5" s="1225"/>
      <c r="R5" s="1225"/>
      <c r="S5" s="1228"/>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8" t="s">
        <v>2087</v>
      </c>
      <c r="C7" s="849"/>
      <c r="D7" s="843"/>
      <c r="E7" s="843"/>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t="s">
        <v>2088</v>
      </c>
      <c r="C9" s="849"/>
      <c r="D9" s="843"/>
      <c r="E9" s="843"/>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2089</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7" t="s">
        <v>2090</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2091</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2092</v>
      </c>
      <c r="B17" s="1983"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4" t="s">
        <v>2094</v>
      </c>
      <c r="E19" s="1251"/>
      <c r="F19" s="1251"/>
      <c r="G19" s="1251"/>
      <c r="H19" s="994"/>
      <c r="I19" s="151"/>
      <c r="J19" s="151"/>
      <c r="K19" s="151"/>
      <c r="L19" s="151"/>
      <c r="M19" s="151"/>
      <c r="N19" s="151"/>
      <c r="O19" s="151"/>
      <c r="P19" s="151"/>
      <c r="Q19" s="151"/>
      <c r="R19" s="151"/>
      <c r="S19" s="121"/>
    </row>
    <row r="20" spans="1:45" ht="16.5" thickBot="1">
      <c r="A20" s="632" t="s">
        <v>2095</v>
      </c>
      <c r="B20" s="286" t="e">
        <f ca="1">IF(D20="——",S22,S22-F20)</f>
        <v>#REF!</v>
      </c>
      <c r="C20" s="151"/>
      <c r="D20" s="1985"/>
      <c r="E20" s="1252"/>
      <c r="F20" s="927" t="e">
        <f ca="1">SUMIF(INDIRECT("'"&amp;H20&amp;"'"&amp;"!A:A"),"承租人权益价值",INDIRECT("'"&amp;H20&amp;"'"&amp;"!c:c"))</f>
        <v>#REF!</v>
      </c>
      <c r="G20" s="927" t="s">
        <v>2096</v>
      </c>
      <c r="H20" s="1986"/>
      <c r="I20" s="151"/>
      <c r="J20" s="151"/>
      <c r="K20" s="151"/>
      <c r="L20" s="151"/>
      <c r="M20" s="151"/>
      <c r="N20" s="151"/>
      <c r="O20" s="151"/>
      <c r="P20" s="151"/>
      <c r="Q20" s="151"/>
      <c r="R20" s="151"/>
      <c r="S20" s="121"/>
    </row>
    <row r="21" spans="1:45" ht="15.75">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06" t="s">
        <v>27</v>
      </c>
      <c r="D22" s="3507"/>
      <c r="E22" s="3507"/>
      <c r="F22" s="3507"/>
      <c r="G22" s="3507"/>
      <c r="H22" s="3507"/>
      <c r="I22" s="3507"/>
      <c r="J22" s="3507"/>
      <c r="K22" s="3507"/>
      <c r="L22" s="3507"/>
      <c r="M22" s="3507"/>
      <c r="N22" s="3507"/>
      <c r="O22" s="3507"/>
      <c r="P22" s="3507"/>
      <c r="Q22" s="3508"/>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3" t="s">
        <v>2080</v>
      </c>
      <c r="B1" s="4"/>
      <c r="C1" s="4"/>
      <c r="D1" s="4"/>
      <c r="E1" s="4"/>
      <c r="F1" s="2541"/>
      <c r="G1" s="2541"/>
      <c r="H1" s="2541"/>
      <c r="I1" s="2541"/>
      <c r="J1" s="2541"/>
      <c r="K1" s="2541"/>
      <c r="L1" s="2541"/>
      <c r="M1" s="2541"/>
      <c r="N1" s="2541"/>
      <c r="O1" s="2541"/>
      <c r="P1" s="2541"/>
    </row>
    <row r="2" spans="1:16" ht="15.75">
      <c r="A2" s="1980" t="s">
        <v>2072</v>
      </c>
      <c r="B2" s="2384" t="e">
        <f ca="1">SUMIF(B6:B13,"&lt;&gt;#ref!",B6:B13)</f>
        <v>#DIV/0!</v>
      </c>
      <c r="C2" s="1980" t="s">
        <v>2073</v>
      </c>
      <c r="D2" s="1980" t="s">
        <v>2074</v>
      </c>
      <c r="E2" s="2394">
        <f ca="1">SUMIF(E6:E13,"&lt;&gt;#ref!",E6:E13)</f>
        <v>0</v>
      </c>
      <c r="F2" s="2541"/>
      <c r="G2" s="2541"/>
      <c r="H2" s="2541"/>
      <c r="I2" s="2541"/>
      <c r="J2" s="2541"/>
      <c r="K2" s="2541"/>
      <c r="L2" s="2541"/>
      <c r="M2" s="2541"/>
      <c r="N2" s="2541"/>
      <c r="O2" s="2541"/>
      <c r="P2" s="2541"/>
    </row>
    <row r="3" spans="1:16" ht="15.75">
      <c r="A3" s="1980" t="s">
        <v>2075</v>
      </c>
      <c r="B3" s="2384" t="e">
        <f ca="1">ROUND(B2*10000/E2,0)</f>
        <v>#DIV/0!</v>
      </c>
      <c r="C3" s="1980" t="s">
        <v>2081</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2076</v>
      </c>
      <c r="B5" s="2392" t="s">
        <v>2077</v>
      </c>
      <c r="C5" s="1981"/>
      <c r="D5" s="2541"/>
      <c r="E5" s="2393" t="s">
        <v>2078</v>
      </c>
      <c r="F5" s="2541"/>
      <c r="G5" s="2541"/>
      <c r="H5" s="2541"/>
      <c r="I5" s="2541"/>
      <c r="J5" s="2541"/>
      <c r="K5" s="2541"/>
      <c r="L5" s="2541"/>
      <c r="M5" s="2541"/>
      <c r="N5" s="2541"/>
      <c r="O5" s="2541"/>
      <c r="P5" s="2541"/>
    </row>
    <row r="6" spans="1:16" ht="15.75">
      <c r="A6" s="2391" t="s">
        <v>2079</v>
      </c>
      <c r="B6" s="2384" t="e">
        <f ca="1">SUMIF(INDIRECT("'"&amp;A6&amp;"'"&amp;"!A:A"),"总价",INDIRECT("'"&amp;A6&amp;"'"&amp;"!B:B"))</f>
        <v>#DIV/0!</v>
      </c>
      <c r="C6" s="1980" t="s">
        <v>2073</v>
      </c>
      <c r="D6" s="2541"/>
      <c r="E6" s="2394">
        <f ca="1">SUMIF(INDIRECT("'"&amp;A6&amp;"'"&amp;"!C:C"),"建筑面积",INDIRECT("'"&amp;A6&amp;"'"&amp;"!D:D"))</f>
        <v>0</v>
      </c>
      <c r="F6" s="2541"/>
      <c r="G6" s="2541"/>
      <c r="H6" s="2541"/>
      <c r="I6" s="2541"/>
      <c r="J6" s="2541"/>
      <c r="K6" s="2541"/>
      <c r="L6" s="2541"/>
      <c r="M6" s="2541"/>
      <c r="N6" s="2541"/>
      <c r="O6" s="2541"/>
      <c r="P6" s="2541"/>
    </row>
    <row r="7" spans="1:16" ht="15.75">
      <c r="A7" s="2391"/>
      <c r="B7" s="2384" t="e">
        <f ca="1">SUMIF(INDIRECT("'"&amp;A7&amp;"'"&amp;"!A:A"),"总价",INDIRECT("'"&amp;A7&amp;"'"&amp;"!B:B"))</f>
        <v>#REF!</v>
      </c>
      <c r="C7" s="1980" t="s">
        <v>2073</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0" t="s">
        <v>2073</v>
      </c>
      <c r="D8" s="2541"/>
      <c r="E8" s="2394" t="e">
        <f t="shared" ca="1" si="0"/>
        <v>#REF!</v>
      </c>
      <c r="F8" s="2541"/>
      <c r="G8" s="2541"/>
      <c r="H8" s="2541"/>
      <c r="I8" s="2541"/>
      <c r="J8" s="2541"/>
      <c r="K8" s="2541"/>
      <c r="L8" s="2541"/>
      <c r="M8" s="2541"/>
      <c r="N8" s="2541"/>
      <c r="O8" s="2541"/>
      <c r="P8" s="2541"/>
    </row>
    <row r="9" spans="1:16" ht="15.75">
      <c r="A9" s="2391"/>
      <c r="B9" s="2384" t="e">
        <f t="shared" ca="1" si="1"/>
        <v>#REF!</v>
      </c>
      <c r="C9" s="1980" t="s">
        <v>2073</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0" t="s">
        <v>2073</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0" t="s">
        <v>2073</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0" t="s">
        <v>2073</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0" t="s">
        <v>2073</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6" customWidth="1"/>
    <col min="33" max="36" width="9.375" style="1891" customWidth="1"/>
    <col min="37" max="38" width="9.375" style="1841" customWidth="1"/>
    <col min="39" max="16384" width="12" style="1841"/>
  </cols>
  <sheetData>
    <row r="1" spans="1:36" ht="28.5">
      <c r="A1" s="188" t="s">
        <v>1925</v>
      </c>
      <c r="B1" s="189"/>
      <c r="C1" s="193" t="s">
        <v>1926</v>
      </c>
      <c r="D1" s="333">
        <f>SUM(D33:D34,D37:D42)</f>
        <v>0</v>
      </c>
      <c r="E1" s="1838"/>
      <c r="F1" s="1838"/>
      <c r="G1" s="1838"/>
      <c r="H1" s="1838"/>
      <c r="I1" s="1838"/>
      <c r="J1" s="1838"/>
      <c r="K1" s="1054"/>
      <c r="L1" s="1839" t="s">
        <v>1927</v>
      </c>
      <c r="M1" s="808">
        <f>SUMPRODUCT((区片价!B5:B9=I2)*(区片价!C3:G3=E2)*(区片价!C5:G9))</f>
        <v>0</v>
      </c>
      <c r="N1" s="811">
        <f>SUMPRODUCT((因素修正幅度!B5:B9=I2)*(因素修正幅度!C3:G3=E2)*(因素修正幅度!C5:G9))</f>
        <v>0</v>
      </c>
      <c r="O1" s="1840"/>
      <c r="P1" s="1840"/>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75">
      <c r="A2" s="193" t="s">
        <v>1933</v>
      </c>
      <c r="B2" s="196" t="e">
        <f>C30</f>
        <v>#DIV/0!</v>
      </c>
      <c r="C2" s="1842" t="s">
        <v>1934</v>
      </c>
      <c r="D2" s="162" t="s">
        <v>1935</v>
      </c>
      <c r="E2" s="3117"/>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8"/>
      <c r="K2" s="1054"/>
      <c r="L2" s="1843" t="s">
        <v>1938</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0</v>
      </c>
      <c r="T2" s="3060" t="e">
        <f t="shared" ref="T2:T16" si="0">ROUND($C$5*$C$22*$C$23*$C$24*S2*$C$28,0)</f>
        <v>#DIV/0!</v>
      </c>
      <c r="U2" s="1128"/>
      <c r="V2" s="3060" t="e">
        <f>ROUND(T2*U2/10000,0)</f>
        <v>#DIV/0!</v>
      </c>
      <c r="W2" s="1131"/>
      <c r="X2" s="1131"/>
      <c r="Y2" s="1131"/>
      <c r="Z2" s="1131"/>
      <c r="AA2" s="1131"/>
      <c r="AB2" s="1131"/>
      <c r="AC2" s="1132"/>
      <c r="AD2" s="1133"/>
      <c r="AE2" s="1133"/>
      <c r="AF2" s="1133"/>
      <c r="AG2" s="1133"/>
      <c r="AH2" s="1133"/>
      <c r="AI2" s="1133"/>
      <c r="AJ2" s="1134"/>
    </row>
    <row r="3" spans="1:36" ht="15.75">
      <c r="A3" s="195" t="s">
        <v>1939</v>
      </c>
      <c r="B3" s="196" t="e">
        <f>ROUND(B2*10000/D1,0)</f>
        <v>#DIV/0!</v>
      </c>
      <c r="C3" s="1842" t="s">
        <v>1940</v>
      </c>
      <c r="D3" s="162" t="s">
        <v>1941</v>
      </c>
      <c r="E3" s="3115"/>
      <c r="F3" s="1844"/>
      <c r="G3" s="706">
        <f>IF(F3="宗地容积率",'数据-汇总表'!I4,IF(F3="估价对象容积率",'数据-汇总表'!I6,'数据-汇总表'!I7))</f>
        <v>1.43</v>
      </c>
      <c r="H3" s="162" t="s">
        <v>1942</v>
      </c>
      <c r="I3" s="727"/>
      <c r="J3" s="1838" t="s">
        <v>1943</v>
      </c>
      <c r="K3" s="1054"/>
      <c r="L3" s="1843" t="s">
        <v>1944</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0</v>
      </c>
      <c r="T3" s="3060" t="e">
        <f t="shared" si="0"/>
        <v>#DIV/0!</v>
      </c>
      <c r="U3" s="1128"/>
      <c r="V3" s="3060" t="e">
        <f t="shared" ref="V3:V16" si="1">ROUND(T3*U3/10000,0)</f>
        <v>#DIV/0!</v>
      </c>
      <c r="W3" s="1131"/>
      <c r="X3" s="1131"/>
      <c r="Y3" s="1131"/>
      <c r="Z3" s="1131"/>
      <c r="AA3" s="1131"/>
      <c r="AB3" s="1131"/>
      <c r="AC3" s="1132"/>
      <c r="AD3" s="1133"/>
      <c r="AE3" s="1133"/>
      <c r="AF3" s="1133"/>
      <c r="AG3" s="1133"/>
      <c r="AH3" s="1133"/>
      <c r="AI3" s="1133"/>
      <c r="AJ3" s="1134"/>
    </row>
    <row r="4" spans="1:36" ht="15.75">
      <c r="A4" s="3519"/>
      <c r="B4" s="3520"/>
      <c r="C4" s="3520"/>
      <c r="D4" s="3521"/>
      <c r="E4" s="3521"/>
      <c r="F4" s="3521"/>
      <c r="G4" s="3521"/>
      <c r="H4" s="3521"/>
      <c r="I4" s="3521"/>
      <c r="J4" s="3522"/>
      <c r="K4" s="1054"/>
      <c r="L4" s="1843" t="s">
        <v>1945</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0</v>
      </c>
      <c r="T4" s="3060" t="e">
        <f t="shared" si="0"/>
        <v>#DIV/0!</v>
      </c>
      <c r="U4" s="1128"/>
      <c r="V4" s="3060" t="e">
        <f t="shared" si="1"/>
        <v>#DIV/0!</v>
      </c>
      <c r="W4" s="1131"/>
      <c r="X4" s="1131"/>
      <c r="Y4" s="1131"/>
      <c r="Z4" s="1131"/>
      <c r="AA4" s="1131"/>
      <c r="AB4" s="1131"/>
      <c r="AC4" s="1132"/>
      <c r="AD4" s="1133"/>
      <c r="AE4" s="1133"/>
      <c r="AF4" s="1133"/>
      <c r="AG4" s="1133"/>
      <c r="AH4" s="1133"/>
      <c r="AI4" s="1133"/>
      <c r="AJ4" s="1134"/>
    </row>
    <row r="5" spans="1:36" s="1854" customFormat="1" ht="15.75" thickBot="1">
      <c r="A5" s="1845" t="s">
        <v>362</v>
      </c>
      <c r="B5" s="1846" t="s">
        <v>1946</v>
      </c>
      <c r="C5" s="707" t="e">
        <f>ROUND(IF(E2="商业",C6*C7*C17+C20,(IF(E2="住宅",C6*C13*C17+C20,IF(E2="办公",C6*C12*C17+C20,C6+C20)))),0)</f>
        <v>#DIV/0!</v>
      </c>
      <c r="D5" s="1250" t="e">
        <f>ROUND(C6*C17+C20,0)</f>
        <v>#DIV/0!</v>
      </c>
      <c r="E5" s="1250"/>
      <c r="F5" s="1847"/>
      <c r="G5" s="1848"/>
      <c r="H5" s="1848"/>
      <c r="I5" s="1848"/>
      <c r="J5" s="1849"/>
      <c r="K5" s="1850"/>
      <c r="L5" s="1843" t="s">
        <v>1947</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v>
      </c>
      <c r="T5" s="3060" t="e">
        <f t="shared" si="0"/>
        <v>#DIV/0!</v>
      </c>
      <c r="U5" s="1128"/>
      <c r="V5" s="3060" t="e">
        <f t="shared" si="1"/>
        <v>#DIV/0!</v>
      </c>
      <c r="W5" s="1131"/>
      <c r="X5" s="1131"/>
      <c r="Y5" s="1131"/>
      <c r="Z5" s="1131"/>
      <c r="AA5" s="1131"/>
      <c r="AB5" s="1131"/>
      <c r="AC5" s="1851"/>
      <c r="AD5" s="1852"/>
      <c r="AE5" s="1852"/>
      <c r="AF5" s="1852"/>
      <c r="AG5" s="1852"/>
      <c r="AH5" s="1852"/>
      <c r="AI5" s="1852"/>
      <c r="AJ5" s="1853"/>
    </row>
    <row r="6" spans="1:36" ht="15.75" thickBot="1">
      <c r="A6" s="1855" t="s">
        <v>1948</v>
      </c>
      <c r="B6" s="1856" t="s">
        <v>1949</v>
      </c>
      <c r="C6" s="708">
        <f>SUMIF(L1:L12,G2,M1:M12)</f>
        <v>0</v>
      </c>
      <c r="D6" s="1857"/>
      <c r="E6" s="1858"/>
      <c r="F6" s="1858"/>
      <c r="G6" s="1859"/>
      <c r="H6" s="1859"/>
      <c r="I6" s="1859"/>
      <c r="J6" s="1860"/>
      <c r="K6" s="1290"/>
      <c r="L6" s="1843" t="s">
        <v>1950</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v>
      </c>
      <c r="T6" s="3060" t="e">
        <f t="shared" si="0"/>
        <v>#DIV/0!</v>
      </c>
      <c r="U6" s="1128"/>
      <c r="V6" s="3060" t="e">
        <f t="shared" si="1"/>
        <v>#DIV/0!</v>
      </c>
      <c r="W6" s="1131"/>
      <c r="X6" s="1131"/>
      <c r="Y6" s="1131"/>
      <c r="Z6" s="1131"/>
      <c r="AA6" s="1131"/>
      <c r="AB6" s="1131"/>
      <c r="AC6" s="1851"/>
      <c r="AD6" s="1852"/>
      <c r="AE6" s="1852"/>
      <c r="AF6" s="1852"/>
      <c r="AG6" s="1852"/>
      <c r="AH6" s="1852"/>
      <c r="AI6" s="1852"/>
      <c r="AJ6" s="1853"/>
    </row>
    <row r="7" spans="1:36" ht="24.75" thickBot="1">
      <c r="A7" s="3009" t="s">
        <v>3229</v>
      </c>
      <c r="B7" s="1861" t="s">
        <v>1951</v>
      </c>
      <c r="C7" s="709" t="e">
        <f>IF(C8="不临65条商业街",1,ROUND(1+(1.6*E8+1.2*E9+0.8*E10+0.4*E11)*C9,4))</f>
        <v>#DIV/0!</v>
      </c>
      <c r="D7" s="1862" t="s">
        <v>1952</v>
      </c>
      <c r="E7" s="728"/>
      <c r="F7" s="1863"/>
      <c r="G7" s="1864"/>
      <c r="H7" s="1864"/>
      <c r="I7" s="1864"/>
      <c r="J7" s="1865"/>
      <c r="K7" s="1290"/>
      <c r="L7" s="1843" t="s">
        <v>1953</v>
      </c>
      <c r="M7" s="809">
        <f>SUMPRODUCT((区片价!B190:B233=I2)*(区片价!C3:G3=E2)*(区片价!C190:G233))</f>
        <v>0</v>
      </c>
      <c r="N7" s="811">
        <f>SUMPRODUCT((因素修正幅度!B190:B233=I2)*(因素修正幅度!C3:G3=E2)*(因素修正幅度!C190:G233))</f>
        <v>0</v>
      </c>
      <c r="O7" s="1054"/>
      <c r="P7" s="1054"/>
      <c r="Q7" s="1054"/>
      <c r="R7" s="1127">
        <v>6</v>
      </c>
      <c r="S7" s="3114"/>
      <c r="T7" s="3060" t="e">
        <f t="shared" si="0"/>
        <v>#DIV/0!</v>
      </c>
      <c r="U7" s="1128"/>
      <c r="V7" s="3060" t="e">
        <f t="shared" si="1"/>
        <v>#DIV/0!</v>
      </c>
      <c r="W7" s="1265" t="s">
        <v>1954</v>
      </c>
      <c r="X7" s="1129">
        <f>G2</f>
        <v>0</v>
      </c>
      <c r="Y7" s="1129" t="s">
        <v>1955</v>
      </c>
      <c r="Z7" s="1130">
        <f>G3</f>
        <v>1.43</v>
      </c>
      <c r="AA7" s="1131"/>
      <c r="AB7" s="1131"/>
      <c r="AC7" s="1132"/>
      <c r="AD7" s="1133"/>
      <c r="AE7" s="1133"/>
      <c r="AF7" s="1133"/>
      <c r="AG7" s="1133"/>
      <c r="AH7" s="1133"/>
      <c r="AI7" s="1133"/>
      <c r="AJ7" s="1134"/>
    </row>
    <row r="8" spans="1:36" ht="15">
      <c r="A8" s="3006"/>
      <c r="B8" s="162" t="s">
        <v>1956</v>
      </c>
      <c r="C8" s="1866"/>
      <c r="D8" s="710" t="s">
        <v>112</v>
      </c>
      <c r="E8" s="711" t="e">
        <f>ROUND(C11/E7,4)</f>
        <v>#DIV/0!</v>
      </c>
      <c r="F8" s="1867" t="s">
        <v>1957</v>
      </c>
      <c r="G8" s="1868"/>
      <c r="H8" s="1868"/>
      <c r="I8" s="1868"/>
      <c r="J8" s="1869"/>
      <c r="K8" s="1054"/>
      <c r="L8" s="1843" t="s">
        <v>1958</v>
      </c>
      <c r="M8" s="809">
        <f>SUMPRODUCT((区片价!B234:B276=I2)*(区片价!C3:G3=E2)*(区片价!C234:G276))</f>
        <v>0</v>
      </c>
      <c r="N8" s="811">
        <f>SUMPRODUCT((因素修正幅度!B234:B276=I2)*(因素修正幅度!C3:G3=E2)*(因素修正幅度!C234:G276))</f>
        <v>0</v>
      </c>
      <c r="O8" s="1054"/>
      <c r="P8" s="1054"/>
      <c r="Q8" s="1054"/>
      <c r="R8" s="1127">
        <v>7</v>
      </c>
      <c r="S8" s="1128"/>
      <c r="T8" s="3060" t="e">
        <f t="shared" si="0"/>
        <v>#DIV/0!</v>
      </c>
      <c r="U8" s="1128"/>
      <c r="V8" s="3060" t="e">
        <f t="shared" si="1"/>
        <v>#DIV/0!</v>
      </c>
      <c r="W8" s="3516" t="s">
        <v>1959</v>
      </c>
      <c r="X8" s="3517"/>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6"/>
      <c r="B9" s="162" t="s">
        <v>1972</v>
      </c>
      <c r="C9" s="712">
        <f>SUMIF(修正!C71:C138,C8,修正!E71:E138)</f>
        <v>0</v>
      </c>
      <c r="D9" s="163" t="s">
        <v>113</v>
      </c>
      <c r="E9" s="163" t="e">
        <f>ROUND(C11/E7,4)</f>
        <v>#DIV/0!</v>
      </c>
      <c r="F9" s="1867" t="s">
        <v>1973</v>
      </c>
      <c r="G9" s="1868"/>
      <c r="H9" s="1868"/>
      <c r="I9" s="1868"/>
      <c r="J9" s="1869"/>
      <c r="K9" s="1054"/>
      <c r="L9" s="1843" t="s">
        <v>1974</v>
      </c>
      <c r="M9" s="809">
        <f>SUMPRODUCT((区片价!B277:B326=I2)*(区片价!C3:G3=E2)*(区片价!C277:G326))</f>
        <v>0</v>
      </c>
      <c r="N9" s="811">
        <f>SUMPRODUCT((因素修正幅度!B277:B326=I2)*(因素修正幅度!C3:G3=E2)*(因素修正幅度!C277:G326))</f>
        <v>0</v>
      </c>
      <c r="O9" s="1054"/>
      <c r="P9" s="1054"/>
      <c r="Q9" s="1054"/>
      <c r="R9" s="1127">
        <v>8</v>
      </c>
      <c r="S9" s="1128"/>
      <c r="T9" s="3060" t="e">
        <f t="shared" si="0"/>
        <v>#DIV/0!</v>
      </c>
      <c r="U9" s="1128"/>
      <c r="V9" s="3060" t="e">
        <f t="shared" si="1"/>
        <v>#DIV/0!</v>
      </c>
      <c r="W9" s="3518"/>
      <c r="X9" s="3061" t="s">
        <v>3260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1975</v>
      </c>
      <c r="C10" s="163">
        <f>SUMIF(修正!C71:C138,C8,修正!F71:F138)</f>
        <v>0</v>
      </c>
      <c r="D10" s="163" t="s">
        <v>114</v>
      </c>
      <c r="E10" s="163" t="e">
        <f>ROUND(C11/E7,4)</f>
        <v>#DIV/0!</v>
      </c>
      <c r="F10" s="1867" t="s">
        <v>1976</v>
      </c>
      <c r="G10" s="1868"/>
      <c r="H10" s="1868"/>
      <c r="I10" s="1868"/>
      <c r="J10" s="1869"/>
      <c r="K10" s="1054"/>
      <c r="L10" s="1843" t="s">
        <v>1977</v>
      </c>
      <c r="M10" s="809">
        <f>SUMPRODUCT((区片价!B327:B357=I2)*(区片价!C3:G3=E2)*(区片价!C327:G357))</f>
        <v>0</v>
      </c>
      <c r="N10" s="811">
        <f>SUMPRODUCT((因素修正幅度!B327:B357=I2)*(因素修正幅度!C3:G3=E2)*(因素修正幅度!C327:G357))</f>
        <v>0</v>
      </c>
      <c r="O10" s="1054"/>
      <c r="P10" s="1054"/>
      <c r="Q10" s="1054"/>
      <c r="R10" s="1127">
        <v>9</v>
      </c>
      <c r="S10" s="1128"/>
      <c r="T10" s="3060" t="e">
        <f t="shared" si="0"/>
        <v>#DIV/0!</v>
      </c>
      <c r="U10" s="1128"/>
      <c r="V10" s="3060" t="e">
        <f t="shared" si="1"/>
        <v>#DIV/0!</v>
      </c>
      <c r="W10" s="3518"/>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0" t="s">
        <v>1978</v>
      </c>
      <c r="C11" s="713">
        <f>C10/4</f>
        <v>0</v>
      </c>
      <c r="D11" s="713" t="s">
        <v>115</v>
      </c>
      <c r="E11" s="713" t="e">
        <f>ROUND(C11/E7,4)</f>
        <v>#DIV/0!</v>
      </c>
      <c r="F11" s="1871" t="s">
        <v>1979</v>
      </c>
      <c r="G11" s="1872"/>
      <c r="H11" s="1872"/>
      <c r="I11" s="1872"/>
      <c r="J11" s="1873"/>
      <c r="K11" s="1054"/>
      <c r="L11" s="1843" t="s">
        <v>1980</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t="e">
        <f t="shared" si="0"/>
        <v>#DIV/0!</v>
      </c>
      <c r="U11" s="1128"/>
      <c r="V11" s="3060" t="e">
        <f t="shared" si="1"/>
        <v>#DIV/0!</v>
      </c>
      <c r="W11" s="1131"/>
      <c r="X11" s="1131"/>
      <c r="Y11" s="1131"/>
      <c r="Z11" s="1131"/>
      <c r="AA11" s="1131"/>
      <c r="AB11" s="1131"/>
      <c r="AC11" s="1132"/>
      <c r="AD11" s="2550"/>
      <c r="AE11" s="2550"/>
      <c r="AF11" s="2550"/>
      <c r="AG11" s="2550"/>
      <c r="AH11" s="2550"/>
      <c r="AI11" s="2550"/>
      <c r="AJ11" s="2551"/>
    </row>
    <row r="12" spans="1:36" ht="25.5" thickBot="1">
      <c r="A12" s="3009" t="s">
        <v>3230</v>
      </c>
      <c r="B12" s="3010" t="s">
        <v>3231</v>
      </c>
      <c r="C12" s="3011"/>
      <c r="D12" s="3012" t="s">
        <v>3232</v>
      </c>
      <c r="E12" s="3013" t="s">
        <v>3233</v>
      </c>
      <c r="F12" s="3014"/>
      <c r="G12" s="3015"/>
      <c r="H12" s="3015"/>
      <c r="I12" s="3015"/>
      <c r="J12" s="3016"/>
      <c r="K12" s="1054"/>
      <c r="L12" s="1792" t="s">
        <v>1983</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t="e">
        <f t="shared" si="0"/>
        <v>#DIV/0!</v>
      </c>
      <c r="U12" s="1128"/>
      <c r="V12" s="3060" t="e">
        <f t="shared" si="1"/>
        <v>#DIV/0!</v>
      </c>
      <c r="W12" s="1131"/>
      <c r="X12" s="1131"/>
      <c r="Y12" s="1131"/>
      <c r="Z12" s="1131"/>
      <c r="AA12" s="1131"/>
      <c r="AB12" s="1131"/>
      <c r="AC12" s="1132"/>
      <c r="AD12" s="2550"/>
      <c r="AE12" s="2550"/>
      <c r="AF12" s="2550"/>
      <c r="AG12" s="2550"/>
      <c r="AH12" s="2550"/>
      <c r="AI12" s="2550"/>
      <c r="AJ12" s="2551"/>
    </row>
    <row r="13" spans="1:36" ht="15.75" thickBot="1">
      <c r="A13" s="3009" t="s">
        <v>3234</v>
      </c>
      <c r="B13" s="1874" t="s">
        <v>1981</v>
      </c>
      <c r="C13" s="709">
        <f>ROUND(C16*D16*E16*F16*G16*H16*I16*J16,4)</f>
        <v>0</v>
      </c>
      <c r="D13" s="1875" t="s">
        <v>1982</v>
      </c>
      <c r="E13" s="1876"/>
      <c r="F13" s="1876"/>
      <c r="G13" s="1877"/>
      <c r="H13" s="1877"/>
      <c r="I13" s="1877"/>
      <c r="J13" s="1878"/>
      <c r="K13" s="1054"/>
      <c r="L13" s="3"/>
      <c r="M13" s="4"/>
      <c r="N13" s="3007"/>
      <c r="O13" s="1054"/>
      <c r="P13" s="1054"/>
      <c r="Q13" s="1054"/>
      <c r="R13" s="1127">
        <v>12</v>
      </c>
      <c r="S13" s="1128"/>
      <c r="T13" s="3060" t="e">
        <f t="shared" si="0"/>
        <v>#DIV/0!</v>
      </c>
      <c r="U13" s="1128"/>
      <c r="V13" s="3060" t="e">
        <f t="shared" si="1"/>
        <v>#DIV/0!</v>
      </c>
      <c r="W13" s="1131"/>
      <c r="X13" s="1131"/>
      <c r="Y13" s="1131"/>
      <c r="Z13" s="1131"/>
      <c r="AA13" s="1131"/>
      <c r="AB13" s="1131"/>
      <c r="AC13" s="1132"/>
      <c r="AD13" s="2550"/>
      <c r="AE13" s="2550"/>
      <c r="AF13" s="2550"/>
      <c r="AG13" s="2550"/>
      <c r="AH13" s="2550"/>
      <c r="AI13" s="2550"/>
      <c r="AJ13" s="2551"/>
    </row>
    <row r="14" spans="1:36" ht="15">
      <c r="A14" s="3005"/>
      <c r="B14" s="1879" t="s">
        <v>1984</v>
      </c>
      <c r="C14" s="1880" t="s">
        <v>1985</v>
      </c>
      <c r="D14" s="1259" t="s">
        <v>1986</v>
      </c>
      <c r="E14" s="27" t="s">
        <v>1987</v>
      </c>
      <c r="F14" s="3017" t="s">
        <v>3235</v>
      </c>
      <c r="G14" s="3017" t="s">
        <v>3235</v>
      </c>
      <c r="H14" s="3017" t="s">
        <v>3235</v>
      </c>
      <c r="I14" s="3017" t="s">
        <v>3235</v>
      </c>
      <c r="J14" s="3017" t="s">
        <v>3235</v>
      </c>
      <c r="K14" s="1054"/>
      <c r="L14" s="1054"/>
      <c r="M14" s="1054"/>
      <c r="N14" s="1054"/>
      <c r="O14" s="1054"/>
      <c r="P14" s="1054"/>
      <c r="Q14" s="1054"/>
      <c r="R14" s="1127">
        <v>13</v>
      </c>
      <c r="S14" s="1128"/>
      <c r="T14" s="3060" t="e">
        <f t="shared" si="0"/>
        <v>#DIV/0!</v>
      </c>
      <c r="U14" s="1128"/>
      <c r="V14" s="3060" t="e">
        <f t="shared" si="1"/>
        <v>#DIV/0!</v>
      </c>
      <c r="W14" s="1131"/>
      <c r="X14" s="1131"/>
      <c r="Y14" s="1131"/>
      <c r="Z14" s="1131"/>
      <c r="AA14" s="1131"/>
      <c r="AB14" s="1131"/>
      <c r="AC14" s="1132"/>
      <c r="AD14" s="2550"/>
      <c r="AE14" s="2550"/>
      <c r="AF14" s="2550"/>
      <c r="AG14" s="2550"/>
      <c r="AH14" s="2550"/>
      <c r="AI14" s="2550"/>
      <c r="AJ14" s="2551"/>
    </row>
    <row r="15" spans="1:36" ht="15">
      <c r="A15" s="3005"/>
      <c r="B15" s="1881"/>
      <c r="C15" s="1882"/>
      <c r="D15" s="1883"/>
      <c r="E15" s="1884"/>
      <c r="F15" s="1468" t="s">
        <v>3236</v>
      </c>
      <c r="G15" s="1924"/>
      <c r="H15" s="3018"/>
      <c r="I15" s="3019"/>
      <c r="J15" s="3020"/>
      <c r="K15" s="1054"/>
      <c r="L15" s="1054"/>
      <c r="M15" s="1054"/>
      <c r="N15" s="1054"/>
      <c r="O15" s="1054"/>
      <c r="P15" s="1054"/>
      <c r="Q15" s="1054"/>
      <c r="R15" s="1127">
        <v>14</v>
      </c>
      <c r="S15" s="1128"/>
      <c r="T15" s="3060" t="e">
        <f t="shared" si="0"/>
        <v>#DIV/0!</v>
      </c>
      <c r="U15" s="1128"/>
      <c r="V15" s="3060" t="e">
        <f t="shared" si="1"/>
        <v>#DIV/0!</v>
      </c>
      <c r="W15" s="1131"/>
      <c r="X15" s="1131"/>
      <c r="Y15" s="1131"/>
      <c r="Z15" s="1131"/>
      <c r="AA15" s="1131"/>
      <c r="AB15" s="1131"/>
      <c r="AC15" s="1132"/>
      <c r="AD15" s="2550"/>
      <c r="AE15" s="2550"/>
      <c r="AF15" s="2550"/>
      <c r="AG15" s="2550"/>
      <c r="AH15" s="2550"/>
      <c r="AI15" s="2550"/>
      <c r="AJ15" s="2551"/>
    </row>
    <row r="16" spans="1:36" ht="15.75" thickBot="1">
      <c r="A16" s="3005"/>
      <c r="B16" s="3023" t="s">
        <v>1988</v>
      </c>
      <c r="C16" s="3021"/>
      <c r="D16" s="3021"/>
      <c r="E16" s="3021"/>
      <c r="F16" s="3021">
        <v>1</v>
      </c>
      <c r="G16" s="3021">
        <v>1</v>
      </c>
      <c r="H16" s="3021">
        <v>1</v>
      </c>
      <c r="I16" s="3021">
        <v>1</v>
      </c>
      <c r="J16" s="3022">
        <v>1</v>
      </c>
      <c r="K16" s="1054"/>
      <c r="L16" s="1840"/>
      <c r="M16" s="1840"/>
      <c r="N16" s="1840"/>
      <c r="O16" s="1840"/>
      <c r="P16" s="1840"/>
      <c r="Q16" s="1054"/>
      <c r="R16" s="1127">
        <v>15</v>
      </c>
      <c r="S16" s="1128"/>
      <c r="T16" s="3060" t="e">
        <f t="shared" si="0"/>
        <v>#DIV/0!</v>
      </c>
      <c r="U16" s="1128"/>
      <c r="V16" s="3060" t="e">
        <f t="shared" si="1"/>
        <v>#DIV/0!</v>
      </c>
      <c r="W16" s="1131"/>
      <c r="X16" s="1131"/>
      <c r="Y16" s="1131"/>
      <c r="Z16" s="1131"/>
      <c r="AA16" s="1131"/>
      <c r="AB16" s="1131"/>
      <c r="AC16" s="1132"/>
      <c r="AD16" s="2550"/>
      <c r="AE16" s="2550"/>
      <c r="AF16" s="2550"/>
      <c r="AG16" s="2550"/>
      <c r="AH16" s="2550"/>
      <c r="AI16" s="2550"/>
      <c r="AJ16" s="2551"/>
    </row>
    <row r="17" spans="1:37">
      <c r="A17" s="3032" t="s">
        <v>3237</v>
      </c>
      <c r="B17" s="3024" t="s">
        <v>3238</v>
      </c>
      <c r="C17" s="3033">
        <f>ROUND(IF(OR(E2="工业",E2="公共服务"),1,IF(AND(E18=0,E19=0),1,IF(AND(E18=J24,E19=G19),0.8,IF(E19=0,1+E17*(-0.2),1+E17*G17*(-0.2))))),4)</f>
        <v>1</v>
      </c>
      <c r="D17" s="3025" t="s">
        <v>3239</v>
      </c>
      <c r="E17" s="3033" t="e">
        <f>ROUND(G18/I18,2)</f>
        <v>#DIV/0!</v>
      </c>
      <c r="F17" s="3025" t="s">
        <v>3242</v>
      </c>
      <c r="G17" s="3033" t="e">
        <f>ROUND(E19/G19,2)</f>
        <v>#DIV/0!</v>
      </c>
      <c r="H17" s="3033"/>
      <c r="I17" s="3033"/>
      <c r="J17" s="3034"/>
      <c r="K17" s="1054"/>
      <c r="L17" s="1840"/>
      <c r="M17" s="1840"/>
      <c r="N17" s="1840"/>
      <c r="O17" s="1840"/>
      <c r="P17" s="1840"/>
      <c r="Q17" s="1054"/>
      <c r="R17" s="1054"/>
      <c r="S17" s="1054"/>
      <c r="T17" s="1054"/>
      <c r="U17" s="1054"/>
      <c r="V17" s="1054"/>
      <c r="W17" s="1054"/>
      <c r="X17" s="1054"/>
      <c r="Y17" s="1054"/>
      <c r="Z17" s="1055"/>
      <c r="AA17" s="1055"/>
      <c r="AB17" s="1055"/>
      <c r="AC17" s="1055"/>
      <c r="AD17" s="1055"/>
      <c r="AE17" s="1054"/>
      <c r="AF17" s="1054"/>
      <c r="AG17" s="1840"/>
      <c r="AH17" s="1840"/>
      <c r="AI17" s="1840"/>
      <c r="AJ17" s="1840"/>
    </row>
    <row r="18" spans="1:37" s="1854" customFormat="1" ht="14.25">
      <c r="A18" s="3035"/>
      <c r="B18" s="2306"/>
      <c r="C18" s="3031"/>
      <c r="D18" s="3026" t="s">
        <v>3240</v>
      </c>
      <c r="E18" s="2353"/>
      <c r="F18" s="3027" t="s">
        <v>3243</v>
      </c>
      <c r="G18" s="3031">
        <f>ROUND(1-(1/(POWER(1+G24,E18))),4)</f>
        <v>0</v>
      </c>
      <c r="H18" s="3027" t="s">
        <v>3245</v>
      </c>
      <c r="I18" s="3031">
        <f>ROUND(1-(1/(POWER(1+G24,J24))),4)</f>
        <v>0</v>
      </c>
      <c r="J18" s="3036"/>
      <c r="K18" s="1054"/>
      <c r="L18" s="1840"/>
      <c r="M18" s="1840"/>
      <c r="N18" s="1840"/>
      <c r="O18" s="1840"/>
      <c r="P18" s="1840"/>
      <c r="Q18" s="1054"/>
      <c r="R18" s="1058"/>
      <c r="S18" s="1058"/>
      <c r="T18" s="1055"/>
      <c r="U18" s="1055"/>
      <c r="V18" s="1055"/>
      <c r="W18" s="1054"/>
      <c r="X18" s="1054"/>
      <c r="Y18" s="1054"/>
      <c r="Z18" s="1059"/>
      <c r="AA18" s="1059"/>
      <c r="AB18" s="1059"/>
      <c r="AC18" s="1059"/>
      <c r="AD18" s="1059"/>
      <c r="AE18" s="1055"/>
      <c r="AF18" s="1055"/>
      <c r="AG18" s="1976"/>
      <c r="AH18" s="1976"/>
      <c r="AI18" s="1976"/>
      <c r="AJ18" s="2549"/>
    </row>
    <row r="19" spans="1:37" s="1854" customFormat="1" ht="15" thickBot="1">
      <c r="A19" s="3037"/>
      <c r="B19" s="3038"/>
      <c r="C19" s="3039"/>
      <c r="D19" s="3039" t="s">
        <v>3241</v>
      </c>
      <c r="E19" s="3040"/>
      <c r="F19" s="3041" t="s">
        <v>3244</v>
      </c>
      <c r="G19" s="3040"/>
      <c r="H19" s="3039"/>
      <c r="I19" s="3039"/>
      <c r="J19" s="3042"/>
      <c r="K19" s="1054"/>
      <c r="L19" s="1840"/>
      <c r="M19" s="1840"/>
      <c r="N19" s="1840"/>
      <c r="O19" s="1840"/>
      <c r="P19" s="1840"/>
      <c r="Q19" s="1058"/>
      <c r="R19" s="1058"/>
      <c r="S19" s="1058"/>
      <c r="T19" s="1055"/>
      <c r="U19" s="1055"/>
      <c r="V19" s="1055"/>
      <c r="W19" s="1054"/>
      <c r="X19" s="1054"/>
      <c r="Y19" s="1054"/>
      <c r="Z19" s="1059"/>
      <c r="AA19" s="1059"/>
      <c r="AB19" s="1059"/>
      <c r="AC19" s="1059"/>
      <c r="AD19" s="1059"/>
      <c r="AE19" s="1059"/>
      <c r="AF19" s="1058"/>
      <c r="AG19" s="2552"/>
      <c r="AH19" s="1976"/>
      <c r="AI19" s="561"/>
      <c r="AJ19" s="561"/>
      <c r="AK19" s="1895"/>
    </row>
    <row r="20" spans="1:37" s="1854" customFormat="1" ht="14.25">
      <c r="A20" s="3523" t="s">
        <v>3246</v>
      </c>
      <c r="B20" s="159" t="s">
        <v>1993</v>
      </c>
      <c r="C20" s="3028" t="e">
        <f>ROUND(IF(F21="与级别开发程度一致",0,(G21-E21)/C21),0)</f>
        <v>#DIV/0!</v>
      </c>
      <c r="D20" s="3043" t="s">
        <v>1997</v>
      </c>
      <c r="E20" s="3044"/>
      <c r="F20" s="3529" t="s">
        <v>1994</v>
      </c>
      <c r="G20" s="3530"/>
      <c r="H20" s="3029"/>
      <c r="I20" s="3029"/>
      <c r="J20" s="3030"/>
      <c r="K20" s="1885"/>
      <c r="L20" s="1885"/>
      <c r="M20" s="1885"/>
      <c r="N20" s="1885"/>
      <c r="O20" s="1886"/>
      <c r="P20" s="1840"/>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4" customFormat="1" ht="15" thickBot="1">
      <c r="A21" s="3524"/>
      <c r="B21" s="1998" t="s">
        <v>1996</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4" customFormat="1" ht="15.75" thickBot="1">
      <c r="A22" s="1992" t="s">
        <v>363</v>
      </c>
      <c r="B22" s="1993" t="s">
        <v>1999</v>
      </c>
      <c r="C22" s="1994">
        <f>SUMIF(修正!C20:C51,E3,修正!E20:E51)</f>
        <v>0</v>
      </c>
      <c r="D22" s="1995"/>
      <c r="E22" s="1996"/>
      <c r="F22" s="1996"/>
      <c r="G22" s="1996"/>
      <c r="H22" s="1996"/>
      <c r="I22" s="1996"/>
      <c r="J22" s="1997"/>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88" t="s">
        <v>364</v>
      </c>
      <c r="B23" s="1889" t="s">
        <v>2000</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2" t="s">
        <v>2001</v>
      </c>
      <c r="E23" s="715">
        <v>44197</v>
      </c>
      <c r="F23" s="1892" t="s">
        <v>2002</v>
      </c>
      <c r="G23" s="716">
        <f>'数据-取费表'!B2</f>
        <v>45463</v>
      </c>
      <c r="H23" s="3045" t="s">
        <v>3248</v>
      </c>
      <c r="I23" s="3046" t="str">
        <f>IF(H23="季度增幅（自定义）",SUMIF(N25:N28,E2,O25:O28),"")</f>
        <v/>
      </c>
      <c r="J23" s="3138" t="s">
        <v>3247</v>
      </c>
      <c r="K23" s="1059"/>
      <c r="L23" s="1893" t="s">
        <v>2003</v>
      </c>
      <c r="M23" s="1239">
        <f>ROUND(SUMIF(地价!B2:G2,E2,地价!B16:G16),0)</f>
        <v>0</v>
      </c>
      <c r="N23" s="1894" t="s">
        <v>2004</v>
      </c>
      <c r="O23" s="717">
        <f>ROUNDDOWN(DATEDIF(E23,G23,"M")/3,0)</f>
        <v>13</v>
      </c>
      <c r="P23" s="1055"/>
      <c r="Q23" s="2549"/>
      <c r="R23" s="1058"/>
      <c r="S23" s="1058"/>
      <c r="T23" s="1055"/>
      <c r="U23" s="1055"/>
      <c r="V23" s="1055"/>
      <c r="W23" s="1054"/>
      <c r="X23" s="1054"/>
      <c r="Y23" s="1054"/>
      <c r="Z23" s="1059"/>
      <c r="AA23" s="1059"/>
      <c r="AB23" s="1059"/>
      <c r="AC23" s="1059"/>
      <c r="AD23" s="1059"/>
      <c r="AE23" s="1055"/>
      <c r="AF23" s="1055"/>
      <c r="AG23" s="1976"/>
      <c r="AH23" s="1976"/>
      <c r="AI23" s="1976"/>
      <c r="AJ23" s="1976"/>
      <c r="AK23" s="1891"/>
    </row>
    <row r="24" spans="1:37" s="1854" customFormat="1" ht="24.75" thickBot="1">
      <c r="A24" s="1896" t="s">
        <v>365</v>
      </c>
      <c r="B24" s="1897" t="s">
        <v>2005</v>
      </c>
      <c r="C24" s="718" t="e">
        <f>ROUND(POWER(1+G24,J24-I24)*(POWER(1+G24,I24)-1)/(POWER(1+G24,J24)-1),4)</f>
        <v>#DIV/0!</v>
      </c>
      <c r="D24" s="1898" t="s">
        <v>2006</v>
      </c>
      <c r="E24" s="1246">
        <f>存贷款利率!E27/100</f>
        <v>4.3499999999999997E-2</v>
      </c>
      <c r="F24" s="1898" t="s">
        <v>1998</v>
      </c>
      <c r="G24" s="722">
        <f>SUMIF(M30:Q30,E2,M33:Q33)</f>
        <v>0</v>
      </c>
      <c r="H24" s="1898" t="s">
        <v>2007</v>
      </c>
      <c r="I24" s="723" t="e">
        <f>SUMIF('数据-取费表'!C6:C15,E2,'数据-取费表'!F6:F15)/COUNTIF('数据-取费表'!C6:C15,E2)</f>
        <v>#DIV/0!</v>
      </c>
      <c r="J24" s="724">
        <f>IF(E2="住宅",70,IF(E2="商业",40,50))</f>
        <v>50</v>
      </c>
      <c r="K24" s="1059"/>
      <c r="L24" s="1899" t="s">
        <v>2008</v>
      </c>
      <c r="M24" s="1240">
        <f>ROUND(SUMPRODUCT((地价!A4:A16=YEAR(G23)&amp;"-"&amp;ROUNDUP(MONTH(G23)/3,0))*(地价!B2:G2=E2)*(地价!B4:G16)),0)</f>
        <v>0</v>
      </c>
      <c r="N24" s="1900" t="s">
        <v>2009</v>
      </c>
      <c r="O24" s="1901" t="s">
        <v>2010</v>
      </c>
      <c r="P24" s="1902" t="s">
        <v>2011</v>
      </c>
      <c r="Q24" s="1840"/>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3" t="s">
        <v>366</v>
      </c>
      <c r="B25" s="1904" t="s">
        <v>3327</v>
      </c>
      <c r="C25" s="461">
        <f>IF(B25="容积率修正",IF(G3&lt;10,D26,J26),C27)</f>
        <v>0</v>
      </c>
      <c r="D25" s="1905"/>
      <c r="E25" s="1905"/>
      <c r="F25" s="1905"/>
      <c r="G25" s="1905"/>
      <c r="H25" s="1905"/>
      <c r="I25" s="1905"/>
      <c r="J25" s="1906"/>
      <c r="K25" s="1059"/>
      <c r="L25" s="2549"/>
      <c r="M25" s="2549"/>
      <c r="N25" s="1907" t="s">
        <v>2012</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6"/>
      <c r="AH25" s="1976"/>
      <c r="AI25" s="1976"/>
      <c r="AJ25" s="1976"/>
    </row>
    <row r="26" spans="1:37" ht="14.25">
      <c r="A26" s="1802" t="s">
        <v>2013</v>
      </c>
      <c r="B26" s="1908" t="s">
        <v>2014</v>
      </c>
      <c r="C26" s="1908" t="s">
        <v>3249</v>
      </c>
      <c r="D26" s="1261">
        <f>IF(E26=G26,F26,IF(G3&lt;10,ROUND(F26+(H26-F26)*(G3-E26)/(G26-E26),4),"——"))</f>
        <v>0</v>
      </c>
      <c r="E26" s="706">
        <f>ROUNDDOWN(G3,1)</f>
        <v>1.4</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1.5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3250</v>
      </c>
      <c r="J26" s="374" t="str">
        <f>IF(G3&gt;=10,D115,"——")</f>
        <v>——</v>
      </c>
      <c r="K26" s="1059"/>
      <c r="L26" s="2549"/>
      <c r="M26" s="2549"/>
      <c r="N26" s="1907" t="s">
        <v>2015</v>
      </c>
      <c r="O26" s="1091"/>
      <c r="P26" s="1092">
        <f>SUMPRODUCT((地价!A3:A40=YEAR(G23)&amp;"-"&amp;ROUNDUP(MONTH(G23)/3,0))*(地价!AD2:AH2=N26)*(地价!AD3:AH40))</f>
        <v>0</v>
      </c>
      <c r="Q26" s="1840"/>
      <c r="R26" s="1058"/>
      <c r="S26" s="1058"/>
      <c r="T26" s="1055"/>
      <c r="U26" s="1055"/>
      <c r="V26" s="1055"/>
      <c r="W26" s="1054"/>
      <c r="X26" s="1054"/>
      <c r="Y26" s="1054"/>
      <c r="Z26" s="1059"/>
      <c r="AA26" s="1059"/>
      <c r="AB26" s="1059"/>
      <c r="AC26" s="1059"/>
      <c r="AD26" s="1059"/>
      <c r="AE26" s="1055"/>
      <c r="AF26" s="1055"/>
      <c r="AG26" s="1976"/>
      <c r="AH26" s="1976"/>
      <c r="AI26" s="1976"/>
      <c r="AJ26" s="1976"/>
    </row>
    <row r="27" spans="1:37" ht="15.75" thickBot="1">
      <c r="A27" s="1802" t="s">
        <v>2016</v>
      </c>
      <c r="B27" s="1909" t="s">
        <v>2017</v>
      </c>
      <c r="C27" s="789">
        <f>ROUND(IF(I3&lt;6,SUMPRODUCT((B106:B110=I3)*(C105:N105=G2)*(C106:N110)),SUMIF(C105:N105,G2,C112:N112)),4)</f>
        <v>0</v>
      </c>
      <c r="D27" s="1838"/>
      <c r="E27" s="1838"/>
      <c r="F27" s="1910"/>
      <c r="G27" s="1911"/>
      <c r="H27" s="1912"/>
      <c r="I27" s="1913"/>
      <c r="J27" s="1914"/>
      <c r="K27" s="1054"/>
      <c r="L27" s="1840"/>
      <c r="M27" s="1840"/>
      <c r="N27" s="1907" t="s">
        <v>2018</v>
      </c>
      <c r="O27" s="1091"/>
      <c r="P27" s="1092">
        <f>SUMPRODUCT((地价!A3:A40=YEAR(G23)&amp;"-"&amp;ROUNDUP(MONTH(G23)/3,0))*(地价!AD2:AH2=N27)*(地价!AD3:AH40))</f>
        <v>0</v>
      </c>
      <c r="Q27" s="1840"/>
      <c r="R27" s="1058"/>
      <c r="S27" s="1058"/>
      <c r="T27" s="1055"/>
      <c r="U27" s="1055"/>
      <c r="V27" s="1055"/>
      <c r="W27" s="1054"/>
      <c r="X27" s="1054"/>
      <c r="Y27" s="1054"/>
      <c r="Z27" s="1059"/>
      <c r="AA27" s="1059"/>
      <c r="AB27" s="1059"/>
      <c r="AC27" s="1059"/>
      <c r="AD27" s="1059"/>
      <c r="AE27" s="1055"/>
      <c r="AF27" s="1055"/>
      <c r="AG27" s="1976"/>
      <c r="AH27" s="1976"/>
      <c r="AI27" s="1976"/>
      <c r="AJ27" s="1976"/>
    </row>
    <row r="28" spans="1:37" ht="15.75" thickBot="1">
      <c r="A28" s="1896" t="s">
        <v>367</v>
      </c>
      <c r="B28" s="1889" t="s">
        <v>2019</v>
      </c>
      <c r="C28" s="714">
        <f>SUMIF(A47:A101,E2,B47:B101)</f>
        <v>0</v>
      </c>
      <c r="D28" s="1890"/>
      <c r="E28" s="1915"/>
      <c r="F28" s="1915"/>
      <c r="G28" s="1915"/>
      <c r="H28" s="1915"/>
      <c r="I28" s="1915"/>
      <c r="J28" s="1916"/>
      <c r="K28" s="1059"/>
      <c r="L28" s="2549"/>
      <c r="M28" s="2549"/>
      <c r="N28" s="1917"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6"/>
      <c r="AH28" s="1976"/>
      <c r="AI28" s="1976"/>
      <c r="AJ28" s="1976"/>
    </row>
    <row r="29" spans="1:37" ht="15.75" thickBot="1">
      <c r="A29" s="1896" t="s">
        <v>368</v>
      </c>
      <c r="B29" s="1918" t="s">
        <v>2021</v>
      </c>
      <c r="C29" s="719"/>
      <c r="D29" s="1864"/>
      <c r="E29" s="1864"/>
      <c r="F29" s="1919"/>
      <c r="G29" s="1864"/>
      <c r="H29" s="1864"/>
      <c r="I29" s="1864"/>
      <c r="J29" s="1865"/>
      <c r="K29" s="1054"/>
      <c r="L29" s="1840"/>
      <c r="M29" s="1840"/>
      <c r="N29" s="2546" t="s">
        <v>2022</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0"/>
      <c r="AH29" s="1840"/>
      <c r="AI29" s="1840"/>
      <c r="AJ29" s="1840"/>
    </row>
    <row r="30" spans="1:37" ht="15">
      <c r="A30" s="1920"/>
      <c r="B30" s="1908" t="s">
        <v>2023</v>
      </c>
      <c r="C30" s="2141" t="e">
        <f>IF(B25="容积率修正",E33+SUM(E37:E42),SUM(V2:V16)+SUM(E37:E42))</f>
        <v>#DIV/0!</v>
      </c>
      <c r="D30" s="1921"/>
      <c r="E30" s="1838"/>
      <c r="F30" s="1922"/>
      <c r="G30" s="1838"/>
      <c r="H30" s="1838"/>
      <c r="I30" s="1838"/>
      <c r="J30" s="1923"/>
      <c r="K30" s="1054"/>
      <c r="L30" s="3052" t="s">
        <v>1935</v>
      </c>
      <c r="M30" s="3053" t="s">
        <v>1989</v>
      </c>
      <c r="N30" s="3053" t="s">
        <v>1990</v>
      </c>
      <c r="O30" s="3053" t="s">
        <v>1991</v>
      </c>
      <c r="P30" s="3053" t="s">
        <v>1992</v>
      </c>
      <c r="Q30" s="3056" t="s">
        <v>3254</v>
      </c>
      <c r="R30" s="1058"/>
      <c r="S30" s="1058"/>
      <c r="T30" s="1055"/>
      <c r="U30" s="1055"/>
      <c r="V30" s="1055"/>
      <c r="W30" s="1054"/>
      <c r="X30" s="1054"/>
      <c r="Y30" s="1054"/>
      <c r="Z30" s="1059"/>
      <c r="AA30" s="1059"/>
      <c r="AB30" s="1059"/>
      <c r="AC30" s="1059"/>
      <c r="AD30" s="1059"/>
      <c r="AE30" s="1054"/>
      <c r="AF30" s="1054"/>
      <c r="AG30" s="1840"/>
      <c r="AH30" s="1840"/>
      <c r="AI30" s="1840"/>
      <c r="AJ30" s="1840"/>
    </row>
    <row r="31" spans="1:37" ht="15.75" thickBot="1">
      <c r="A31" s="1920"/>
      <c r="B31" s="1924" t="s">
        <v>2024</v>
      </c>
      <c r="C31" s="720" t="e">
        <f>E34+SUM(I37:I42)</f>
        <v>#DIV/0!</v>
      </c>
      <c r="D31" s="1925"/>
      <c r="E31" s="1926"/>
      <c r="F31" s="1927"/>
      <c r="G31" s="1926"/>
      <c r="H31" s="1926"/>
      <c r="I31" s="1926"/>
      <c r="J31" s="1928"/>
      <c r="K31" s="1054"/>
      <c r="L31" s="3054" t="s">
        <v>1995</v>
      </c>
      <c r="M31" s="162">
        <v>0.25</v>
      </c>
      <c r="N31" s="162">
        <v>0.2</v>
      </c>
      <c r="O31" s="162">
        <v>0.15</v>
      </c>
      <c r="P31" s="162">
        <v>0.1</v>
      </c>
      <c r="Q31" s="3049">
        <v>0.15</v>
      </c>
      <c r="R31" s="1058"/>
      <c r="S31" s="1058"/>
      <c r="T31" s="1055"/>
      <c r="U31" s="1055"/>
      <c r="V31" s="1055"/>
      <c r="W31" s="1054"/>
      <c r="X31" s="1054"/>
      <c r="Y31" s="1054"/>
      <c r="Z31" s="1059"/>
      <c r="AA31" s="1059"/>
      <c r="AB31" s="1059"/>
      <c r="AC31" s="1059"/>
      <c r="AD31" s="1059"/>
      <c r="AE31" s="1054"/>
      <c r="AF31" s="1054"/>
      <c r="AG31" s="1840"/>
      <c r="AH31" s="1840"/>
      <c r="AI31" s="1840"/>
      <c r="AJ31" s="1840"/>
    </row>
    <row r="32" spans="1:37" ht="15.75" thickBot="1">
      <c r="A32" s="1929"/>
      <c r="B32" s="1930" t="s">
        <v>2025</v>
      </c>
      <c r="C32" s="1931" t="s">
        <v>2026</v>
      </c>
      <c r="D32" s="1931" t="s">
        <v>2027</v>
      </c>
      <c r="E32" s="1932" t="s">
        <v>2028</v>
      </c>
      <c r="F32" s="1933"/>
      <c r="G32" s="1877"/>
      <c r="H32" s="1877"/>
      <c r="I32" s="1877"/>
      <c r="J32" s="1878"/>
      <c r="K32" s="1054"/>
      <c r="L32" s="3055" t="s">
        <v>1998</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0"/>
      <c r="AH32" s="1840"/>
      <c r="AI32" s="1840"/>
      <c r="AJ32" s="1840"/>
    </row>
    <row r="33" spans="1:37" ht="14.25">
      <c r="A33" s="1934"/>
      <c r="B33" s="1935" t="s">
        <v>2029</v>
      </c>
      <c r="C33" s="167" t="e">
        <f>ROUND(C5*C22*C23*C24*C25*C28,0)</f>
        <v>#DIV/0!</v>
      </c>
      <c r="D33" s="1936"/>
      <c r="E33" s="725" t="e">
        <f>ROUND(C33*D33/10000,0)</f>
        <v>#DIV/0!</v>
      </c>
      <c r="F33" s="3047" t="s">
        <v>3252</v>
      </c>
      <c r="G33" s="1937"/>
      <c r="H33" s="1937"/>
      <c r="I33" s="1937"/>
      <c r="J33" s="1938"/>
      <c r="K33" s="1054"/>
      <c r="L33" s="3050" t="s">
        <v>3255</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6"/>
      <c r="AH33" s="1976"/>
      <c r="AI33" s="1976"/>
      <c r="AJ33" s="1976"/>
    </row>
    <row r="34" spans="1:37" ht="25.5" thickBot="1">
      <c r="A34" s="1939"/>
      <c r="B34" s="1940" t="s">
        <v>2030</v>
      </c>
      <c r="C34" s="179" t="e">
        <f>ROUND(IF(E2="工业",C33*M42,IF(B25="楼层修正",SUM(V2:V16)*M41*10000/D34,C33*M41)),0)</f>
        <v>#DIV/0!</v>
      </c>
      <c r="D34" s="1941"/>
      <c r="E34" s="725" t="e">
        <f>ROUND(IF(B25="楼层修正",SUM(V2:V16)*M40,C34*D34/10000),0)</f>
        <v>#DIV/0!</v>
      </c>
      <c r="F34" s="1942" t="s">
        <v>2031</v>
      </c>
      <c r="G34" s="1943"/>
      <c r="H34" s="1943"/>
      <c r="I34" s="1943"/>
      <c r="J34" s="1944"/>
      <c r="K34" s="1054"/>
      <c r="L34" s="3050" t="s">
        <v>3256</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6"/>
      <c r="AH34" s="1976"/>
      <c r="AI34" s="1976"/>
      <c r="AJ34" s="1976"/>
    </row>
    <row r="35" spans="1:37">
      <c r="A35" s="1945"/>
      <c r="B35" s="1946" t="s">
        <v>2032</v>
      </c>
      <c r="C35" s="3048" t="s">
        <v>3253</v>
      </c>
      <c r="D35" s="1877"/>
      <c r="E35" s="1947"/>
      <c r="F35" s="1947"/>
      <c r="G35" s="1875" t="s">
        <v>2033</v>
      </c>
      <c r="H35" s="1877"/>
      <c r="I35" s="1948"/>
      <c r="J35" s="1878"/>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6"/>
      <c r="AH35" s="1976"/>
      <c r="AI35" s="1976"/>
      <c r="AJ35" s="1976"/>
    </row>
    <row r="36" spans="1:37" ht="24.75" thickBot="1">
      <c r="A36" s="1934"/>
      <c r="B36" s="1949"/>
      <c r="C36" s="436" t="s">
        <v>2026</v>
      </c>
      <c r="D36" s="433" t="s">
        <v>2027</v>
      </c>
      <c r="E36" s="433" t="s">
        <v>2028</v>
      </c>
      <c r="F36" s="333" t="s">
        <v>2034</v>
      </c>
      <c r="G36" s="1950" t="s">
        <v>2026</v>
      </c>
      <c r="H36" s="1950" t="s">
        <v>2027</v>
      </c>
      <c r="I36" s="1950" t="s">
        <v>2028</v>
      </c>
      <c r="J36" s="235"/>
      <c r="K36" s="1960" t="s">
        <v>3257</v>
      </c>
      <c r="L36" s="3139">
        <f ca="1">'数据-取费表'!B40</f>
        <v>3.4500000000000003E-2</v>
      </c>
      <c r="M36" s="2362">
        <f ca="1">ROUND($L$36*(1+M31),3)</f>
        <v>4.2999999999999997E-2</v>
      </c>
      <c r="N36" s="2362">
        <f ca="1">ROUND($L$36*(1+N31),3)</f>
        <v>4.1000000000000002E-2</v>
      </c>
      <c r="O36" s="2362">
        <f ca="1">ROUND($L$36*(1+O31),3)</f>
        <v>0.04</v>
      </c>
      <c r="P36" s="2362">
        <f ca="1">ROUND($L$36*(1+P31),3)</f>
        <v>3.7999999999999999E-2</v>
      </c>
      <c r="Q36" s="2362">
        <f ca="1">ROUND($L$36*(1+Q31),3)</f>
        <v>0.04</v>
      </c>
      <c r="R36" s="1054"/>
      <c r="S36" s="1054"/>
      <c r="T36" s="1054"/>
      <c r="U36" s="1054"/>
      <c r="V36" s="1054"/>
      <c r="W36" s="1054"/>
      <c r="X36" s="1054"/>
      <c r="Y36" s="1054"/>
      <c r="Z36" s="1055"/>
      <c r="AA36" s="1055"/>
      <c r="AB36" s="1055"/>
      <c r="AC36" s="1055"/>
      <c r="AD36" s="1055"/>
      <c r="AE36" s="1055"/>
      <c r="AF36" s="1055"/>
      <c r="AG36" s="1976"/>
      <c r="AH36" s="1976"/>
      <c r="AI36" s="1976"/>
      <c r="AJ36" s="1976"/>
    </row>
    <row r="37" spans="1:37" ht="24.75" thickBot="1">
      <c r="A37" s="3527"/>
      <c r="B37" s="1951" t="s">
        <v>2035</v>
      </c>
      <c r="C37" s="167" t="e">
        <f>ROUND(D5*C22*C23*C24*C28*F37,0)</f>
        <v>#DIV/0!</v>
      </c>
      <c r="D37" s="1936"/>
      <c r="E37" s="163" t="e">
        <f>ROUND(C37*D37/10000,0)</f>
        <v>#DIV/0!</v>
      </c>
      <c r="F37" s="163">
        <f>SUMIF(修正!A57:A68,G2,修正!B57:B68)</f>
        <v>0</v>
      </c>
      <c r="G37" s="163" t="e">
        <f>ROUND(IF(E2="工业",C37*$M$42,C37*$M$41),0)</f>
        <v>#DIV/0!</v>
      </c>
      <c r="H37" s="163">
        <f>D37</f>
        <v>0</v>
      </c>
      <c r="I37" s="163" t="e">
        <f>ROUND(G37*H37/10000,0)</f>
        <v>#DIV/0!</v>
      </c>
      <c r="J37" s="2751"/>
      <c r="K37" s="3058" t="s">
        <v>3258</v>
      </c>
      <c r="L37" s="1960">
        <f ca="1">L36+K38</f>
        <v>3.95E-2</v>
      </c>
      <c r="M37" s="2362">
        <f ca="1">ROUND($L$37*(1+M31),3)</f>
        <v>4.9000000000000002E-2</v>
      </c>
      <c r="N37" s="2362">
        <f t="shared" ref="N37:Q37" ca="1" si="3">ROUND($L$37*(1+N31),3)</f>
        <v>4.7E-2</v>
      </c>
      <c r="O37" s="2362">
        <f t="shared" ca="1" si="3"/>
        <v>4.4999999999999998E-2</v>
      </c>
      <c r="P37" s="2362">
        <f t="shared" ca="1" si="3"/>
        <v>4.2999999999999997E-2</v>
      </c>
      <c r="Q37" s="2362">
        <f t="shared" ca="1" si="3"/>
        <v>4.4999999999999998E-2</v>
      </c>
      <c r="R37" s="1054"/>
      <c r="S37" s="1054"/>
      <c r="T37" s="1054"/>
      <c r="U37" s="1054"/>
      <c r="V37" s="1054"/>
      <c r="W37" s="1054"/>
      <c r="X37" s="1054"/>
      <c r="Y37" s="1054"/>
      <c r="Z37" s="1055"/>
      <c r="AA37" s="1055"/>
      <c r="AB37" s="1055"/>
      <c r="AC37" s="1055"/>
      <c r="AD37" s="1055"/>
      <c r="AE37" s="1055"/>
      <c r="AF37" s="1055"/>
      <c r="AG37" s="1976"/>
      <c r="AH37" s="1976"/>
      <c r="AI37" s="1976"/>
      <c r="AJ37" s="1976"/>
    </row>
    <row r="38" spans="1:37">
      <c r="A38" s="3528"/>
      <c r="B38" s="1880" t="s">
        <v>2036</v>
      </c>
      <c r="C38" s="167" t="e">
        <f>ROUND(D5*C22*C23*C24*C28*F38,0)</f>
        <v>#DIV/0!</v>
      </c>
      <c r="D38" s="1936"/>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0"/>
      <c r="K38" s="1960">
        <v>5.0000000000000001E-3</v>
      </c>
      <c r="L38" s="1960"/>
      <c r="M38" s="1960"/>
      <c r="N38" s="1960"/>
      <c r="O38" s="1960"/>
      <c r="P38" s="1960"/>
      <c r="Q38" s="1960"/>
      <c r="R38" s="1054"/>
      <c r="S38" s="1054"/>
      <c r="T38" s="1054"/>
      <c r="U38" s="1054"/>
      <c r="V38" s="1054"/>
      <c r="W38" s="1054"/>
      <c r="X38" s="1054"/>
      <c r="Y38" s="1054"/>
      <c r="Z38" s="1055"/>
      <c r="AA38" s="1055"/>
      <c r="AB38" s="1055"/>
      <c r="AC38" s="1055"/>
      <c r="AD38" s="1055"/>
    </row>
    <row r="39" spans="1:37" ht="13.5" thickBot="1">
      <c r="A39" s="3528"/>
      <c r="B39" s="1880" t="s">
        <v>3251</v>
      </c>
      <c r="C39" s="167" t="e">
        <f>ROUND(D5*C22*C23*C24*C28*F39,0)</f>
        <v>#DIV/0!</v>
      </c>
      <c r="D39" s="1936"/>
      <c r="E39" s="163" t="e">
        <f t="shared" si="4"/>
        <v>#DIV/0!</v>
      </c>
      <c r="F39" s="163">
        <f>SUMIF(修正!A57:A68,G2,修正!D57:D68)</f>
        <v>0</v>
      </c>
      <c r="G39" s="163" t="e">
        <f>ROUND(IF(E2="工业",C39*$M$42,C39*$M$41),0)</f>
        <v>#DIV/0!</v>
      </c>
      <c r="H39" s="163">
        <f t="shared" si="5"/>
        <v>0</v>
      </c>
      <c r="I39" s="163" t="e">
        <f t="shared" si="6"/>
        <v>#DIV/0!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2"/>
      <c r="B40" s="1880" t="s">
        <v>2037</v>
      </c>
      <c r="C40" s="163" t="e">
        <f>ROUND(D5*C22*C23*C24*C28*F40,0)</f>
        <v>#DIV/0!</v>
      </c>
      <c r="D40" s="1936"/>
      <c r="E40" s="163" t="e">
        <f t="shared" si="4"/>
        <v>#DIV/0!</v>
      </c>
      <c r="F40" s="167">
        <f>SUMIF(修正!A57:A68,G2,修正!E57:E68)</f>
        <v>0</v>
      </c>
      <c r="G40" s="163" t="e">
        <f>ROUND(IF(E2="工业",C40*$M$42,C40*$M$41),0)</f>
        <v>#DIV/0!</v>
      </c>
      <c r="H40" s="163">
        <f t="shared" si="5"/>
        <v>0</v>
      </c>
      <c r="I40" s="163" t="e">
        <f t="shared" si="6"/>
        <v>#DIV/0!</v>
      </c>
      <c r="J40" s="937"/>
      <c r="L40" s="1953" t="s">
        <v>2038</v>
      </c>
      <c r="M40" s="1954"/>
      <c r="Z40" s="1055"/>
      <c r="AA40" s="1055"/>
      <c r="AB40" s="1055"/>
      <c r="AC40" s="1055"/>
      <c r="AD40" s="1055"/>
      <c r="AE40" s="1055"/>
      <c r="AF40" s="1055"/>
      <c r="AG40" s="1055"/>
      <c r="AH40" s="1055"/>
      <c r="AI40" s="1055"/>
      <c r="AJ40" s="1055"/>
    </row>
    <row r="41" spans="1:37" s="1054" customFormat="1">
      <c r="A41" s="1952"/>
      <c r="B41" s="1880" t="s">
        <v>2039</v>
      </c>
      <c r="C41" s="163" t="e">
        <f>ROUND(D5*C22*C23*C44*C28*F41,0)</f>
        <v>#DIV/0!</v>
      </c>
      <c r="D41" s="1936"/>
      <c r="E41" s="163" t="e">
        <f t="shared" si="4"/>
        <v>#DIV/0!</v>
      </c>
      <c r="F41" s="167">
        <f>SUMIF(修正!A57:A68,G2,修正!F57:F68)</f>
        <v>0</v>
      </c>
      <c r="G41" s="163" t="e">
        <f>ROUND(IF(E2="工业",C41*$M$42,C41*$M$41),0)</f>
        <v>#DIV/0!</v>
      </c>
      <c r="H41" s="163">
        <f t="shared" si="5"/>
        <v>0</v>
      </c>
      <c r="I41" s="163" t="e">
        <f t="shared" si="6"/>
        <v>#DIV/0!</v>
      </c>
      <c r="J41" s="937"/>
      <c r="L41" s="3059" t="s">
        <v>3259</v>
      </c>
      <c r="M41" s="1955">
        <v>0.25</v>
      </c>
      <c r="Z41" s="1055"/>
      <c r="AA41" s="1055"/>
      <c r="AB41" s="1055"/>
      <c r="AC41" s="1055"/>
      <c r="AD41" s="1055"/>
      <c r="AE41" s="1055"/>
      <c r="AF41" s="1055"/>
      <c r="AG41" s="1055"/>
      <c r="AH41" s="1055"/>
      <c r="AI41" s="1055"/>
      <c r="AJ41" s="1055"/>
    </row>
    <row r="42" spans="1:37" s="1054" customFormat="1" ht="13.5" thickBot="1">
      <c r="A42" s="1939"/>
      <c r="B42" s="1956" t="s">
        <v>2040</v>
      </c>
      <c r="C42" s="179" t="e">
        <f>ROUND(D5*C22*C23*C44*C28*F42,0)</f>
        <v>#DIV/0!</v>
      </c>
      <c r="D42" s="1941"/>
      <c r="E42" s="179" t="e">
        <f t="shared" si="4"/>
        <v>#DIV/0!</v>
      </c>
      <c r="F42" s="721">
        <f>SUMIF(修正!A57:A68,G2,修正!G57:G68)</f>
        <v>0</v>
      </c>
      <c r="G42" s="179" t="e">
        <f>ROUND(IF(E2="工业",C42*$M$42,C42*$M$41),0)</f>
        <v>#DIV/0!</v>
      </c>
      <c r="H42" s="179">
        <f t="shared" si="5"/>
        <v>0</v>
      </c>
      <c r="I42" s="179" t="e">
        <f t="shared" si="6"/>
        <v>#DIV/0!</v>
      </c>
      <c r="J42" s="1957"/>
      <c r="L42" s="1958" t="s">
        <v>1992</v>
      </c>
      <c r="M42" s="1959">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8" t="s">
        <v>2121</v>
      </c>
      <c r="C44" s="333" t="e">
        <f>ROUND(POWER(1+E44,H44-G44)*(POWER(1+E44,G44)-1)/(POWER(1+E44,H44)-1),4)</f>
        <v>#DIV/0!</v>
      </c>
      <c r="D44" s="163" t="s">
        <v>1998</v>
      </c>
      <c r="E44" s="1987">
        <f>G24</f>
        <v>0</v>
      </c>
      <c r="F44" s="163" t="s">
        <v>2007</v>
      </c>
      <c r="G44" s="175"/>
      <c r="H44" s="163">
        <v>50</v>
      </c>
      <c r="Z44" s="1055"/>
      <c r="AA44" s="1055"/>
      <c r="AB44" s="1055"/>
      <c r="AC44" s="1055"/>
      <c r="AD44" s="1055"/>
      <c r="AE44" s="1055"/>
      <c r="AF44" s="1055"/>
      <c r="AG44" s="1055"/>
      <c r="AH44" s="1055"/>
      <c r="AI44" s="1055"/>
      <c r="AJ44" s="1055"/>
    </row>
    <row r="45" spans="1:37" s="1054" customFormat="1">
      <c r="A45" s="1055"/>
      <c r="B45" s="1960"/>
      <c r="Z45" s="1055"/>
      <c r="AA45" s="1055"/>
      <c r="AB45" s="1055"/>
      <c r="AC45" s="1055"/>
      <c r="AD45" s="1055"/>
      <c r="AE45" s="1055"/>
      <c r="AF45" s="1055"/>
      <c r="AG45" s="1055"/>
      <c r="AH45" s="1055"/>
      <c r="AI45" s="1055"/>
      <c r="AJ45" s="1055"/>
    </row>
    <row r="46" spans="1:37" s="1054" customFormat="1">
      <c r="A46" s="1055"/>
      <c r="B46" s="1960"/>
      <c r="AA46" s="1055"/>
      <c r="AB46" s="1055"/>
      <c r="AC46" s="1055"/>
      <c r="AD46" s="1055"/>
      <c r="AE46" s="1055"/>
      <c r="AF46" s="1055"/>
      <c r="AG46" s="1055"/>
      <c r="AH46" s="1055"/>
      <c r="AI46" s="1055"/>
      <c r="AJ46" s="1055"/>
      <c r="AK46" s="1055"/>
    </row>
    <row r="47" spans="1:37" s="1054" customFormat="1" ht="15.75" thickBot="1">
      <c r="A47" s="1961" t="s">
        <v>2041</v>
      </c>
      <c r="B47" s="1962"/>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3" t="s">
        <v>2042</v>
      </c>
      <c r="B48" s="1964">
        <f>1+E50</f>
        <v>1</v>
      </c>
      <c r="C48" s="1724"/>
      <c r="D48" s="697"/>
      <c r="E48" s="698"/>
      <c r="F48" s="1965"/>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6" t="s">
        <v>2043</v>
      </c>
      <c r="B49" s="1260" t="s">
        <v>2044</v>
      </c>
      <c r="C49" s="1260" t="s">
        <v>2045</v>
      </c>
      <c r="D49" s="1260" t="s">
        <v>2046</v>
      </c>
      <c r="E49" s="699" t="s">
        <v>2047</v>
      </c>
      <c r="F49" s="1967" t="s">
        <v>2048</v>
      </c>
      <c r="G49" s="1260" t="s">
        <v>310</v>
      </c>
      <c r="H49" s="1968" t="s">
        <v>2049</v>
      </c>
      <c r="I49" s="1260" t="s">
        <v>2050</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24.75">
      <c r="A50" s="1966" t="s">
        <v>2051</v>
      </c>
      <c r="B50" s="1969">
        <f>估价对象房地状况!C4</f>
        <v>0</v>
      </c>
      <c r="C50" s="1883"/>
      <c r="D50" s="1000">
        <f t="shared" ref="D50:D58" si="7">SUMIF($J$49:$N$49,C50,J50:N50)</f>
        <v>0</v>
      </c>
      <c r="E50" s="700">
        <f>ROUND(SUM(D50:D58),4)</f>
        <v>0</v>
      </c>
      <c r="F50" s="1673" t="str">
        <f>IF(E2="商业",SUMIF(L1:L12,G2,N1:N12),"——")</f>
        <v>——</v>
      </c>
      <c r="G50" s="998"/>
      <c r="H50" s="1001" t="str">
        <f t="shared" ref="H50:H58" si="8">IFERROR(ROUNDDOWN($F$50*I50/2,4),"——")</f>
        <v>——</v>
      </c>
      <c r="I50" s="3065">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6" t="s">
        <v>2052</v>
      </c>
      <c r="B51" s="1260">
        <f>估价对象房地状况!C18</f>
        <v>0</v>
      </c>
      <c r="C51" s="1883"/>
      <c r="D51" s="1000">
        <f t="shared" si="7"/>
        <v>0</v>
      </c>
      <c r="E51" s="701"/>
      <c r="F51" s="1673"/>
      <c r="G51" s="998"/>
      <c r="H51" s="1001" t="str">
        <f t="shared" si="8"/>
        <v>——</v>
      </c>
      <c r="I51" s="3065">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7" t="s">
        <v>3261</v>
      </c>
      <c r="B52" s="1260">
        <f>估价对象房地状况!C19</f>
        <v>0</v>
      </c>
      <c r="C52" s="1883"/>
      <c r="D52" s="1000">
        <f t="shared" si="7"/>
        <v>0</v>
      </c>
      <c r="E52" s="701"/>
      <c r="F52" s="1673"/>
      <c r="G52" s="998"/>
      <c r="H52" s="1001" t="str">
        <f t="shared" si="8"/>
        <v>——</v>
      </c>
      <c r="I52" s="3065">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6" t="s">
        <v>2053</v>
      </c>
      <c r="B53" s="1970" t="s">
        <v>2054</v>
      </c>
      <c r="C53" s="1883"/>
      <c r="D53" s="1000">
        <f t="shared" si="7"/>
        <v>0</v>
      </c>
      <c r="E53" s="701"/>
      <c r="F53" s="1673"/>
      <c r="G53" s="998"/>
      <c r="H53" s="1001" t="str">
        <f t="shared" si="8"/>
        <v>——</v>
      </c>
      <c r="I53" s="3065">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6" t="s">
        <v>2055</v>
      </c>
      <c r="B54" s="1260">
        <f>估价对象房地状况!C24</f>
        <v>0</v>
      </c>
      <c r="C54" s="1883"/>
      <c r="D54" s="1000">
        <f t="shared" si="7"/>
        <v>0</v>
      </c>
      <c r="E54" s="701"/>
      <c r="F54" s="1673"/>
      <c r="G54" s="998"/>
      <c r="H54" s="1001" t="str">
        <f t="shared" si="8"/>
        <v>——</v>
      </c>
      <c r="I54" s="3065">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6" t="s">
        <v>2056</v>
      </c>
      <c r="B55" s="1971" t="s">
        <v>2057</v>
      </c>
      <c r="C55" s="1883"/>
      <c r="D55" s="1000">
        <f t="shared" si="7"/>
        <v>0</v>
      </c>
      <c r="E55" s="701"/>
      <c r="F55" s="1673"/>
      <c r="G55" s="998"/>
      <c r="H55" s="1001" t="str">
        <f t="shared" si="8"/>
        <v>——</v>
      </c>
      <c r="I55" s="3065">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2" t="s">
        <v>2058</v>
      </c>
      <c r="B56" s="1238">
        <f>估价对象房地状况!C21</f>
        <v>0</v>
      </c>
      <c r="C56" s="1883"/>
      <c r="D56" s="1000">
        <f t="shared" si="7"/>
        <v>0</v>
      </c>
      <c r="E56" s="701"/>
      <c r="F56" s="1673"/>
      <c r="G56" s="998"/>
      <c r="H56" s="1001" t="str">
        <f t="shared" si="8"/>
        <v>——</v>
      </c>
      <c r="I56" s="3065">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2" t="s">
        <v>2059</v>
      </c>
      <c r="B57" s="1260">
        <f>估价对象房地状况!C22</f>
        <v>0</v>
      </c>
      <c r="C57" s="1883"/>
      <c r="D57" s="1000">
        <f t="shared" si="7"/>
        <v>0</v>
      </c>
      <c r="E57" s="701"/>
      <c r="F57" s="1673"/>
      <c r="G57" s="998"/>
      <c r="H57" s="1001" t="str">
        <f t="shared" si="8"/>
        <v>——</v>
      </c>
      <c r="I57" s="3065">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3" t="s">
        <v>2060</v>
      </c>
      <c r="B58" s="1974">
        <f>估价对象房地状况!C20</f>
        <v>0</v>
      </c>
      <c r="C58" s="1883"/>
      <c r="D58" s="1000">
        <f t="shared" si="7"/>
        <v>0</v>
      </c>
      <c r="E58" s="702"/>
      <c r="F58" s="1673"/>
      <c r="G58" s="998"/>
      <c r="H58" s="1001" t="str">
        <f t="shared" si="8"/>
        <v>——</v>
      </c>
      <c r="I58" s="3066">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3" t="s">
        <v>2061</v>
      </c>
      <c r="B59" s="1964">
        <f>1+E61</f>
        <v>1</v>
      </c>
      <c r="C59" s="697"/>
      <c r="D59" s="697"/>
      <c r="E59" s="698"/>
      <c r="F59" s="1965"/>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6" t="s">
        <v>2043</v>
      </c>
      <c r="B60" s="1260"/>
      <c r="C60" s="1260" t="s">
        <v>2045</v>
      </c>
      <c r="D60" s="1260" t="s">
        <v>2046</v>
      </c>
      <c r="E60" s="699" t="s">
        <v>2047</v>
      </c>
      <c r="F60" s="1967" t="s">
        <v>2062</v>
      </c>
      <c r="G60" s="1260" t="s">
        <v>310</v>
      </c>
      <c r="H60" s="1968" t="s">
        <v>2049</v>
      </c>
      <c r="I60" s="1260" t="s">
        <v>2050</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24">
      <c r="A61" s="1966" t="s">
        <v>2063</v>
      </c>
      <c r="B61" s="1969">
        <f>估价对象房地状况!C17</f>
        <v>0</v>
      </c>
      <c r="C61" s="1883"/>
      <c r="D61" s="1000">
        <f t="shared" ref="D61:D69" si="12">SUMIF($J$60:$N$60,C61,J61:N61)</f>
        <v>0</v>
      </c>
      <c r="E61" s="700">
        <f>ROUND(SUM(D61:D69),4)</f>
        <v>0</v>
      </c>
      <c r="F61" s="1673" t="str">
        <f>IF(E2="办公",SUMIF(L1:L12,G2,N1:N12),"——")</f>
        <v>——</v>
      </c>
      <c r="G61" s="998"/>
      <c r="H61" s="1001" t="str">
        <f t="shared" ref="H61:H69" si="13">IFERROR(ROUNDDOWN($F$61*I61/2,4),"——")</f>
        <v>——</v>
      </c>
      <c r="I61" s="3065">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6" t="s">
        <v>2052</v>
      </c>
      <c r="B62" s="1260">
        <f>估价对象房地状况!C18</f>
        <v>0</v>
      </c>
      <c r="C62" s="1883"/>
      <c r="D62" s="1000">
        <f t="shared" si="12"/>
        <v>0</v>
      </c>
      <c r="E62" s="701"/>
      <c r="F62" s="1673"/>
      <c r="G62" s="998"/>
      <c r="H62" s="1001" t="str">
        <f t="shared" si="13"/>
        <v>——</v>
      </c>
      <c r="I62" s="3065">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7" t="s">
        <v>3261</v>
      </c>
      <c r="B63" s="1260">
        <f>估价对象房地状况!C19</f>
        <v>0</v>
      </c>
      <c r="C63" s="1883"/>
      <c r="D63" s="1000">
        <f t="shared" si="12"/>
        <v>0</v>
      </c>
      <c r="E63" s="701"/>
      <c r="F63" s="1673"/>
      <c r="G63" s="998"/>
      <c r="H63" s="1001" t="str">
        <f t="shared" si="13"/>
        <v>——</v>
      </c>
      <c r="I63" s="3065">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6" t="s">
        <v>2053</v>
      </c>
      <c r="B64" s="1970" t="s">
        <v>2054</v>
      </c>
      <c r="C64" s="1883"/>
      <c r="D64" s="1000">
        <f t="shared" si="12"/>
        <v>0</v>
      </c>
      <c r="E64" s="701"/>
      <c r="F64" s="1673"/>
      <c r="G64" s="998"/>
      <c r="H64" s="1001" t="str">
        <f t="shared" si="13"/>
        <v>——</v>
      </c>
      <c r="I64" s="3065">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6" t="s">
        <v>2055</v>
      </c>
      <c r="B65" s="1260">
        <f>估价对象房地状况!C24</f>
        <v>0</v>
      </c>
      <c r="C65" s="1883"/>
      <c r="D65" s="1000">
        <f t="shared" si="12"/>
        <v>0</v>
      </c>
      <c r="E65" s="701"/>
      <c r="F65" s="1673"/>
      <c r="G65" s="998"/>
      <c r="H65" s="1001" t="str">
        <f t="shared" si="13"/>
        <v>——</v>
      </c>
      <c r="I65" s="3065">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6" t="s">
        <v>2056</v>
      </c>
      <c r="B66" s="1971" t="s">
        <v>2057</v>
      </c>
      <c r="C66" s="1883"/>
      <c r="D66" s="1000">
        <f t="shared" si="12"/>
        <v>0</v>
      </c>
      <c r="E66" s="701"/>
      <c r="F66" s="1673"/>
      <c r="G66" s="998"/>
      <c r="H66" s="1001" t="str">
        <f t="shared" si="13"/>
        <v>——</v>
      </c>
      <c r="I66" s="3065">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6" t="s">
        <v>2058</v>
      </c>
      <c r="B67" s="1238">
        <f>估价对象房地状况!C21</f>
        <v>0</v>
      </c>
      <c r="C67" s="1883"/>
      <c r="D67" s="1000">
        <f t="shared" si="12"/>
        <v>0</v>
      </c>
      <c r="E67" s="701"/>
      <c r="F67" s="1673"/>
      <c r="G67" s="998"/>
      <c r="H67" s="1001" t="str">
        <f t="shared" si="13"/>
        <v>——</v>
      </c>
      <c r="I67" s="3065">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6" t="s">
        <v>2059</v>
      </c>
      <c r="B68" s="1238">
        <f>估价对象房地状况!C22</f>
        <v>0</v>
      </c>
      <c r="C68" s="1883"/>
      <c r="D68" s="1000">
        <f t="shared" si="12"/>
        <v>0</v>
      </c>
      <c r="E68" s="701"/>
      <c r="F68" s="1673"/>
      <c r="G68" s="998"/>
      <c r="H68" s="1001" t="str">
        <f t="shared" si="13"/>
        <v>——</v>
      </c>
      <c r="I68" s="3065">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3" t="s">
        <v>2060</v>
      </c>
      <c r="B69" s="1975">
        <f>估价对象房地状况!C20</f>
        <v>0</v>
      </c>
      <c r="C69" s="1883"/>
      <c r="D69" s="1000">
        <f t="shared" si="12"/>
        <v>0</v>
      </c>
      <c r="E69" s="702"/>
      <c r="F69" s="1673"/>
      <c r="G69" s="998"/>
      <c r="H69" s="1001" t="str">
        <f t="shared" si="13"/>
        <v>——</v>
      </c>
      <c r="I69" s="3066">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3" t="s">
        <v>2064</v>
      </c>
      <c r="B70" s="1964">
        <f>1+E72</f>
        <v>1</v>
      </c>
      <c r="C70" s="697"/>
      <c r="D70" s="697"/>
      <c r="E70" s="698"/>
      <c r="F70" s="1965"/>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6" t="s">
        <v>2043</v>
      </c>
      <c r="B71" s="1260"/>
      <c r="C71" s="1260" t="s">
        <v>2045</v>
      </c>
      <c r="D71" s="1260" t="s">
        <v>2046</v>
      </c>
      <c r="E71" s="699" t="s">
        <v>2047</v>
      </c>
      <c r="F71" s="1967" t="s">
        <v>2062</v>
      </c>
      <c r="G71" s="1260" t="s">
        <v>310</v>
      </c>
      <c r="H71" s="1968" t="s">
        <v>2049</v>
      </c>
      <c r="I71" s="1260" t="s">
        <v>2050</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24">
      <c r="A72" s="1966" t="s">
        <v>2065</v>
      </c>
      <c r="B72" s="1969">
        <f>估价对象房地状况!C15</f>
        <v>0</v>
      </c>
      <c r="C72" s="1883"/>
      <c r="D72" s="1000">
        <f t="shared" ref="D72:D80" si="17">SUMIF($J$71:$N$71,C72,J72:N72)</f>
        <v>0</v>
      </c>
      <c r="E72" s="700">
        <f>ROUND(SUM(D72:D80),4)</f>
        <v>0</v>
      </c>
      <c r="F72" s="1673" t="str">
        <f>IF(E2="住宅",SUMIF(L1:L12,G2,N1:N12),"——")</f>
        <v>——</v>
      </c>
      <c r="G72" s="998"/>
      <c r="H72" s="1001" t="str">
        <f t="shared" ref="H72:H80" si="18">IFERROR(ROUNDDOWN($F$72*I72/2,4),"——")</f>
        <v>——</v>
      </c>
      <c r="I72" s="3065">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6" t="s">
        <v>2052</v>
      </c>
      <c r="B73" s="1260">
        <f>估价对象房地状况!C18</f>
        <v>0</v>
      </c>
      <c r="C73" s="1883"/>
      <c r="D73" s="1000">
        <f t="shared" si="17"/>
        <v>0</v>
      </c>
      <c r="E73" s="703"/>
      <c r="F73" s="1673"/>
      <c r="G73" s="998"/>
      <c r="H73" s="1001" t="str">
        <f t="shared" si="18"/>
        <v>——</v>
      </c>
      <c r="I73" s="3065">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0" customFormat="1" ht="36">
      <c r="A74" s="3067" t="s">
        <v>3261</v>
      </c>
      <c r="B74" s="1260">
        <f>估价对象房地状况!C19</f>
        <v>0</v>
      </c>
      <c r="C74" s="1883"/>
      <c r="D74" s="1000">
        <f t="shared" si="17"/>
        <v>0</v>
      </c>
      <c r="E74" s="703"/>
      <c r="F74" s="1673"/>
      <c r="G74" s="998"/>
      <c r="H74" s="1001" t="str">
        <f t="shared" si="18"/>
        <v>——</v>
      </c>
      <c r="I74" s="3065">
        <v>0.1</v>
      </c>
      <c r="J74" s="999">
        <f t="shared" si="19"/>
        <v>0</v>
      </c>
      <c r="K74" s="999">
        <f t="shared" si="20"/>
        <v>0</v>
      </c>
      <c r="L74" s="999">
        <v>0</v>
      </c>
      <c r="M74" s="999">
        <f t="shared" si="21"/>
        <v>0</v>
      </c>
      <c r="N74" s="999">
        <f t="shared" si="21"/>
        <v>0</v>
      </c>
      <c r="O74" s="1054"/>
      <c r="P74" s="1054"/>
      <c r="Q74" s="1054"/>
      <c r="AA74" s="1976"/>
      <c r="AB74" s="1055"/>
      <c r="AC74" s="1055"/>
      <c r="AD74" s="1055"/>
      <c r="AE74" s="1055"/>
      <c r="AF74" s="1055"/>
      <c r="AG74" s="1055"/>
      <c r="AH74" s="1976"/>
      <c r="AI74" s="1976"/>
      <c r="AJ74" s="1976"/>
      <c r="AK74" s="1976"/>
    </row>
    <row r="75" spans="1:37" ht="14.25">
      <c r="A75" s="1966" t="s">
        <v>2066</v>
      </c>
      <c r="B75" s="1260">
        <f>估价对象房地状况!C24</f>
        <v>0</v>
      </c>
      <c r="C75" s="1883"/>
      <c r="D75" s="1000">
        <f t="shared" si="17"/>
        <v>0</v>
      </c>
      <c r="E75" s="703"/>
      <c r="F75" s="1673"/>
      <c r="G75" s="998"/>
      <c r="H75" s="1001" t="str">
        <f t="shared" si="18"/>
        <v>——</v>
      </c>
      <c r="I75" s="3065">
        <v>0.05</v>
      </c>
      <c r="J75" s="999">
        <f t="shared" si="19"/>
        <v>0</v>
      </c>
      <c r="K75" s="999">
        <f t="shared" si="20"/>
        <v>0</v>
      </c>
      <c r="L75" s="999">
        <v>0</v>
      </c>
      <c r="M75" s="999">
        <f t="shared" si="21"/>
        <v>0</v>
      </c>
      <c r="N75" s="999">
        <f t="shared" si="21"/>
        <v>0</v>
      </c>
      <c r="O75" s="1054"/>
      <c r="P75" s="1054"/>
      <c r="Q75" s="1840"/>
      <c r="Z75" s="1841"/>
      <c r="AA75" s="1891"/>
      <c r="AG75" s="1056"/>
      <c r="AK75" s="1891"/>
    </row>
    <row r="76" spans="1:37" ht="24">
      <c r="A76" s="1966" t="s">
        <v>2058</v>
      </c>
      <c r="B76" s="1238">
        <f>估价对象房地状况!C21</f>
        <v>0</v>
      </c>
      <c r="C76" s="1883"/>
      <c r="D76" s="1000">
        <f t="shared" si="17"/>
        <v>0</v>
      </c>
      <c r="E76" s="703"/>
      <c r="F76" s="1673"/>
      <c r="G76" s="998"/>
      <c r="H76" s="1001" t="str">
        <f t="shared" si="18"/>
        <v>——</v>
      </c>
      <c r="I76" s="3065">
        <v>0.08</v>
      </c>
      <c r="J76" s="999">
        <f t="shared" si="19"/>
        <v>0</v>
      </c>
      <c r="K76" s="999">
        <f t="shared" si="20"/>
        <v>0</v>
      </c>
      <c r="L76" s="999">
        <v>0</v>
      </c>
      <c r="M76" s="999">
        <f t="shared" si="21"/>
        <v>0</v>
      </c>
      <c r="N76" s="999">
        <f t="shared" si="21"/>
        <v>0</v>
      </c>
      <c r="O76" s="1054"/>
      <c r="P76" s="1054"/>
      <c r="Z76" s="1841"/>
      <c r="AA76" s="1891"/>
      <c r="AG76" s="1056"/>
      <c r="AK76" s="1891"/>
    </row>
    <row r="77" spans="1:37" ht="24">
      <c r="A77" s="1966" t="s">
        <v>2059</v>
      </c>
      <c r="B77" s="1238">
        <f>估价对象房地状况!C22</f>
        <v>0</v>
      </c>
      <c r="C77" s="1883"/>
      <c r="D77" s="1000">
        <f t="shared" si="17"/>
        <v>0</v>
      </c>
      <c r="E77" s="703"/>
      <c r="F77" s="1673"/>
      <c r="G77" s="998"/>
      <c r="H77" s="1001" t="str">
        <f t="shared" si="18"/>
        <v>——</v>
      </c>
      <c r="I77" s="3065">
        <v>0.09</v>
      </c>
      <c r="J77" s="999">
        <f t="shared" si="19"/>
        <v>0</v>
      </c>
      <c r="K77" s="999">
        <f t="shared" si="20"/>
        <v>0</v>
      </c>
      <c r="L77" s="999">
        <v>0</v>
      </c>
      <c r="M77" s="999">
        <f t="shared" si="21"/>
        <v>0</v>
      </c>
      <c r="N77" s="999">
        <f t="shared" si="21"/>
        <v>0</v>
      </c>
      <c r="O77" s="1054"/>
      <c r="P77" s="1054"/>
      <c r="Z77" s="1841"/>
      <c r="AA77" s="1891"/>
      <c r="AG77" s="1056"/>
      <c r="AK77" s="1891"/>
    </row>
    <row r="78" spans="1:37" ht="24">
      <c r="A78" s="1966" t="s">
        <v>2056</v>
      </c>
      <c r="B78" s="1971" t="s">
        <v>2057</v>
      </c>
      <c r="C78" s="1883"/>
      <c r="D78" s="1000">
        <f t="shared" si="17"/>
        <v>0</v>
      </c>
      <c r="E78" s="703"/>
      <c r="F78" s="1673"/>
      <c r="G78" s="998"/>
      <c r="H78" s="1001" t="str">
        <f t="shared" si="18"/>
        <v>——</v>
      </c>
      <c r="I78" s="3065">
        <v>0.05</v>
      </c>
      <c r="J78" s="999">
        <f t="shared" si="19"/>
        <v>0</v>
      </c>
      <c r="K78" s="999">
        <f t="shared" si="20"/>
        <v>0</v>
      </c>
      <c r="L78" s="999">
        <v>0</v>
      </c>
      <c r="M78" s="999">
        <f t="shared" si="21"/>
        <v>0</v>
      </c>
      <c r="N78" s="999">
        <f t="shared" si="21"/>
        <v>0</v>
      </c>
      <c r="O78" s="1840"/>
      <c r="P78" s="1840"/>
      <c r="Z78" s="1841"/>
      <c r="AA78" s="1891"/>
      <c r="AG78" s="1056"/>
      <c r="AK78" s="1891"/>
    </row>
    <row r="79" spans="1:37" ht="24">
      <c r="A79" s="1966" t="s">
        <v>2060</v>
      </c>
      <c r="B79" s="1969">
        <f>估价对象房地状况!C20</f>
        <v>0</v>
      </c>
      <c r="C79" s="1883"/>
      <c r="D79" s="1000">
        <f t="shared" si="17"/>
        <v>0</v>
      </c>
      <c r="E79" s="703"/>
      <c r="F79" s="1673"/>
      <c r="G79" s="998"/>
      <c r="H79" s="1001" t="str">
        <f t="shared" si="18"/>
        <v>——</v>
      </c>
      <c r="I79" s="3065">
        <v>0.12</v>
      </c>
      <c r="J79" s="999">
        <f t="shared" si="19"/>
        <v>0</v>
      </c>
      <c r="K79" s="999">
        <f t="shared" si="20"/>
        <v>0</v>
      </c>
      <c r="L79" s="999">
        <v>0</v>
      </c>
      <c r="M79" s="999">
        <f t="shared" si="21"/>
        <v>0</v>
      </c>
      <c r="N79" s="999">
        <f t="shared" si="21"/>
        <v>0</v>
      </c>
      <c r="Z79" s="1841"/>
      <c r="AA79" s="1891"/>
      <c r="AG79" s="1056"/>
      <c r="AK79" s="1891"/>
    </row>
    <row r="80" spans="1:37" ht="24.75" thickBot="1">
      <c r="A80" s="1973" t="s">
        <v>2067</v>
      </c>
      <c r="B80" s="1977"/>
      <c r="C80" s="1883"/>
      <c r="D80" s="1000">
        <f t="shared" si="17"/>
        <v>0</v>
      </c>
      <c r="E80" s="704"/>
      <c r="F80" s="1673"/>
      <c r="G80" s="998"/>
      <c r="H80" s="1001" t="str">
        <f t="shared" si="18"/>
        <v>——</v>
      </c>
      <c r="I80" s="3066">
        <v>0.05</v>
      </c>
      <c r="J80" s="999">
        <f t="shared" si="19"/>
        <v>0</v>
      </c>
      <c r="K80" s="999">
        <f t="shared" si="20"/>
        <v>0</v>
      </c>
      <c r="L80" s="999">
        <v>0</v>
      </c>
      <c r="M80" s="999">
        <f t="shared" si="21"/>
        <v>0</v>
      </c>
      <c r="N80" s="999">
        <f t="shared" si="21"/>
        <v>0</v>
      </c>
      <c r="Z80" s="1841"/>
      <c r="AA80" s="1891"/>
      <c r="AG80" s="1056"/>
      <c r="AK80" s="1891"/>
    </row>
    <row r="81" spans="1:37" ht="15">
      <c r="A81" s="1963" t="s">
        <v>2068</v>
      </c>
      <c r="B81" s="1964">
        <f>1+E83</f>
        <v>1</v>
      </c>
      <c r="C81" s="697"/>
      <c r="D81" s="697"/>
      <c r="E81" s="698"/>
      <c r="F81" s="1965"/>
      <c r="G81" s="3"/>
      <c r="H81" s="3"/>
      <c r="I81" s="3"/>
      <c r="J81" s="4"/>
      <c r="K81" s="4"/>
      <c r="L81" s="4"/>
      <c r="M81" s="4"/>
      <c r="N81" s="4"/>
      <c r="Z81" s="1841"/>
      <c r="AA81" s="1891"/>
      <c r="AG81" s="1056"/>
      <c r="AK81" s="1891"/>
    </row>
    <row r="82" spans="1:37" ht="24.75">
      <c r="A82" s="1966" t="s">
        <v>2043</v>
      </c>
      <c r="B82" s="1260"/>
      <c r="C82" s="1260" t="s">
        <v>2045</v>
      </c>
      <c r="D82" s="1260" t="s">
        <v>2046</v>
      </c>
      <c r="E82" s="699" t="s">
        <v>2047</v>
      </c>
      <c r="F82" s="1967" t="s">
        <v>2062</v>
      </c>
      <c r="G82" s="1260" t="s">
        <v>310</v>
      </c>
      <c r="H82" s="1968" t="s">
        <v>2049</v>
      </c>
      <c r="I82" s="1260" t="s">
        <v>2050</v>
      </c>
      <c r="J82" s="530" t="s">
        <v>1721</v>
      </c>
      <c r="K82" s="530" t="s">
        <v>1722</v>
      </c>
      <c r="L82" s="530" t="s">
        <v>1723</v>
      </c>
      <c r="M82" s="530" t="s">
        <v>1724</v>
      </c>
      <c r="N82" s="530" t="s">
        <v>1725</v>
      </c>
      <c r="Z82" s="1841"/>
      <c r="AA82" s="1891"/>
      <c r="AG82" s="1056"/>
      <c r="AK82" s="1891"/>
    </row>
    <row r="83" spans="1:37" ht="24">
      <c r="A83" s="1966" t="s">
        <v>2069</v>
      </c>
      <c r="B83" s="1260">
        <f>估价对象房地状况!G15</f>
        <v>0</v>
      </c>
      <c r="C83" s="1883"/>
      <c r="D83" s="1000">
        <f t="shared" ref="D83:D90" si="22">SUMIF($J$82:$N$82,C83,J83:N83)</f>
        <v>0</v>
      </c>
      <c r="E83" s="700">
        <f>ROUND(SUM(D83:D90),4)</f>
        <v>0</v>
      </c>
      <c r="F83" s="1673" t="str">
        <f>IF(E2="工业",SUMIF(L1:L12,G2,N1:N12),"——")</f>
        <v>——</v>
      </c>
      <c r="G83" s="998"/>
      <c r="H83" s="1001" t="str">
        <f t="shared" ref="H83:H90" si="23">IFERROR(ROUNDDOWN($F$83*I83/2,4),"——")</f>
        <v>——</v>
      </c>
      <c r="I83" s="3065">
        <v>0.26</v>
      </c>
      <c r="J83" s="999">
        <f t="shared" ref="J83:J90" si="24">K83+$G83</f>
        <v>0</v>
      </c>
      <c r="K83" s="999">
        <f t="shared" ref="K83:K90" si="25">$L83+$G83</f>
        <v>0</v>
      </c>
      <c r="L83" s="999">
        <v>0</v>
      </c>
      <c r="M83" s="999">
        <f t="shared" ref="M83:N90" si="26">L83-$G83</f>
        <v>0</v>
      </c>
      <c r="N83" s="999">
        <f t="shared" si="26"/>
        <v>0</v>
      </c>
      <c r="Z83" s="1841"/>
      <c r="AA83" s="1891"/>
      <c r="AG83" s="1056"/>
      <c r="AK83" s="1891"/>
    </row>
    <row r="84" spans="1:37" ht="14.25">
      <c r="A84" s="1966" t="s">
        <v>2052</v>
      </c>
      <c r="B84" s="1260">
        <f>估价对象房地状况!G16</f>
        <v>0</v>
      </c>
      <c r="C84" s="1883"/>
      <c r="D84" s="1000">
        <f t="shared" si="22"/>
        <v>0</v>
      </c>
      <c r="E84" s="703"/>
      <c r="F84" s="1673"/>
      <c r="G84" s="998"/>
      <c r="H84" s="1001" t="str">
        <f t="shared" si="23"/>
        <v>——</v>
      </c>
      <c r="I84" s="3065">
        <v>0.3</v>
      </c>
      <c r="J84" s="999">
        <f t="shared" si="24"/>
        <v>0</v>
      </c>
      <c r="K84" s="999">
        <f t="shared" si="25"/>
        <v>0</v>
      </c>
      <c r="L84" s="999">
        <v>0</v>
      </c>
      <c r="M84" s="999">
        <f t="shared" si="26"/>
        <v>0</v>
      </c>
      <c r="N84" s="999">
        <f t="shared" si="26"/>
        <v>0</v>
      </c>
      <c r="Z84" s="1841"/>
      <c r="AA84" s="1891"/>
      <c r="AG84" s="1056"/>
      <c r="AK84" s="1891"/>
    </row>
    <row r="85" spans="1:37" ht="36">
      <c r="A85" s="3067" t="s">
        <v>3262</v>
      </c>
      <c r="B85" s="1260">
        <f>估价对象房地状况!G17</f>
        <v>0</v>
      </c>
      <c r="C85" s="1883"/>
      <c r="D85" s="1000">
        <f t="shared" si="22"/>
        <v>0</v>
      </c>
      <c r="E85" s="703"/>
      <c r="F85" s="1673"/>
      <c r="G85" s="998"/>
      <c r="H85" s="1001" t="str">
        <f t="shared" si="23"/>
        <v>——</v>
      </c>
      <c r="I85" s="3065">
        <v>0.1</v>
      </c>
      <c r="J85" s="999">
        <f t="shared" si="24"/>
        <v>0</v>
      </c>
      <c r="K85" s="999">
        <f t="shared" si="25"/>
        <v>0</v>
      </c>
      <c r="L85" s="999">
        <v>0</v>
      </c>
      <c r="M85" s="999">
        <f t="shared" si="26"/>
        <v>0</v>
      </c>
      <c r="N85" s="999">
        <f t="shared" si="26"/>
        <v>0</v>
      </c>
      <c r="Z85" s="1841"/>
      <c r="AA85" s="1891"/>
      <c r="AG85" s="1056"/>
      <c r="AK85" s="1891"/>
    </row>
    <row r="86" spans="1:37" ht="14.25">
      <c r="A86" s="1966" t="s">
        <v>2066</v>
      </c>
      <c r="B86" s="1260">
        <f>估价对象房地状况!G22</f>
        <v>0</v>
      </c>
      <c r="C86" s="1883"/>
      <c r="D86" s="1000">
        <f t="shared" si="22"/>
        <v>0</v>
      </c>
      <c r="E86" s="703"/>
      <c r="F86" s="1673"/>
      <c r="G86" s="998"/>
      <c r="H86" s="1001" t="str">
        <f t="shared" si="23"/>
        <v>——</v>
      </c>
      <c r="I86" s="3065">
        <v>0.05</v>
      </c>
      <c r="J86" s="999">
        <f t="shared" si="24"/>
        <v>0</v>
      </c>
      <c r="K86" s="999">
        <f t="shared" si="25"/>
        <v>0</v>
      </c>
      <c r="L86" s="999">
        <v>0</v>
      </c>
      <c r="M86" s="999">
        <f t="shared" si="26"/>
        <v>0</v>
      </c>
      <c r="N86" s="999">
        <f t="shared" si="26"/>
        <v>0</v>
      </c>
      <c r="Z86" s="1841"/>
      <c r="AA86" s="1891"/>
      <c r="AG86" s="1056"/>
      <c r="AK86" s="1891"/>
    </row>
    <row r="87" spans="1:37" ht="24">
      <c r="A87" s="1966" t="s">
        <v>2058</v>
      </c>
      <c r="B87" s="1238">
        <f>估价对象房地状况!G19</f>
        <v>0</v>
      </c>
      <c r="C87" s="1883"/>
      <c r="D87" s="1000">
        <f t="shared" si="22"/>
        <v>0</v>
      </c>
      <c r="E87" s="703"/>
      <c r="F87" s="1673"/>
      <c r="G87" s="998"/>
      <c r="H87" s="1001" t="str">
        <f t="shared" si="23"/>
        <v>——</v>
      </c>
      <c r="I87" s="3065">
        <v>0.06</v>
      </c>
      <c r="J87" s="999">
        <f t="shared" si="24"/>
        <v>0</v>
      </c>
      <c r="K87" s="999">
        <f t="shared" si="25"/>
        <v>0</v>
      </c>
      <c r="L87" s="999">
        <v>0</v>
      </c>
      <c r="M87" s="999">
        <f t="shared" si="26"/>
        <v>0</v>
      </c>
      <c r="N87" s="999">
        <f t="shared" si="26"/>
        <v>0</v>
      </c>
    </row>
    <row r="88" spans="1:37" ht="24">
      <c r="A88" s="1966" t="s">
        <v>2059</v>
      </c>
      <c r="B88" s="1238">
        <f>估价对象房地状况!G20</f>
        <v>0</v>
      </c>
      <c r="C88" s="1883"/>
      <c r="D88" s="1000">
        <f t="shared" si="22"/>
        <v>0</v>
      </c>
      <c r="E88" s="703"/>
      <c r="F88" s="1673"/>
      <c r="G88" s="998"/>
      <c r="H88" s="1001" t="str">
        <f t="shared" si="23"/>
        <v>——</v>
      </c>
      <c r="I88" s="3065">
        <v>0.12</v>
      </c>
      <c r="J88" s="999">
        <f t="shared" si="24"/>
        <v>0</v>
      </c>
      <c r="K88" s="999">
        <f t="shared" si="25"/>
        <v>0</v>
      </c>
      <c r="L88" s="999">
        <v>0</v>
      </c>
      <c r="M88" s="999">
        <f t="shared" si="26"/>
        <v>0</v>
      </c>
      <c r="N88" s="999">
        <f t="shared" si="26"/>
        <v>0</v>
      </c>
    </row>
    <row r="89" spans="1:37" ht="24">
      <c r="A89" s="1966" t="s">
        <v>2056</v>
      </c>
      <c r="B89" s="1971" t="s">
        <v>2070</v>
      </c>
      <c r="C89" s="1883"/>
      <c r="D89" s="1000">
        <f t="shared" si="22"/>
        <v>0</v>
      </c>
      <c r="E89" s="703"/>
      <c r="F89" s="1673"/>
      <c r="G89" s="998"/>
      <c r="H89" s="1001" t="str">
        <f t="shared" si="23"/>
        <v>——</v>
      </c>
      <c r="I89" s="3065">
        <v>0.06</v>
      </c>
      <c r="J89" s="999">
        <f t="shared" si="24"/>
        <v>0</v>
      </c>
      <c r="K89" s="999">
        <f t="shared" si="25"/>
        <v>0</v>
      </c>
      <c r="L89" s="999">
        <v>0</v>
      </c>
      <c r="M89" s="999">
        <f t="shared" si="26"/>
        <v>0</v>
      </c>
      <c r="N89" s="999">
        <f t="shared" si="26"/>
        <v>0</v>
      </c>
    </row>
    <row r="90" spans="1:37" ht="15" thickBot="1">
      <c r="A90" s="1973" t="s">
        <v>2071</v>
      </c>
      <c r="B90" s="1978">
        <f>估价对象房地状况!G18</f>
        <v>0</v>
      </c>
      <c r="C90" s="1883"/>
      <c r="D90" s="1000">
        <f t="shared" si="22"/>
        <v>0</v>
      </c>
      <c r="E90" s="704"/>
      <c r="F90" s="1673"/>
      <c r="G90" s="998"/>
      <c r="H90" s="1001" t="str">
        <f t="shared" si="23"/>
        <v>——</v>
      </c>
      <c r="I90" s="3066">
        <v>0.05</v>
      </c>
      <c r="J90" s="999">
        <f t="shared" si="24"/>
        <v>0</v>
      </c>
      <c r="K90" s="999">
        <f t="shared" si="25"/>
        <v>0</v>
      </c>
      <c r="L90" s="999">
        <v>0</v>
      </c>
      <c r="M90" s="999">
        <f t="shared" si="26"/>
        <v>0</v>
      </c>
      <c r="N90" s="999">
        <f t="shared" si="26"/>
        <v>0</v>
      </c>
    </row>
    <row r="91" spans="1:37" ht="15">
      <c r="A91" s="3075" t="s">
        <v>2604</v>
      </c>
      <c r="B91" s="3076">
        <f>1+E93</f>
        <v>1</v>
      </c>
      <c r="C91" s="3069"/>
      <c r="D91" s="3070"/>
      <c r="E91" s="1673"/>
      <c r="F91" s="1673"/>
      <c r="G91" s="3071"/>
      <c r="H91" s="3072"/>
      <c r="I91" s="3073"/>
      <c r="J91" s="3074"/>
      <c r="K91" s="3074"/>
      <c r="L91" s="3074"/>
      <c r="M91" s="3074"/>
      <c r="N91" s="3074"/>
    </row>
    <row r="92" spans="1:37" ht="24.75">
      <c r="A92" s="3077" t="s">
        <v>3263</v>
      </c>
      <c r="B92" s="2306"/>
      <c r="C92" s="2306" t="s">
        <v>3272</v>
      </c>
      <c r="D92" s="2306" t="s">
        <v>3273</v>
      </c>
      <c r="E92" s="3049" t="s">
        <v>3274</v>
      </c>
      <c r="F92" s="3079" t="s">
        <v>3275</v>
      </c>
      <c r="G92" s="2306" t="s">
        <v>3276</v>
      </c>
      <c r="H92" s="3086" t="s">
        <v>3279</v>
      </c>
      <c r="I92" s="2306" t="s">
        <v>3280</v>
      </c>
      <c r="J92" s="2146" t="s">
        <v>3281</v>
      </c>
      <c r="K92" s="2146" t="s">
        <v>3282</v>
      </c>
      <c r="L92" s="2146" t="s">
        <v>3283</v>
      </c>
      <c r="M92" s="2146" t="s">
        <v>3284</v>
      </c>
      <c r="N92" s="2146" t="s">
        <v>3285</v>
      </c>
    </row>
    <row r="93" spans="1:37" ht="24">
      <c r="A93" s="3067" t="s">
        <v>3264</v>
      </c>
      <c r="B93" s="1219"/>
      <c r="C93" s="1883"/>
      <c r="D93" s="2306">
        <f>SUMIF($J$92:$N$92,C93,J93:N93)</f>
        <v>0</v>
      </c>
      <c r="E93" s="3080">
        <f>ROUND(SUM(D93:D101),4)</f>
        <v>0</v>
      </c>
      <c r="F93" s="1673" t="str">
        <f>IF(E2="公共服务",SUMIF(L1:L12,G2,N1:N12),"——")</f>
        <v>——</v>
      </c>
      <c r="G93" s="3071"/>
      <c r="H93" s="3116" t="str">
        <f>IFERROR(ROUNDDOWN($F$93*I93/2,4),"——")</f>
        <v>——</v>
      </c>
      <c r="I93" s="3065">
        <v>0.25</v>
      </c>
      <c r="J93" s="1908">
        <f t="shared" ref="J93:J101" si="27">K93+$G93</f>
        <v>0</v>
      </c>
      <c r="K93" s="1908">
        <f t="shared" ref="K93:K101" si="28">$L93+$G93</f>
        <v>0</v>
      </c>
      <c r="L93" s="1908">
        <v>0</v>
      </c>
      <c r="M93" s="1908">
        <f t="shared" ref="M93:N101" si="29">L93-$G93</f>
        <v>0</v>
      </c>
      <c r="N93" s="1908">
        <f t="shared" si="29"/>
        <v>0</v>
      </c>
    </row>
    <row r="94" spans="1:37" ht="14.25">
      <c r="A94" s="3077" t="s">
        <v>3265</v>
      </c>
      <c r="B94" s="3068">
        <f>估价对象房地状况!C18</f>
        <v>0</v>
      </c>
      <c r="C94" s="1883"/>
      <c r="D94" s="2306">
        <f t="shared" ref="D94:D101" si="30">SUMIF($J$60:$N$60,C94,J94:N94)</f>
        <v>0</v>
      </c>
      <c r="E94" s="3081"/>
      <c r="F94" s="1673"/>
      <c r="G94" s="3071"/>
      <c r="H94" s="3116" t="str">
        <f>IFERROR(ROUNDDOWN($F$93*I94/2,4),"——")</f>
        <v>——</v>
      </c>
      <c r="I94" s="3065">
        <v>0.26</v>
      </c>
      <c r="J94" s="1908">
        <f t="shared" si="27"/>
        <v>0</v>
      </c>
      <c r="K94" s="1908">
        <f t="shared" si="28"/>
        <v>0</v>
      </c>
      <c r="L94" s="1908">
        <v>0</v>
      </c>
      <c r="M94" s="1908">
        <f t="shared" si="29"/>
        <v>0</v>
      </c>
      <c r="N94" s="1908">
        <f t="shared" si="29"/>
        <v>0</v>
      </c>
    </row>
    <row r="95" spans="1:37" ht="36">
      <c r="A95" s="3067" t="s">
        <v>3261</v>
      </c>
      <c r="B95" s="3068">
        <f>估价对象房地状况!C19</f>
        <v>0</v>
      </c>
      <c r="C95" s="1883"/>
      <c r="D95" s="2306">
        <f t="shared" si="30"/>
        <v>0</v>
      </c>
      <c r="E95" s="3081"/>
      <c r="F95" s="1673"/>
      <c r="G95" s="3071"/>
      <c r="H95" s="3116" t="str">
        <f t="shared" ref="H95:H101" si="31">IFERROR(ROUNDDOWN($F$93*I95/2,4),"——")</f>
        <v>——</v>
      </c>
      <c r="I95" s="3065">
        <v>0.11</v>
      </c>
      <c r="J95" s="1908">
        <f t="shared" si="27"/>
        <v>0</v>
      </c>
      <c r="K95" s="1908">
        <f t="shared" si="28"/>
        <v>0</v>
      </c>
      <c r="L95" s="1908">
        <v>0</v>
      </c>
      <c r="M95" s="1908">
        <f t="shared" si="29"/>
        <v>0</v>
      </c>
      <c r="N95" s="1908">
        <f t="shared" si="29"/>
        <v>0</v>
      </c>
    </row>
    <row r="96" spans="1:37" ht="36.75">
      <c r="A96" s="3077" t="s">
        <v>3266</v>
      </c>
      <c r="B96" s="3083" t="s">
        <v>3277</v>
      </c>
      <c r="C96" s="1883"/>
      <c r="D96" s="2306">
        <f t="shared" si="30"/>
        <v>0</v>
      </c>
      <c r="E96" s="3081"/>
      <c r="F96" s="1673"/>
      <c r="G96" s="3071"/>
      <c r="H96" s="3116" t="str">
        <f t="shared" si="31"/>
        <v>——</v>
      </c>
      <c r="I96" s="3065">
        <v>0.05</v>
      </c>
      <c r="J96" s="1908">
        <f t="shared" si="27"/>
        <v>0</v>
      </c>
      <c r="K96" s="1908">
        <f t="shared" si="28"/>
        <v>0</v>
      </c>
      <c r="L96" s="1908">
        <v>0</v>
      </c>
      <c r="M96" s="1908">
        <f t="shared" si="29"/>
        <v>0</v>
      </c>
      <c r="N96" s="1908">
        <f t="shared" si="29"/>
        <v>0</v>
      </c>
    </row>
    <row r="97" spans="1:14" ht="24">
      <c r="A97" s="3077" t="s">
        <v>3267</v>
      </c>
      <c r="B97" s="3068">
        <f>估价对象房地状况!C24</f>
        <v>0</v>
      </c>
      <c r="C97" s="1883"/>
      <c r="D97" s="2306">
        <f t="shared" si="30"/>
        <v>0</v>
      </c>
      <c r="E97" s="3081"/>
      <c r="F97" s="1673"/>
      <c r="G97" s="3071"/>
      <c r="H97" s="3116" t="str">
        <f t="shared" si="31"/>
        <v>——</v>
      </c>
      <c r="I97" s="3065">
        <v>0.05</v>
      </c>
      <c r="J97" s="1908">
        <f t="shared" si="27"/>
        <v>0</v>
      </c>
      <c r="K97" s="1908">
        <f t="shared" si="28"/>
        <v>0</v>
      </c>
      <c r="L97" s="1908">
        <v>0</v>
      </c>
      <c r="M97" s="1908">
        <f t="shared" si="29"/>
        <v>0</v>
      </c>
      <c r="N97" s="1908">
        <f t="shared" si="29"/>
        <v>0</v>
      </c>
    </row>
    <row r="98" spans="1:14" ht="24">
      <c r="A98" s="3077" t="s">
        <v>3268</v>
      </c>
      <c r="B98" s="3084" t="s">
        <v>3278</v>
      </c>
      <c r="C98" s="1883"/>
      <c r="D98" s="2306">
        <f t="shared" si="30"/>
        <v>0</v>
      </c>
      <c r="E98" s="3081"/>
      <c r="F98" s="1673"/>
      <c r="G98" s="3071"/>
      <c r="H98" s="3116" t="str">
        <f t="shared" si="31"/>
        <v>——</v>
      </c>
      <c r="I98" s="3065">
        <v>0.06</v>
      </c>
      <c r="J98" s="1908">
        <f t="shared" si="27"/>
        <v>0</v>
      </c>
      <c r="K98" s="1908">
        <f t="shared" si="28"/>
        <v>0</v>
      </c>
      <c r="L98" s="1908">
        <v>0</v>
      </c>
      <c r="M98" s="1908">
        <f t="shared" si="29"/>
        <v>0</v>
      </c>
      <c r="N98" s="1908">
        <f t="shared" si="29"/>
        <v>0</v>
      </c>
    </row>
    <row r="99" spans="1:14" ht="24">
      <c r="A99" s="3077" t="s">
        <v>3269</v>
      </c>
      <c r="B99" s="3068">
        <f>估价对象房地状况!C21</f>
        <v>0</v>
      </c>
      <c r="C99" s="1883"/>
      <c r="D99" s="2306">
        <f t="shared" si="30"/>
        <v>0</v>
      </c>
      <c r="E99" s="3081"/>
      <c r="F99" s="1673"/>
      <c r="G99" s="3071"/>
      <c r="H99" s="3116" t="str">
        <f t="shared" si="31"/>
        <v>——</v>
      </c>
      <c r="I99" s="3065">
        <v>0.06</v>
      </c>
      <c r="J99" s="1908">
        <f t="shared" si="27"/>
        <v>0</v>
      </c>
      <c r="K99" s="1908">
        <f t="shared" si="28"/>
        <v>0</v>
      </c>
      <c r="L99" s="1908">
        <v>0</v>
      </c>
      <c r="M99" s="1908">
        <f t="shared" si="29"/>
        <v>0</v>
      </c>
      <c r="N99" s="1908">
        <f t="shared" si="29"/>
        <v>0</v>
      </c>
    </row>
    <row r="100" spans="1:14" ht="24">
      <c r="A100" s="3077" t="s">
        <v>3270</v>
      </c>
      <c r="B100" s="3068">
        <f>估价对象房地状况!C22</f>
        <v>0</v>
      </c>
      <c r="C100" s="1883"/>
      <c r="D100" s="2306">
        <f t="shared" si="30"/>
        <v>0</v>
      </c>
      <c r="E100" s="3081"/>
      <c r="F100" s="1673"/>
      <c r="G100" s="3071"/>
      <c r="H100" s="3116" t="str">
        <f t="shared" si="31"/>
        <v>——</v>
      </c>
      <c r="I100" s="3065">
        <v>0.09</v>
      </c>
      <c r="J100" s="1908">
        <f t="shared" si="27"/>
        <v>0</v>
      </c>
      <c r="K100" s="1908">
        <f t="shared" si="28"/>
        <v>0</v>
      </c>
      <c r="L100" s="1908">
        <v>0</v>
      </c>
      <c r="M100" s="1908">
        <f t="shared" si="29"/>
        <v>0</v>
      </c>
      <c r="N100" s="1908">
        <f t="shared" si="29"/>
        <v>0</v>
      </c>
    </row>
    <row r="101" spans="1:14" ht="24.75" thickBot="1">
      <c r="A101" s="3078" t="s">
        <v>3271</v>
      </c>
      <c r="B101" s="3085">
        <f>估价对象房地状况!C20</f>
        <v>0</v>
      </c>
      <c r="C101" s="1883"/>
      <c r="D101" s="2306">
        <f t="shared" si="30"/>
        <v>0</v>
      </c>
      <c r="E101" s="3082"/>
      <c r="F101" s="1673"/>
      <c r="G101" s="3071"/>
      <c r="H101" s="3116" t="str">
        <f t="shared" si="31"/>
        <v>——</v>
      </c>
      <c r="I101" s="3066">
        <v>7.0000000000000007E-2</v>
      </c>
      <c r="J101" s="1908">
        <f t="shared" si="27"/>
        <v>0</v>
      </c>
      <c r="K101" s="1908">
        <f t="shared" si="28"/>
        <v>0</v>
      </c>
      <c r="L101" s="1908">
        <v>0</v>
      </c>
      <c r="M101" s="1908">
        <f t="shared" si="29"/>
        <v>0</v>
      </c>
      <c r="N101" s="1908">
        <f t="shared" si="29"/>
        <v>0</v>
      </c>
    </row>
    <row r="103" spans="1:14">
      <c r="A103" s="3525" t="s">
        <v>3286</v>
      </c>
      <c r="B103" s="3525"/>
      <c r="C103" s="3525"/>
      <c r="D103" s="3525"/>
      <c r="E103" s="3525"/>
      <c r="F103" s="3525"/>
      <c r="G103" s="3525"/>
      <c r="H103" s="3525"/>
      <c r="I103" s="3525"/>
      <c r="J103" s="3525"/>
      <c r="K103" s="1665"/>
      <c r="L103" s="1665"/>
      <c r="M103" s="1665"/>
      <c r="N103" s="1665"/>
    </row>
    <row r="104" spans="1:14">
      <c r="A104" s="3526" t="s">
        <v>3287</v>
      </c>
      <c r="B104" s="3526" t="s">
        <v>3288</v>
      </c>
      <c r="C104" s="3087" t="s">
        <v>3289</v>
      </c>
      <c r="D104" s="3088"/>
      <c r="E104" s="3088"/>
      <c r="F104" s="3088"/>
      <c r="G104" s="3088"/>
      <c r="H104" s="3088"/>
      <c r="I104" s="3088"/>
      <c r="J104" s="3089"/>
      <c r="K104" s="3090"/>
      <c r="L104" s="3090"/>
      <c r="M104" s="3090"/>
      <c r="N104" s="3090"/>
    </row>
    <row r="105" spans="1:14">
      <c r="A105" s="3526"/>
      <c r="B105" s="3526"/>
      <c r="C105" s="3091" t="s">
        <v>3290</v>
      </c>
      <c r="D105" s="3091" t="s">
        <v>3291</v>
      </c>
      <c r="E105" s="3091" t="s">
        <v>3292</v>
      </c>
      <c r="F105" s="3091" t="s">
        <v>3293</v>
      </c>
      <c r="G105" s="3091" t="s">
        <v>3294</v>
      </c>
      <c r="H105" s="3091" t="s">
        <v>3295</v>
      </c>
      <c r="I105" s="3091" t="s">
        <v>3296</v>
      </c>
      <c r="J105" s="3091" t="s">
        <v>3297</v>
      </c>
      <c r="K105" s="3091" t="s">
        <v>3298</v>
      </c>
      <c r="L105" s="3091" t="s">
        <v>3299</v>
      </c>
      <c r="M105" s="3091" t="s">
        <v>3300</v>
      </c>
      <c r="N105" s="3091" t="s">
        <v>3301</v>
      </c>
    </row>
    <row r="106" spans="1:14">
      <c r="A106" s="3512" t="s">
        <v>3302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513"/>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513"/>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513"/>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513"/>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513"/>
      <c r="B111" s="3091" t="s">
        <v>3260</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514"/>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515" t="s">
        <v>3303</v>
      </c>
      <c r="B113" s="3515"/>
      <c r="C113" s="3515"/>
      <c r="D113" s="3515"/>
      <c r="E113" s="3515"/>
      <c r="F113" s="3515"/>
      <c r="G113" s="3515"/>
      <c r="H113" s="3515"/>
      <c r="I113" s="3515"/>
      <c r="J113" s="3515"/>
      <c r="K113" s="3093"/>
      <c r="L113" s="3093"/>
      <c r="M113" s="3093"/>
      <c r="N113" s="3093"/>
    </row>
    <row r="114" spans="1:14">
      <c r="A114" s="3094"/>
      <c r="B114" s="3094"/>
      <c r="C114" s="3094"/>
      <c r="D114" s="3094"/>
      <c r="E114" s="3094"/>
      <c r="F114" s="3094"/>
      <c r="G114" s="3094"/>
      <c r="H114" s="3094"/>
      <c r="I114" s="3094"/>
      <c r="J114" s="3094"/>
      <c r="K114" s="1960"/>
      <c r="L114" s="3094"/>
      <c r="M114" s="3094"/>
      <c r="N114" s="3094"/>
    </row>
    <row r="115" spans="1:14" ht="13.5" thickBot="1">
      <c r="A115" s="3094"/>
      <c r="B115" s="3094"/>
      <c r="C115" s="3094"/>
      <c r="D115" s="3094"/>
      <c r="E115" s="3094"/>
      <c r="F115" s="3094"/>
      <c r="G115" s="3094"/>
      <c r="H115" s="3094"/>
      <c r="I115" s="3094"/>
      <c r="J115" s="3094"/>
      <c r="K115" s="1960"/>
      <c r="L115" s="3094"/>
      <c r="M115" s="3094"/>
      <c r="N115" s="3094"/>
    </row>
    <row r="116" spans="1:14" ht="25.5" thickBot="1">
      <c r="A116" s="3095" t="s">
        <v>3304</v>
      </c>
      <c r="B116" s="3111">
        <f>G3</f>
        <v>1.43</v>
      </c>
      <c r="C116" s="3096" t="s">
        <v>3305</v>
      </c>
      <c r="D116" s="3097">
        <f>SUMPRODUCT((A118:A122=F116)*(B117:M117=H116)*B118:M122)</f>
        <v>0</v>
      </c>
      <c r="E116" s="162" t="s">
        <v>3306</v>
      </c>
      <c r="F116" s="3098">
        <f>E2</f>
        <v>0</v>
      </c>
      <c r="G116" s="162" t="s">
        <v>3307</v>
      </c>
      <c r="H116" s="3098">
        <f>G2</f>
        <v>0</v>
      </c>
      <c r="I116" s="162"/>
      <c r="J116" s="3099"/>
      <c r="K116" s="3099"/>
      <c r="L116" s="3099"/>
      <c r="M116" s="3099"/>
      <c r="N116" s="3094"/>
    </row>
    <row r="117" spans="1:14">
      <c r="A117" s="3100"/>
      <c r="B117" s="3101" t="s">
        <v>3308</v>
      </c>
      <c r="C117" s="3101" t="s">
        <v>3309</v>
      </c>
      <c r="D117" s="3101" t="s">
        <v>3310</v>
      </c>
      <c r="E117" s="3102" t="s">
        <v>3311</v>
      </c>
      <c r="F117" s="3102" t="s">
        <v>3312</v>
      </c>
      <c r="G117" s="3102" t="s">
        <v>3313</v>
      </c>
      <c r="H117" s="3103" t="s">
        <v>3314</v>
      </c>
      <c r="I117" s="3103" t="s">
        <v>3315</v>
      </c>
      <c r="J117" s="3104" t="s">
        <v>3316</v>
      </c>
      <c r="K117" s="3104" t="s">
        <v>3317</v>
      </c>
      <c r="L117" s="3104" t="s">
        <v>3318</v>
      </c>
      <c r="M117" s="3105" t="s">
        <v>3319</v>
      </c>
      <c r="N117" s="3094"/>
    </row>
    <row r="118" spans="1:14">
      <c r="A118" s="3054" t="s">
        <v>3320</v>
      </c>
      <c r="B118" s="3086">
        <f>ROUND(0.9968-0.011*B116,4)</f>
        <v>0.98109999999999997</v>
      </c>
      <c r="C118" s="3086">
        <f>B118</f>
        <v>0.98109999999999997</v>
      </c>
      <c r="D118" s="3086">
        <f>ROUND(0.949-0.014*B116,4)</f>
        <v>0.92900000000000005</v>
      </c>
      <c r="E118" s="3086">
        <f>D118</f>
        <v>0.92900000000000005</v>
      </c>
      <c r="F118" s="3086">
        <f>E118</f>
        <v>0.92900000000000005</v>
      </c>
      <c r="G118" s="3086">
        <f>F118</f>
        <v>0.92900000000000005</v>
      </c>
      <c r="H118" s="3086">
        <f>G118</f>
        <v>0.92900000000000005</v>
      </c>
      <c r="I118" s="3086">
        <f>ROUND(0.8486-0.018*B116,4)</f>
        <v>0.82289999999999996</v>
      </c>
      <c r="J118" s="3086">
        <f t="shared" ref="J118:M122" si="35">I118</f>
        <v>0.82289999999999996</v>
      </c>
      <c r="K118" s="3086">
        <f t="shared" si="35"/>
        <v>0.82289999999999996</v>
      </c>
      <c r="L118" s="3086">
        <f t="shared" si="35"/>
        <v>0.82289999999999996</v>
      </c>
      <c r="M118" s="3106">
        <f t="shared" si="35"/>
        <v>0.82289999999999996</v>
      </c>
      <c r="N118" s="3094"/>
    </row>
    <row r="119" spans="1:14">
      <c r="A119" s="3054" t="s">
        <v>3321</v>
      </c>
      <c r="B119" s="3086">
        <f>ROUND(0.993-0.0112*B116,4)</f>
        <v>0.97699999999999998</v>
      </c>
      <c r="C119" s="3086">
        <f>B119</f>
        <v>0.97699999999999998</v>
      </c>
      <c r="D119" s="3086">
        <f>ROUND(0.9415-0.0142*B116,4)</f>
        <v>0.92120000000000002</v>
      </c>
      <c r="E119" s="3086">
        <f t="shared" ref="E119:H120" si="36">D119</f>
        <v>0.92120000000000002</v>
      </c>
      <c r="F119" s="3086">
        <f t="shared" si="36"/>
        <v>0.92120000000000002</v>
      </c>
      <c r="G119" s="3086">
        <f t="shared" si="36"/>
        <v>0.92120000000000002</v>
      </c>
      <c r="H119" s="3086">
        <f t="shared" si="36"/>
        <v>0.92120000000000002</v>
      </c>
      <c r="I119" s="3086">
        <f>ROUND(0.838-0.0182*B116,4)</f>
        <v>0.81200000000000006</v>
      </c>
      <c r="J119" s="3086">
        <f t="shared" si="35"/>
        <v>0.81200000000000006</v>
      </c>
      <c r="K119" s="3086">
        <f t="shared" si="35"/>
        <v>0.81200000000000006</v>
      </c>
      <c r="L119" s="3086">
        <f t="shared" si="35"/>
        <v>0.81200000000000006</v>
      </c>
      <c r="M119" s="3106">
        <f t="shared" si="35"/>
        <v>0.81200000000000006</v>
      </c>
      <c r="N119" s="3094"/>
    </row>
    <row r="120" spans="1:14">
      <c r="A120" s="3054" t="s">
        <v>3322</v>
      </c>
      <c r="B120" s="3086">
        <f>ROUND(0.9448-0.0115*B116,4)</f>
        <v>0.9284</v>
      </c>
      <c r="C120" s="3086">
        <f>B120</f>
        <v>0.9284</v>
      </c>
      <c r="D120" s="3086">
        <f>ROUND(0.937-0.0145*B116,4)</f>
        <v>0.9163</v>
      </c>
      <c r="E120" s="3086">
        <f t="shared" si="36"/>
        <v>0.9163</v>
      </c>
      <c r="F120" s="3086">
        <f t="shared" si="36"/>
        <v>0.9163</v>
      </c>
      <c r="G120" s="3086">
        <f t="shared" si="36"/>
        <v>0.9163</v>
      </c>
      <c r="H120" s="3086">
        <f t="shared" si="36"/>
        <v>0.9163</v>
      </c>
      <c r="I120" s="3086">
        <f>ROUND(0.7965-0.0185*B116,4)</f>
        <v>0.77</v>
      </c>
      <c r="J120" s="3086">
        <f t="shared" si="35"/>
        <v>0.77</v>
      </c>
      <c r="K120" s="3086">
        <f t="shared" si="35"/>
        <v>0.77</v>
      </c>
      <c r="L120" s="3086">
        <f t="shared" si="35"/>
        <v>0.77</v>
      </c>
      <c r="M120" s="3106">
        <f t="shared" si="35"/>
        <v>0.77</v>
      </c>
      <c r="N120" s="3094"/>
    </row>
    <row r="121" spans="1:14" ht="13.5" thickBot="1">
      <c r="A121" s="3107" t="s">
        <v>3323</v>
      </c>
      <c r="B121" s="3108">
        <f>ROUND(0.7836-0.012*B116,4)</f>
        <v>0.76639999999999997</v>
      </c>
      <c r="C121" s="3108">
        <f>B121</f>
        <v>0.76639999999999997</v>
      </c>
      <c r="D121" s="3108">
        <f>ROUND(0.753-0.015*B116,4)</f>
        <v>0.73160000000000003</v>
      </c>
      <c r="E121" s="3108">
        <f>D121</f>
        <v>0.73160000000000003</v>
      </c>
      <c r="F121" s="3108">
        <f>E121</f>
        <v>0.73160000000000003</v>
      </c>
      <c r="G121" s="3108">
        <f>ROUND(0.6612-0.018*B116,4)</f>
        <v>0.63549999999999995</v>
      </c>
      <c r="H121" s="3108">
        <f>G121</f>
        <v>0.63549999999999995</v>
      </c>
      <c r="I121" s="3108">
        <f>ROUND(0.5905-0.019*B116,4)</f>
        <v>0.56330000000000002</v>
      </c>
      <c r="J121" s="3108">
        <f t="shared" si="35"/>
        <v>0.56330000000000002</v>
      </c>
      <c r="K121" s="3108">
        <f t="shared" si="35"/>
        <v>0.56330000000000002</v>
      </c>
      <c r="L121" s="3108">
        <f t="shared" si="35"/>
        <v>0.56330000000000002</v>
      </c>
      <c r="M121" s="3109">
        <f t="shared" si="35"/>
        <v>0.56330000000000002</v>
      </c>
      <c r="N121" s="3094"/>
    </row>
    <row r="122" spans="1:14">
      <c r="A122" s="3110" t="s">
        <v>2604</v>
      </c>
      <c r="B122" s="3086">
        <f>ROUND(0.9404-0.0106*B116,4)</f>
        <v>0.92520000000000002</v>
      </c>
      <c r="C122" s="3086">
        <f>B122</f>
        <v>0.92520000000000002</v>
      </c>
      <c r="D122" s="3086">
        <f>ROUND(0.8955-0.0135*B116,4)</f>
        <v>0.87619999999999998</v>
      </c>
      <c r="E122" s="3086">
        <f t="shared" ref="E122:H122" si="37">D122</f>
        <v>0.87619999999999998</v>
      </c>
      <c r="F122" s="3086">
        <f t="shared" si="37"/>
        <v>0.87619999999999998</v>
      </c>
      <c r="G122" s="3086">
        <f t="shared" si="37"/>
        <v>0.87619999999999998</v>
      </c>
      <c r="H122" s="3086">
        <f t="shared" si="37"/>
        <v>0.87619999999999998</v>
      </c>
      <c r="I122" s="3086">
        <f>ROUND(0.7632-0.0166*B116,4)</f>
        <v>0.73950000000000005</v>
      </c>
      <c r="J122" s="3086">
        <f t="shared" si="35"/>
        <v>0.73950000000000005</v>
      </c>
      <c r="K122" s="3086">
        <f t="shared" si="35"/>
        <v>0.73950000000000005</v>
      </c>
      <c r="L122" s="3086">
        <f t="shared" si="35"/>
        <v>0.73950000000000005</v>
      </c>
      <c r="M122" s="3106">
        <f t="shared" si="35"/>
        <v>0.73950000000000005</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2586</v>
      </c>
      <c r="B1" s="2808" t="s">
        <v>2587</v>
      </c>
      <c r="C1" s="2808" t="s">
        <v>2588</v>
      </c>
      <c r="D1" s="2808" t="s">
        <v>2589</v>
      </c>
      <c r="E1" s="2808" t="s">
        <v>2590</v>
      </c>
      <c r="F1" s="2808" t="s">
        <v>2591</v>
      </c>
      <c r="G1" s="2808" t="s">
        <v>2592</v>
      </c>
      <c r="H1" s="2808" t="s">
        <v>2593</v>
      </c>
      <c r="I1" s="2808" t="s">
        <v>2594</v>
      </c>
      <c r="J1" s="2808" t="s">
        <v>2595</v>
      </c>
      <c r="K1" s="2808" t="s">
        <v>2596</v>
      </c>
      <c r="L1" s="2808" t="s">
        <v>2597</v>
      </c>
      <c r="M1" s="2809" t="s">
        <v>2598</v>
      </c>
    </row>
    <row r="2" spans="1:13" ht="19.5" customHeight="1">
      <c r="A2" s="2811" t="s">
        <v>2599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2615</v>
      </c>
      <c r="B18" s="2833"/>
      <c r="C18" s="2834"/>
      <c r="D18" s="2834"/>
      <c r="E18" s="2833"/>
      <c r="F18" s="2834"/>
      <c r="G18" s="2834"/>
    </row>
    <row r="19" spans="1:13" ht="19.5" customHeight="1" thickBot="1">
      <c r="A19" s="2831" t="s">
        <v>2616</v>
      </c>
      <c r="B19" s="2836" t="s">
        <v>2617</v>
      </c>
      <c r="C19" s="2836" t="s">
        <v>2618</v>
      </c>
      <c r="D19" s="2837"/>
      <c r="E19" s="2831" t="s">
        <v>2619</v>
      </c>
      <c r="F19" s="2838"/>
      <c r="G19" s="2838"/>
    </row>
    <row r="20" spans="1:13" ht="19.5" customHeight="1">
      <c r="A20" s="3538" t="s">
        <v>2599</v>
      </c>
      <c r="B20" s="3531" t="s">
        <v>2620</v>
      </c>
      <c r="C20" s="2839" t="s">
        <v>2431</v>
      </c>
      <c r="D20" s="2840"/>
      <c r="E20" s="2841">
        <v>1</v>
      </c>
      <c r="F20" s="2842" t="s">
        <v>2432</v>
      </c>
      <c r="G20" s="2842"/>
    </row>
    <row r="21" spans="1:13" ht="19.5" customHeight="1">
      <c r="A21" s="3539"/>
      <c r="B21" s="3532"/>
      <c r="C21" s="2843" t="s">
        <v>2433</v>
      </c>
      <c r="D21" s="2844"/>
      <c r="E21" s="2845">
        <v>1</v>
      </c>
      <c r="F21" s="2842" t="s">
        <v>2434</v>
      </c>
      <c r="G21" s="2842"/>
    </row>
    <row r="22" spans="1:13" ht="19.5" customHeight="1">
      <c r="A22" s="3539"/>
      <c r="B22" s="3532"/>
      <c r="C22" s="2843" t="s">
        <v>2435</v>
      </c>
      <c r="D22" s="2844"/>
      <c r="E22" s="2845">
        <v>0.9</v>
      </c>
      <c r="F22" s="2842" t="s">
        <v>2436</v>
      </c>
      <c r="G22" s="2842"/>
    </row>
    <row r="23" spans="1:13" ht="19.5" customHeight="1">
      <c r="A23" s="3539"/>
      <c r="B23" s="3532"/>
      <c r="C23" s="2843" t="s">
        <v>2437</v>
      </c>
      <c r="D23" s="2844"/>
      <c r="E23" s="2845">
        <v>0.9</v>
      </c>
      <c r="F23" s="2842" t="s">
        <v>2438</v>
      </c>
      <c r="G23" s="2842"/>
    </row>
    <row r="24" spans="1:13" ht="19.5" customHeight="1">
      <c r="A24" s="3539"/>
      <c r="B24" s="3532"/>
      <c r="C24" s="2843" t="s">
        <v>2439</v>
      </c>
      <c r="D24" s="2844"/>
      <c r="E24" s="2845">
        <v>0.8</v>
      </c>
      <c r="F24" s="2842" t="s">
        <v>2440</v>
      </c>
      <c r="G24" s="2842"/>
    </row>
    <row r="25" spans="1:13" ht="19.5" customHeight="1" thickBot="1">
      <c r="A25" s="3540"/>
      <c r="B25" s="3533"/>
      <c r="C25" s="2846" t="s">
        <v>2441</v>
      </c>
      <c r="D25" s="2847"/>
      <c r="E25" s="2848">
        <v>0.8</v>
      </c>
      <c r="F25" s="2842" t="s">
        <v>2442</v>
      </c>
      <c r="G25" s="2842"/>
    </row>
    <row r="26" spans="1:13" ht="19.5" customHeight="1" thickBot="1">
      <c r="A26" s="2849" t="s">
        <v>2621</v>
      </c>
      <c r="B26" s="2850" t="s">
        <v>2620</v>
      </c>
      <c r="C26" s="2851" t="s">
        <v>2622</v>
      </c>
      <c r="D26" s="2852"/>
      <c r="E26" s="2853">
        <v>1</v>
      </c>
      <c r="F26" s="2842" t="s">
        <v>2443</v>
      </c>
      <c r="G26" s="2842"/>
    </row>
    <row r="27" spans="1:13" ht="19.5" customHeight="1">
      <c r="A27" s="3534" t="s">
        <v>2623</v>
      </c>
      <c r="B27" s="3531" t="s">
        <v>2604</v>
      </c>
      <c r="C27" s="2839" t="s">
        <v>2444</v>
      </c>
      <c r="D27" s="2840"/>
      <c r="E27" s="2841">
        <v>1</v>
      </c>
      <c r="F27" s="2842" t="s">
        <v>2445</v>
      </c>
      <c r="G27" s="2842"/>
    </row>
    <row r="28" spans="1:13" ht="19.5" customHeight="1">
      <c r="A28" s="3535"/>
      <c r="B28" s="3532"/>
      <c r="C28" s="2843" t="s">
        <v>2446</v>
      </c>
      <c r="D28" s="2844"/>
      <c r="E28" s="2845">
        <v>1</v>
      </c>
      <c r="F28" s="2842" t="s">
        <v>2447</v>
      </c>
      <c r="G28" s="2842"/>
    </row>
    <row r="29" spans="1:13" ht="19.5" customHeight="1">
      <c r="A29" s="3535"/>
      <c r="B29" s="3532"/>
      <c r="C29" s="2843" t="s">
        <v>2448</v>
      </c>
      <c r="D29" s="2844"/>
      <c r="E29" s="2845">
        <v>0.8</v>
      </c>
      <c r="F29" s="2842" t="s">
        <v>2449</v>
      </c>
      <c r="G29" s="2842"/>
    </row>
    <row r="30" spans="1:13" ht="19.5" customHeight="1">
      <c r="A30" s="3535"/>
      <c r="B30" s="3532"/>
      <c r="C30" s="2843" t="s">
        <v>2450</v>
      </c>
      <c r="D30" s="2844"/>
      <c r="E30" s="2845">
        <v>0.8</v>
      </c>
      <c r="F30" s="2842" t="s">
        <v>2451</v>
      </c>
      <c r="G30" s="2842"/>
    </row>
    <row r="31" spans="1:13" ht="19.5" customHeight="1">
      <c r="A31" s="3535"/>
      <c r="B31" s="3532"/>
      <c r="C31" s="2843" t="s">
        <v>2452</v>
      </c>
      <c r="D31" s="2844"/>
      <c r="E31" s="2845">
        <v>0.8</v>
      </c>
      <c r="F31" s="2842" t="s">
        <v>2453</v>
      </c>
      <c r="G31" s="2842"/>
    </row>
    <row r="32" spans="1:13" ht="19.5" customHeight="1">
      <c r="A32" s="3535"/>
      <c r="B32" s="3532"/>
      <c r="C32" s="2843" t="s">
        <v>2454</v>
      </c>
      <c r="D32" s="2844"/>
      <c r="E32" s="2845">
        <v>0.7</v>
      </c>
      <c r="F32" s="2842" t="s">
        <v>2455</v>
      </c>
      <c r="G32" s="2842"/>
    </row>
    <row r="33" spans="1:7" ht="19.5" customHeight="1">
      <c r="A33" s="3535"/>
      <c r="B33" s="3532"/>
      <c r="C33" s="2843" t="s">
        <v>2456</v>
      </c>
      <c r="D33" s="2844"/>
      <c r="E33" s="2845">
        <v>0.8</v>
      </c>
      <c r="F33" s="2842" t="s">
        <v>2457</v>
      </c>
      <c r="G33" s="2842"/>
    </row>
    <row r="34" spans="1:7" ht="19.5" customHeight="1">
      <c r="A34" s="3535"/>
      <c r="B34" s="3532"/>
      <c r="C34" s="2843" t="s">
        <v>2458</v>
      </c>
      <c r="D34" s="2844"/>
      <c r="E34" s="2845">
        <v>0.6</v>
      </c>
      <c r="F34" s="2842" t="s">
        <v>2459</v>
      </c>
      <c r="G34" s="2842"/>
    </row>
    <row r="35" spans="1:7" ht="19.5" customHeight="1">
      <c r="A35" s="3535"/>
      <c r="B35" s="3532"/>
      <c r="C35" s="2843" t="s">
        <v>2460</v>
      </c>
      <c r="D35" s="2844"/>
      <c r="E35" s="2845">
        <v>0.2</v>
      </c>
      <c r="F35" s="2842" t="s">
        <v>2461</v>
      </c>
      <c r="G35" s="2842"/>
    </row>
    <row r="36" spans="1:7" ht="19.5" customHeight="1">
      <c r="A36" s="3535"/>
      <c r="B36" s="3532"/>
      <c r="C36" s="2843" t="s">
        <v>2462</v>
      </c>
      <c r="D36" s="2844"/>
      <c r="E36" s="2845">
        <v>0.2</v>
      </c>
      <c r="F36" s="2842" t="s">
        <v>2463</v>
      </c>
      <c r="G36" s="2842"/>
    </row>
    <row r="37" spans="1:7" ht="19.5" customHeight="1">
      <c r="A37" s="3535"/>
      <c r="B37" s="3537" t="s">
        <v>2624</v>
      </c>
      <c r="C37" s="2843" t="s">
        <v>2464</v>
      </c>
      <c r="D37" s="2844"/>
      <c r="E37" s="2845">
        <v>0.6</v>
      </c>
      <c r="F37" s="2842" t="s">
        <v>2465</v>
      </c>
      <c r="G37" s="2842"/>
    </row>
    <row r="38" spans="1:7" ht="19.5" customHeight="1">
      <c r="A38" s="3535"/>
      <c r="B38" s="3532"/>
      <c r="C38" s="2843" t="s">
        <v>2466</v>
      </c>
      <c r="D38" s="2844"/>
      <c r="E38" s="2845">
        <v>0.6</v>
      </c>
      <c r="F38" s="2842" t="s">
        <v>2467</v>
      </c>
      <c r="G38" s="2842"/>
    </row>
    <row r="39" spans="1:7" ht="19.5" customHeight="1" thickBot="1">
      <c r="A39" s="3536"/>
      <c r="B39" s="3533"/>
      <c r="C39" s="2846" t="s">
        <v>2468</v>
      </c>
      <c r="D39" s="2847"/>
      <c r="E39" s="2848">
        <v>0.6</v>
      </c>
      <c r="F39" s="2842" t="s">
        <v>2469</v>
      </c>
      <c r="G39" s="2842"/>
    </row>
    <row r="40" spans="1:7" ht="19.5" customHeight="1" thickBot="1">
      <c r="A40" s="2849" t="s">
        <v>2601</v>
      </c>
      <c r="B40" s="2850" t="s">
        <v>2601</v>
      </c>
      <c r="C40" s="2851" t="s">
        <v>2625</v>
      </c>
      <c r="D40" s="2852"/>
      <c r="E40" s="2853">
        <v>1</v>
      </c>
      <c r="F40" s="2842" t="s">
        <v>2470</v>
      </c>
      <c r="G40" s="2842"/>
    </row>
    <row r="41" spans="1:7" ht="19.5" customHeight="1">
      <c r="A41" s="3538" t="s">
        <v>2602</v>
      </c>
      <c r="B41" s="3531" t="s">
        <v>2626</v>
      </c>
      <c r="C41" s="2839" t="s">
        <v>2471</v>
      </c>
      <c r="D41" s="2840"/>
      <c r="E41" s="2841">
        <v>1</v>
      </c>
      <c r="F41" s="2842" t="s">
        <v>2472</v>
      </c>
      <c r="G41" s="2842"/>
    </row>
    <row r="42" spans="1:7" ht="19.5" customHeight="1">
      <c r="A42" s="3539"/>
      <c r="B42" s="3532"/>
      <c r="C42" s="2843" t="s">
        <v>2473</v>
      </c>
      <c r="D42" s="2844"/>
      <c r="E42" s="2845">
        <v>1</v>
      </c>
      <c r="F42" s="2842" t="s">
        <v>2474</v>
      </c>
      <c r="G42" s="2842"/>
    </row>
    <row r="43" spans="1:7" ht="19.5" customHeight="1">
      <c r="A43" s="3539"/>
      <c r="B43" s="3541"/>
      <c r="C43" s="2843" t="s">
        <v>2475</v>
      </c>
      <c r="D43" s="2844"/>
      <c r="E43" s="2845">
        <v>1.5</v>
      </c>
      <c r="F43" s="2842" t="s">
        <v>2476</v>
      </c>
      <c r="G43" s="2842"/>
    </row>
    <row r="44" spans="1:7" ht="19.5" customHeight="1">
      <c r="A44" s="3539"/>
      <c r="B44" s="2854" t="s">
        <v>2627</v>
      </c>
      <c r="C44" s="2843" t="s">
        <v>2628</v>
      </c>
      <c r="D44" s="2844"/>
      <c r="E44" s="2845">
        <v>2</v>
      </c>
      <c r="F44" s="2842" t="s">
        <v>2477</v>
      </c>
      <c r="G44" s="2842"/>
    </row>
    <row r="45" spans="1:7" ht="19.5" customHeight="1">
      <c r="A45" s="3539"/>
      <c r="B45" s="3537" t="s">
        <v>2629</v>
      </c>
      <c r="C45" s="2843" t="s">
        <v>2478</v>
      </c>
      <c r="D45" s="2844"/>
      <c r="E45" s="2845">
        <v>1</v>
      </c>
      <c r="F45" s="2842" t="s">
        <v>2479</v>
      </c>
      <c r="G45" s="2842"/>
    </row>
    <row r="46" spans="1:7" ht="19.5" customHeight="1">
      <c r="A46" s="3539"/>
      <c r="B46" s="3532"/>
      <c r="C46" s="2843" t="s">
        <v>2480</v>
      </c>
      <c r="D46" s="2844"/>
      <c r="E46" s="2845">
        <v>1</v>
      </c>
      <c r="F46" s="2842" t="s">
        <v>2481</v>
      </c>
      <c r="G46" s="2842"/>
    </row>
    <row r="47" spans="1:7" ht="19.5" customHeight="1">
      <c r="A47" s="3539"/>
      <c r="B47" s="3532"/>
      <c r="C47" s="2843" t="s">
        <v>2482</v>
      </c>
      <c r="D47" s="2844"/>
      <c r="E47" s="2845">
        <v>1</v>
      </c>
      <c r="F47" s="2842" t="s">
        <v>2483</v>
      </c>
      <c r="G47" s="2842"/>
    </row>
    <row r="48" spans="1:7" ht="19.5" customHeight="1">
      <c r="A48" s="3539"/>
      <c r="B48" s="3532"/>
      <c r="C48" s="2843" t="s">
        <v>2484</v>
      </c>
      <c r="D48" s="2844"/>
      <c r="E48" s="2845">
        <v>1</v>
      </c>
      <c r="F48" s="2842" t="s">
        <v>2485</v>
      </c>
      <c r="G48" s="2842"/>
    </row>
    <row r="49" spans="1:7" ht="19.5" customHeight="1">
      <c r="A49" s="3539"/>
      <c r="B49" s="3532"/>
      <c r="C49" s="2843" t="s">
        <v>2486</v>
      </c>
      <c r="D49" s="2844"/>
      <c r="E49" s="2845">
        <v>1</v>
      </c>
      <c r="F49" s="2842" t="s">
        <v>2487</v>
      </c>
      <c r="G49" s="2842"/>
    </row>
    <row r="50" spans="1:7" ht="19.5" customHeight="1">
      <c r="A50" s="3539"/>
      <c r="B50" s="3532"/>
      <c r="C50" s="2843" t="s">
        <v>2488</v>
      </c>
      <c r="D50" s="2844"/>
      <c r="E50" s="2845">
        <v>1</v>
      </c>
      <c r="F50" s="2842" t="s">
        <v>2489</v>
      </c>
      <c r="G50" s="2842"/>
    </row>
    <row r="51" spans="1:7" ht="19.5" customHeight="1" thickBot="1">
      <c r="A51" s="3540"/>
      <c r="B51" s="3533"/>
      <c r="C51" s="2846" t="s">
        <v>2490</v>
      </c>
      <c r="D51" s="2847"/>
      <c r="E51" s="2848">
        <v>1</v>
      </c>
      <c r="F51" s="2842" t="s">
        <v>2491</v>
      </c>
      <c r="G51" s="2842"/>
    </row>
    <row r="52" spans="1:7" ht="19.5" customHeight="1">
      <c r="A52" s="2855"/>
      <c r="B52" s="2855"/>
      <c r="C52" s="2855"/>
      <c r="D52" s="2855"/>
      <c r="E52" s="2855"/>
      <c r="F52" s="2855"/>
      <c r="G52" s="2855"/>
    </row>
    <row r="54" spans="1:7" ht="19.5" customHeight="1">
      <c r="A54" s="2856"/>
      <c r="B54" s="2828" t="s">
        <v>2630</v>
      </c>
      <c r="C54" s="2828" t="s">
        <v>2630</v>
      </c>
      <c r="D54" s="2828" t="s">
        <v>2630</v>
      </c>
      <c r="E54" s="2831" t="s">
        <v>2630</v>
      </c>
      <c r="F54" s="2831" t="s">
        <v>2631</v>
      </c>
      <c r="G54" s="2831" t="s">
        <v>2632</v>
      </c>
    </row>
    <row r="55" spans="1:7" ht="19.5" customHeight="1">
      <c r="A55" s="2857"/>
      <c r="B55" s="2831" t="s">
        <v>2599</v>
      </c>
      <c r="C55" s="2831" t="s">
        <v>2599</v>
      </c>
      <c r="D55" s="2831" t="s">
        <v>2599</v>
      </c>
      <c r="E55" s="2828" t="s">
        <v>2600</v>
      </c>
      <c r="F55" s="2828" t="s">
        <v>2602</v>
      </c>
      <c r="G55" s="2828" t="s">
        <v>2633</v>
      </c>
    </row>
    <row r="56" spans="1:7" ht="19.5" customHeight="1">
      <c r="A56" s="2858"/>
      <c r="B56" s="2828">
        <v>1</v>
      </c>
      <c r="C56" s="2828">
        <v>2</v>
      </c>
      <c r="D56" s="2828">
        <v>3</v>
      </c>
      <c r="E56" s="2859" t="s">
        <v>2634</v>
      </c>
      <c r="F56" s="2859" t="s">
        <v>2634</v>
      </c>
      <c r="G56" s="2859" t="s">
        <v>2634</v>
      </c>
    </row>
    <row r="57" spans="1:7" ht="19.5" customHeight="1">
      <c r="A57" s="2860" t="s">
        <v>2587</v>
      </c>
      <c r="B57" s="2828">
        <v>0.7</v>
      </c>
      <c r="C57" s="2828">
        <v>0.4</v>
      </c>
      <c r="D57" s="2828">
        <v>0.3</v>
      </c>
      <c r="E57" s="2859">
        <v>0.3</v>
      </c>
      <c r="F57" s="2828">
        <v>0.3</v>
      </c>
      <c r="G57" s="2828">
        <v>0.2</v>
      </c>
    </row>
    <row r="58" spans="1:7" ht="19.5" customHeight="1">
      <c r="A58" s="2860" t="s">
        <v>2588</v>
      </c>
      <c r="B58" s="2828">
        <v>0.7</v>
      </c>
      <c r="C58" s="2828">
        <v>0.4</v>
      </c>
      <c r="D58" s="2828">
        <v>0.3</v>
      </c>
      <c r="E58" s="2828">
        <v>0.3</v>
      </c>
      <c r="F58" s="2828">
        <v>0.3</v>
      </c>
      <c r="G58" s="2828">
        <v>0.2</v>
      </c>
    </row>
    <row r="59" spans="1:7" ht="19.5" customHeight="1">
      <c r="A59" s="2860" t="s">
        <v>2589</v>
      </c>
      <c r="B59" s="2828">
        <v>0.6</v>
      </c>
      <c r="C59" s="2828">
        <v>0.3</v>
      </c>
      <c r="D59" s="2828">
        <v>0.25</v>
      </c>
      <c r="E59" s="2828">
        <v>0.25</v>
      </c>
      <c r="F59" s="2828">
        <v>0.25</v>
      </c>
      <c r="G59" s="2828">
        <v>0.15</v>
      </c>
    </row>
    <row r="60" spans="1:7" ht="19.5" customHeight="1">
      <c r="A60" s="2860" t="s">
        <v>2590</v>
      </c>
      <c r="B60" s="2828">
        <v>0.6</v>
      </c>
      <c r="C60" s="2828">
        <v>0.3</v>
      </c>
      <c r="D60" s="2828">
        <v>0.25</v>
      </c>
      <c r="E60" s="2828">
        <v>0.25</v>
      </c>
      <c r="F60" s="2828">
        <v>0.25</v>
      </c>
      <c r="G60" s="2828">
        <v>0.15</v>
      </c>
    </row>
    <row r="61" spans="1:7" ht="19.5" customHeight="1">
      <c r="A61" s="2860" t="s">
        <v>2591</v>
      </c>
      <c r="B61" s="2828">
        <v>0.6</v>
      </c>
      <c r="C61" s="2828">
        <v>0.3</v>
      </c>
      <c r="D61" s="2828">
        <v>0.25</v>
      </c>
      <c r="E61" s="2828">
        <v>0.25</v>
      </c>
      <c r="F61" s="2828">
        <v>0.25</v>
      </c>
      <c r="G61" s="2828">
        <v>0.15</v>
      </c>
    </row>
    <row r="62" spans="1:7" ht="19.5" customHeight="1">
      <c r="A62" s="2860" t="s">
        <v>2592</v>
      </c>
      <c r="B62" s="2828">
        <v>0.6</v>
      </c>
      <c r="C62" s="2828">
        <v>0.3</v>
      </c>
      <c r="D62" s="2828">
        <v>0.25</v>
      </c>
      <c r="E62" s="2828">
        <v>0.25</v>
      </c>
      <c r="F62" s="2828">
        <v>0.25</v>
      </c>
      <c r="G62" s="2828">
        <v>0.15</v>
      </c>
    </row>
    <row r="63" spans="1:7" ht="19.5" customHeight="1">
      <c r="A63" s="2860" t="s">
        <v>2593</v>
      </c>
      <c r="B63" s="2828">
        <v>0.6</v>
      </c>
      <c r="C63" s="2828">
        <v>0.3</v>
      </c>
      <c r="D63" s="2828">
        <v>0.25</v>
      </c>
      <c r="E63" s="2828">
        <v>0.25</v>
      </c>
      <c r="F63" s="2828">
        <v>0.25</v>
      </c>
      <c r="G63" s="2828">
        <v>0.15</v>
      </c>
    </row>
    <row r="64" spans="1:7" ht="19.5" customHeight="1">
      <c r="A64" s="2860" t="s">
        <v>2594</v>
      </c>
      <c r="B64" s="2828">
        <v>0.5</v>
      </c>
      <c r="C64" s="2828">
        <v>0.2</v>
      </c>
      <c r="D64" s="2828">
        <v>0.2</v>
      </c>
      <c r="E64" s="2828">
        <v>0.2</v>
      </c>
      <c r="F64" s="2828">
        <v>0.2</v>
      </c>
      <c r="G64" s="2828">
        <v>0.1</v>
      </c>
    </row>
    <row r="65" spans="1:7" ht="19.5" customHeight="1">
      <c r="A65" s="2860" t="s">
        <v>2595</v>
      </c>
      <c r="B65" s="2828">
        <v>0.5</v>
      </c>
      <c r="C65" s="2828">
        <v>0.2</v>
      </c>
      <c r="D65" s="2828">
        <v>0.2</v>
      </c>
      <c r="E65" s="2828">
        <v>0.2</v>
      </c>
      <c r="F65" s="2828">
        <v>0.2</v>
      </c>
      <c r="G65" s="2828">
        <v>0.1</v>
      </c>
    </row>
    <row r="66" spans="1:7" ht="19.5" customHeight="1">
      <c r="A66" s="2860" t="s">
        <v>2596</v>
      </c>
      <c r="B66" s="2828">
        <v>0.5</v>
      </c>
      <c r="C66" s="2828">
        <v>0.2</v>
      </c>
      <c r="D66" s="2828">
        <v>0.2</v>
      </c>
      <c r="E66" s="2828">
        <v>0.2</v>
      </c>
      <c r="F66" s="2828">
        <v>0.2</v>
      </c>
      <c r="G66" s="2828">
        <v>0.1</v>
      </c>
    </row>
    <row r="67" spans="1:7" ht="19.5" customHeight="1">
      <c r="A67" s="2860" t="s">
        <v>2597</v>
      </c>
      <c r="B67" s="2828">
        <v>0.5</v>
      </c>
      <c r="C67" s="2828">
        <v>0.2</v>
      </c>
      <c r="D67" s="2828">
        <v>0.2</v>
      </c>
      <c r="E67" s="2828">
        <v>0.2</v>
      </c>
      <c r="F67" s="2828">
        <v>0.2</v>
      </c>
      <c r="G67" s="2828">
        <v>0.1</v>
      </c>
    </row>
    <row r="68" spans="1:7" ht="19.5" customHeight="1">
      <c r="A68" s="2860" t="s">
        <v>2598</v>
      </c>
      <c r="B68" s="2828">
        <v>0.5</v>
      </c>
      <c r="C68" s="2828">
        <v>0.2</v>
      </c>
      <c r="D68" s="2828">
        <v>0.2</v>
      </c>
      <c r="E68" s="2828">
        <v>0.2</v>
      </c>
      <c r="F68" s="2828">
        <v>0.2</v>
      </c>
      <c r="G68" s="2828">
        <v>0.1</v>
      </c>
    </row>
    <row r="70" spans="1:7" ht="19.5" customHeight="1">
      <c r="A70" s="2842"/>
      <c r="B70" s="2861"/>
      <c r="C70" s="2861"/>
      <c r="D70" s="2861" t="s">
        <v>2635</v>
      </c>
      <c r="E70" s="2861"/>
      <c r="F70" s="2861"/>
    </row>
    <row r="71" spans="1:7" ht="19.5" customHeight="1">
      <c r="A71" s="2854" t="s">
        <v>2636</v>
      </c>
      <c r="B71" s="2854" t="s">
        <v>2637</v>
      </c>
      <c r="C71" s="2854" t="s">
        <v>2638</v>
      </c>
      <c r="D71" s="2854" t="s">
        <v>2639</v>
      </c>
      <c r="E71" s="2854" t="s">
        <v>2640</v>
      </c>
      <c r="F71" s="2854" t="s">
        <v>2641</v>
      </c>
    </row>
    <row r="72" spans="1:7" ht="13.5">
      <c r="A72" s="2854"/>
      <c r="B72" s="2854"/>
      <c r="C72" s="2854" t="s">
        <v>2642</v>
      </c>
      <c r="D72" s="2854"/>
      <c r="E72" s="2854" t="s">
        <v>2613</v>
      </c>
      <c r="F72" s="2854" t="s">
        <v>2613</v>
      </c>
    </row>
    <row r="73" spans="1:7" ht="13.5">
      <c r="A73" s="2854">
        <v>1</v>
      </c>
      <c r="B73" s="3537" t="s">
        <v>2643</v>
      </c>
      <c r="C73" s="2828" t="s">
        <v>2644</v>
      </c>
      <c r="D73" s="2828" t="s">
        <v>2645</v>
      </c>
      <c r="E73" s="2854">
        <v>0.2</v>
      </c>
      <c r="F73" s="2854">
        <v>25</v>
      </c>
    </row>
    <row r="74" spans="1:7" ht="24">
      <c r="A74" s="2854">
        <v>2</v>
      </c>
      <c r="B74" s="3532"/>
      <c r="C74" s="2828" t="s">
        <v>2646</v>
      </c>
      <c r="D74" s="2828" t="s">
        <v>2647</v>
      </c>
      <c r="E74" s="2854">
        <v>0.2</v>
      </c>
      <c r="F74" s="2854">
        <v>25</v>
      </c>
    </row>
    <row r="75" spans="1:7" ht="24">
      <c r="A75" s="2854">
        <v>3</v>
      </c>
      <c r="B75" s="3532"/>
      <c r="C75" s="2828" t="s">
        <v>2648</v>
      </c>
      <c r="D75" s="2828" t="s">
        <v>2649</v>
      </c>
      <c r="E75" s="2854">
        <v>0.2</v>
      </c>
      <c r="F75" s="2854">
        <v>25</v>
      </c>
    </row>
    <row r="76" spans="1:7" ht="13.5">
      <c r="A76" s="2854">
        <v>4</v>
      </c>
      <c r="B76" s="3532"/>
      <c r="C76" s="2828" t="s">
        <v>2650</v>
      </c>
      <c r="D76" s="2828" t="s">
        <v>2651</v>
      </c>
      <c r="E76" s="2854">
        <v>0.15</v>
      </c>
      <c r="F76" s="2854">
        <v>20</v>
      </c>
    </row>
    <row r="77" spans="1:7" ht="24">
      <c r="A77" s="2854">
        <v>5</v>
      </c>
      <c r="B77" s="3532"/>
      <c r="C77" s="2828" t="s">
        <v>2652</v>
      </c>
      <c r="D77" s="2828" t="s">
        <v>2653</v>
      </c>
      <c r="E77" s="2854">
        <v>0.15</v>
      </c>
      <c r="F77" s="2854">
        <v>20</v>
      </c>
    </row>
    <row r="78" spans="1:7" ht="24">
      <c r="A78" s="2854">
        <v>6</v>
      </c>
      <c r="B78" s="3532"/>
      <c r="C78" s="2828" t="s">
        <v>2654</v>
      </c>
      <c r="D78" s="2828" t="s">
        <v>2655</v>
      </c>
      <c r="E78" s="2854">
        <v>0.15</v>
      </c>
      <c r="F78" s="2854">
        <v>20</v>
      </c>
    </row>
    <row r="79" spans="1:7" ht="24">
      <c r="A79" s="2854">
        <v>7</v>
      </c>
      <c r="B79" s="3532"/>
      <c r="C79" s="2828" t="s">
        <v>2656</v>
      </c>
      <c r="D79" s="2828" t="s">
        <v>2657</v>
      </c>
      <c r="E79" s="2854">
        <v>0.15</v>
      </c>
      <c r="F79" s="2854">
        <v>20</v>
      </c>
    </row>
    <row r="80" spans="1:7" ht="24">
      <c r="A80" s="2854">
        <v>8</v>
      </c>
      <c r="B80" s="3532"/>
      <c r="C80" s="2828" t="s">
        <v>2658</v>
      </c>
      <c r="D80" s="2828" t="s">
        <v>2659</v>
      </c>
      <c r="E80" s="2854">
        <v>0.1</v>
      </c>
      <c r="F80" s="2854">
        <v>15</v>
      </c>
    </row>
    <row r="81" spans="1:6" ht="24">
      <c r="A81" s="2854">
        <v>9</v>
      </c>
      <c r="B81" s="3532"/>
      <c r="C81" s="2828" t="s">
        <v>2660</v>
      </c>
      <c r="D81" s="2828" t="s">
        <v>2661</v>
      </c>
      <c r="E81" s="2854">
        <v>0.1</v>
      </c>
      <c r="F81" s="2854">
        <v>15</v>
      </c>
    </row>
    <row r="82" spans="1:6" ht="24">
      <c r="A82" s="2854">
        <v>10</v>
      </c>
      <c r="B82" s="3532"/>
      <c r="C82" s="2828" t="s">
        <v>2662</v>
      </c>
      <c r="D82" s="2828" t="s">
        <v>2663</v>
      </c>
      <c r="E82" s="2854">
        <v>0.1</v>
      </c>
      <c r="F82" s="2854">
        <v>15</v>
      </c>
    </row>
    <row r="83" spans="1:6" ht="24">
      <c r="A83" s="2854">
        <v>11</v>
      </c>
      <c r="B83" s="3532"/>
      <c r="C83" s="2828" t="s">
        <v>2664</v>
      </c>
      <c r="D83" s="2828" t="s">
        <v>2665</v>
      </c>
      <c r="E83" s="2854">
        <v>0.1</v>
      </c>
      <c r="F83" s="2854">
        <v>15</v>
      </c>
    </row>
    <row r="84" spans="1:6" ht="24">
      <c r="A84" s="2854">
        <v>12</v>
      </c>
      <c r="B84" s="3532"/>
      <c r="C84" s="2828" t="s">
        <v>2666</v>
      </c>
      <c r="D84" s="2828" t="s">
        <v>2667</v>
      </c>
      <c r="E84" s="2854">
        <v>0.1</v>
      </c>
      <c r="F84" s="2854">
        <v>15</v>
      </c>
    </row>
    <row r="85" spans="1:6" ht="13.5">
      <c r="A85" s="2854">
        <v>13</v>
      </c>
      <c r="B85" s="3532"/>
      <c r="C85" s="2828" t="s">
        <v>2668</v>
      </c>
      <c r="D85" s="2828" t="s">
        <v>2669</v>
      </c>
      <c r="E85" s="2854">
        <v>0.1</v>
      </c>
      <c r="F85" s="2854">
        <v>15</v>
      </c>
    </row>
    <row r="86" spans="1:6" ht="13.5">
      <c r="A86" s="2854">
        <v>14</v>
      </c>
      <c r="B86" s="3532"/>
      <c r="C86" s="2828" t="s">
        <v>2670</v>
      </c>
      <c r="D86" s="2828" t="s">
        <v>2671</v>
      </c>
      <c r="E86" s="2854">
        <v>0.1</v>
      </c>
      <c r="F86" s="2854">
        <v>15</v>
      </c>
    </row>
    <row r="87" spans="1:6" ht="13.5">
      <c r="A87" s="2854">
        <v>15</v>
      </c>
      <c r="B87" s="3532"/>
      <c r="C87" s="2828" t="s">
        <v>2672</v>
      </c>
      <c r="D87" s="2828" t="s">
        <v>2673</v>
      </c>
      <c r="E87" s="2854">
        <v>0.1</v>
      </c>
      <c r="F87" s="2854">
        <v>15</v>
      </c>
    </row>
    <row r="88" spans="1:6" ht="24">
      <c r="A88" s="2854">
        <v>16</v>
      </c>
      <c r="B88" s="3532"/>
      <c r="C88" s="2828" t="s">
        <v>2674</v>
      </c>
      <c r="D88" s="2828" t="s">
        <v>2675</v>
      </c>
      <c r="E88" s="2854">
        <v>0.1</v>
      </c>
      <c r="F88" s="2854">
        <v>15</v>
      </c>
    </row>
    <row r="89" spans="1:6" ht="24">
      <c r="A89" s="2854">
        <v>17</v>
      </c>
      <c r="B89" s="3541"/>
      <c r="C89" s="2828" t="s">
        <v>2676</v>
      </c>
      <c r="D89" s="2828" t="s">
        <v>2677</v>
      </c>
      <c r="E89" s="2854">
        <v>0.1</v>
      </c>
      <c r="F89" s="2854">
        <v>15</v>
      </c>
    </row>
    <row r="90" spans="1:6" ht="13.5">
      <c r="A90" s="2854">
        <v>18</v>
      </c>
      <c r="B90" s="3537" t="s">
        <v>2678</v>
      </c>
      <c r="C90" s="2828" t="s">
        <v>2679</v>
      </c>
      <c r="D90" s="2828" t="s">
        <v>2680</v>
      </c>
      <c r="E90" s="2854">
        <v>0.2</v>
      </c>
      <c r="F90" s="2854">
        <v>25</v>
      </c>
    </row>
    <row r="91" spans="1:6" ht="24">
      <c r="A91" s="2854">
        <v>19</v>
      </c>
      <c r="B91" s="3532"/>
      <c r="C91" s="2828" t="s">
        <v>2681</v>
      </c>
      <c r="D91" s="2828" t="s">
        <v>2682</v>
      </c>
      <c r="E91" s="2854">
        <v>0.2</v>
      </c>
      <c r="F91" s="2854">
        <v>25</v>
      </c>
    </row>
    <row r="92" spans="1:6" ht="13.5">
      <c r="A92" s="2854">
        <v>20</v>
      </c>
      <c r="B92" s="3532"/>
      <c r="C92" s="2828" t="s">
        <v>2683</v>
      </c>
      <c r="D92" s="2828" t="s">
        <v>2684</v>
      </c>
      <c r="E92" s="2854">
        <v>0.15</v>
      </c>
      <c r="F92" s="2854">
        <v>20</v>
      </c>
    </row>
    <row r="93" spans="1:6" ht="13.5">
      <c r="A93" s="2854">
        <v>21</v>
      </c>
      <c r="B93" s="3532"/>
      <c r="C93" s="2828" t="s">
        <v>2685</v>
      </c>
      <c r="D93" s="2828" t="s">
        <v>2686</v>
      </c>
      <c r="E93" s="2854">
        <v>0.15</v>
      </c>
      <c r="F93" s="2854">
        <v>20</v>
      </c>
    </row>
    <row r="94" spans="1:6" ht="13.5">
      <c r="A94" s="2854">
        <v>22</v>
      </c>
      <c r="B94" s="3532"/>
      <c r="C94" s="2828" t="s">
        <v>2687</v>
      </c>
      <c r="D94" s="2828" t="s">
        <v>2688</v>
      </c>
      <c r="E94" s="2854">
        <v>0.15</v>
      </c>
      <c r="F94" s="2854">
        <v>20</v>
      </c>
    </row>
    <row r="95" spans="1:6" ht="36">
      <c r="A95" s="2854">
        <v>23</v>
      </c>
      <c r="B95" s="3532"/>
      <c r="C95" s="2828" t="s">
        <v>2689</v>
      </c>
      <c r="D95" s="2828" t="s">
        <v>2690</v>
      </c>
      <c r="E95" s="2854">
        <v>0.15</v>
      </c>
      <c r="F95" s="2854">
        <v>20</v>
      </c>
    </row>
    <row r="96" spans="1:6" ht="13.5">
      <c r="A96" s="2854">
        <v>24</v>
      </c>
      <c r="B96" s="3532"/>
      <c r="C96" s="2828" t="s">
        <v>2691</v>
      </c>
      <c r="D96" s="2828" t="s">
        <v>2692</v>
      </c>
      <c r="E96" s="2854">
        <v>0.1</v>
      </c>
      <c r="F96" s="2854">
        <v>15</v>
      </c>
    </row>
    <row r="97" spans="1:6" ht="13.5">
      <c r="A97" s="2854">
        <v>25</v>
      </c>
      <c r="B97" s="3532"/>
      <c r="C97" s="2828" t="s">
        <v>2693</v>
      </c>
      <c r="D97" s="2828" t="s">
        <v>2694</v>
      </c>
      <c r="E97" s="2854">
        <v>0.1</v>
      </c>
      <c r="F97" s="2854">
        <v>15</v>
      </c>
    </row>
    <row r="98" spans="1:6" ht="24">
      <c r="A98" s="2854">
        <v>26</v>
      </c>
      <c r="B98" s="3532"/>
      <c r="C98" s="2828" t="s">
        <v>2695</v>
      </c>
      <c r="D98" s="2828" t="s">
        <v>2696</v>
      </c>
      <c r="E98" s="2854">
        <v>0.1</v>
      </c>
      <c r="F98" s="2854">
        <v>15</v>
      </c>
    </row>
    <row r="99" spans="1:6" ht="24">
      <c r="A99" s="2854">
        <v>27</v>
      </c>
      <c r="B99" s="3532"/>
      <c r="C99" s="2828" t="s">
        <v>2697</v>
      </c>
      <c r="D99" s="2828" t="s">
        <v>2698</v>
      </c>
      <c r="E99" s="2854">
        <v>0.1</v>
      </c>
      <c r="F99" s="2854">
        <v>15</v>
      </c>
    </row>
    <row r="100" spans="1:6" ht="13.5">
      <c r="A100" s="2854">
        <v>28</v>
      </c>
      <c r="B100" s="3532"/>
      <c r="C100" s="2828" t="s">
        <v>2699</v>
      </c>
      <c r="D100" s="2828" t="s">
        <v>2700</v>
      </c>
      <c r="E100" s="2854">
        <v>0.1</v>
      </c>
      <c r="F100" s="2854">
        <v>15</v>
      </c>
    </row>
    <row r="101" spans="1:6" ht="13.5">
      <c r="A101" s="2854">
        <v>29</v>
      </c>
      <c r="B101" s="3532"/>
      <c r="C101" s="2828" t="s">
        <v>2701</v>
      </c>
      <c r="D101" s="2828" t="s">
        <v>2702</v>
      </c>
      <c r="E101" s="2854">
        <v>0.1</v>
      </c>
      <c r="F101" s="2854">
        <v>15</v>
      </c>
    </row>
    <row r="102" spans="1:6" ht="13.5">
      <c r="A102" s="2854">
        <v>30</v>
      </c>
      <c r="B102" s="3532"/>
      <c r="C102" s="2828" t="s">
        <v>2703</v>
      </c>
      <c r="D102" s="2828" t="s">
        <v>2704</v>
      </c>
      <c r="E102" s="2854">
        <v>0.1</v>
      </c>
      <c r="F102" s="2854">
        <v>15</v>
      </c>
    </row>
    <row r="103" spans="1:6" ht="24">
      <c r="A103" s="2854">
        <v>31</v>
      </c>
      <c r="B103" s="3532"/>
      <c r="C103" s="2828" t="s">
        <v>2705</v>
      </c>
      <c r="D103" s="2828" t="s">
        <v>2706</v>
      </c>
      <c r="E103" s="2854">
        <v>0.1</v>
      </c>
      <c r="F103" s="2854">
        <v>15</v>
      </c>
    </row>
    <row r="104" spans="1:6" ht="24">
      <c r="A104" s="2854">
        <v>32</v>
      </c>
      <c r="B104" s="3532"/>
      <c r="C104" s="2828" t="s">
        <v>2707</v>
      </c>
      <c r="D104" s="2828" t="s">
        <v>2708</v>
      </c>
      <c r="E104" s="2854">
        <v>0.1</v>
      </c>
      <c r="F104" s="2854">
        <v>15</v>
      </c>
    </row>
    <row r="105" spans="1:6" ht="24">
      <c r="A105" s="2854">
        <v>33</v>
      </c>
      <c r="B105" s="3532"/>
      <c r="C105" s="2828" t="s">
        <v>2709</v>
      </c>
      <c r="D105" s="2828" t="s">
        <v>2710</v>
      </c>
      <c r="E105" s="2854">
        <v>0.1</v>
      </c>
      <c r="F105" s="2854">
        <v>15</v>
      </c>
    </row>
    <row r="106" spans="1:6" ht="24">
      <c r="A106" s="2854">
        <v>34</v>
      </c>
      <c r="B106" s="3541"/>
      <c r="C106" s="2828" t="s">
        <v>2711</v>
      </c>
      <c r="D106" s="2828" t="s">
        <v>2712</v>
      </c>
      <c r="E106" s="2854">
        <v>0.1</v>
      </c>
      <c r="F106" s="2854">
        <v>15</v>
      </c>
    </row>
    <row r="107" spans="1:6" ht="24">
      <c r="A107" s="2854">
        <v>35</v>
      </c>
      <c r="B107" s="3537" t="s">
        <v>2713</v>
      </c>
      <c r="C107" s="2854" t="s">
        <v>2714</v>
      </c>
      <c r="D107" s="2828" t="s">
        <v>2715</v>
      </c>
      <c r="E107" s="2854">
        <v>0.15</v>
      </c>
      <c r="F107" s="2854">
        <v>20</v>
      </c>
    </row>
    <row r="108" spans="1:6" ht="13.5">
      <c r="A108" s="2854">
        <v>36</v>
      </c>
      <c r="B108" s="3532"/>
      <c r="C108" s="2854" t="s">
        <v>2716</v>
      </c>
      <c r="D108" s="2828" t="s">
        <v>2717</v>
      </c>
      <c r="E108" s="2854">
        <v>0.15</v>
      </c>
      <c r="F108" s="2854">
        <v>20</v>
      </c>
    </row>
    <row r="109" spans="1:6" ht="13.5">
      <c r="A109" s="2854">
        <v>37</v>
      </c>
      <c r="B109" s="3532"/>
      <c r="C109" s="2854" t="s">
        <v>2718</v>
      </c>
      <c r="D109" s="2828" t="s">
        <v>2719</v>
      </c>
      <c r="E109" s="2854">
        <v>0.15</v>
      </c>
      <c r="F109" s="2854">
        <v>20</v>
      </c>
    </row>
    <row r="110" spans="1:6" ht="13.5">
      <c r="A110" s="2854">
        <v>38</v>
      </c>
      <c r="B110" s="3532"/>
      <c r="C110" s="2854" t="s">
        <v>2720</v>
      </c>
      <c r="D110" s="2828" t="s">
        <v>2721</v>
      </c>
      <c r="E110" s="2854">
        <v>0.1</v>
      </c>
      <c r="F110" s="2854">
        <v>15</v>
      </c>
    </row>
    <row r="111" spans="1:6" ht="24">
      <c r="A111" s="2854">
        <v>39</v>
      </c>
      <c r="B111" s="3532"/>
      <c r="C111" s="2854" t="s">
        <v>2722</v>
      </c>
      <c r="D111" s="2828" t="s">
        <v>2723</v>
      </c>
      <c r="E111" s="2854">
        <v>0.1</v>
      </c>
      <c r="F111" s="2854">
        <v>15</v>
      </c>
    </row>
    <row r="112" spans="1:6" ht="24">
      <c r="A112" s="2854">
        <v>40</v>
      </c>
      <c r="B112" s="3541"/>
      <c r="C112" s="2854" t="s">
        <v>2724</v>
      </c>
      <c r="D112" s="2828" t="s">
        <v>2725</v>
      </c>
      <c r="E112" s="2854">
        <v>0.1</v>
      </c>
      <c r="F112" s="2854">
        <v>15</v>
      </c>
    </row>
    <row r="113" spans="1:6" ht="13.5">
      <c r="A113" s="2854">
        <v>41</v>
      </c>
      <c r="B113" s="3542" t="s">
        <v>2726</v>
      </c>
      <c r="C113" s="2854" t="s">
        <v>2727</v>
      </c>
      <c r="D113" s="2828" t="s">
        <v>2728</v>
      </c>
      <c r="E113" s="2854">
        <v>0.1</v>
      </c>
      <c r="F113" s="2854">
        <v>15</v>
      </c>
    </row>
    <row r="114" spans="1:6" ht="13.5">
      <c r="A114" s="2854">
        <v>42</v>
      </c>
      <c r="B114" s="3542"/>
      <c r="C114" s="2854" t="s">
        <v>2729</v>
      </c>
      <c r="D114" s="2828" t="s">
        <v>2730</v>
      </c>
      <c r="E114" s="2854">
        <v>0.1</v>
      </c>
      <c r="F114" s="2854">
        <v>15</v>
      </c>
    </row>
    <row r="115" spans="1:6" ht="24">
      <c r="A115" s="2854">
        <v>43</v>
      </c>
      <c r="B115" s="3542"/>
      <c r="C115" s="2854" t="s">
        <v>2731</v>
      </c>
      <c r="D115" s="2828" t="s">
        <v>2732</v>
      </c>
      <c r="E115" s="2854">
        <v>0.1</v>
      </c>
      <c r="F115" s="2854">
        <v>15</v>
      </c>
    </row>
    <row r="116" spans="1:6" ht="13.5">
      <c r="A116" s="2854">
        <v>44</v>
      </c>
      <c r="B116" s="3537" t="s">
        <v>2733</v>
      </c>
      <c r="C116" s="2854" t="s">
        <v>2734</v>
      </c>
      <c r="D116" s="2828" t="s">
        <v>2735</v>
      </c>
      <c r="E116" s="2854">
        <v>0.1</v>
      </c>
      <c r="F116" s="2854">
        <v>15</v>
      </c>
    </row>
    <row r="117" spans="1:6" ht="24">
      <c r="A117" s="2854">
        <v>45</v>
      </c>
      <c r="B117" s="3541"/>
      <c r="C117" s="2828" t="s">
        <v>2736</v>
      </c>
      <c r="D117" s="2828" t="s">
        <v>2737</v>
      </c>
      <c r="E117" s="2854">
        <v>0.1</v>
      </c>
      <c r="F117" s="2854">
        <v>15</v>
      </c>
    </row>
    <row r="118" spans="1:6" ht="24">
      <c r="A118" s="2854">
        <v>46</v>
      </c>
      <c r="B118" s="3537" t="s">
        <v>2738</v>
      </c>
      <c r="C118" s="2854" t="s">
        <v>2739</v>
      </c>
      <c r="D118" s="2828" t="s">
        <v>2740</v>
      </c>
      <c r="E118" s="2854">
        <v>0.1</v>
      </c>
      <c r="F118" s="2854">
        <v>15</v>
      </c>
    </row>
    <row r="119" spans="1:6" ht="24">
      <c r="A119" s="2854">
        <v>47</v>
      </c>
      <c r="B119" s="3541"/>
      <c r="C119" s="2854" t="s">
        <v>2741</v>
      </c>
      <c r="D119" s="2828" t="s">
        <v>2742</v>
      </c>
      <c r="E119" s="2854">
        <v>0.1</v>
      </c>
      <c r="F119" s="2854">
        <v>15</v>
      </c>
    </row>
    <row r="120" spans="1:6" ht="13.5">
      <c r="A120" s="2854">
        <v>48</v>
      </c>
      <c r="B120" s="3537" t="s">
        <v>2743</v>
      </c>
      <c r="C120" s="2854" t="s">
        <v>2744</v>
      </c>
      <c r="D120" s="2828" t="s">
        <v>2745</v>
      </c>
      <c r="E120" s="2854">
        <v>0.1</v>
      </c>
      <c r="F120" s="2854">
        <v>15</v>
      </c>
    </row>
    <row r="121" spans="1:6" ht="13.5">
      <c r="A121" s="2854">
        <v>49</v>
      </c>
      <c r="B121" s="3541"/>
      <c r="C121" s="2854" t="s">
        <v>2746</v>
      </c>
      <c r="D121" s="2828" t="s">
        <v>2747</v>
      </c>
      <c r="E121" s="2854">
        <v>0.1</v>
      </c>
      <c r="F121" s="2854">
        <v>15</v>
      </c>
    </row>
    <row r="122" spans="1:6" ht="24">
      <c r="A122" s="2854">
        <v>50</v>
      </c>
      <c r="B122" s="3542" t="s">
        <v>2748</v>
      </c>
      <c r="C122" s="2854" t="s">
        <v>2749</v>
      </c>
      <c r="D122" s="2828" t="s">
        <v>2750</v>
      </c>
      <c r="E122" s="2854">
        <v>0.1</v>
      </c>
      <c r="F122" s="2854">
        <v>15</v>
      </c>
    </row>
    <row r="123" spans="1:6" ht="24">
      <c r="A123" s="2854">
        <v>51</v>
      </c>
      <c r="B123" s="3542"/>
      <c r="C123" s="2854" t="s">
        <v>2751</v>
      </c>
      <c r="D123" s="2828" t="s">
        <v>2752</v>
      </c>
      <c r="E123" s="2854">
        <v>0.1</v>
      </c>
      <c r="F123" s="2854">
        <v>15</v>
      </c>
    </row>
    <row r="124" spans="1:6" ht="24">
      <c r="A124" s="2854">
        <v>52</v>
      </c>
      <c r="B124" s="3542" t="s">
        <v>2753</v>
      </c>
      <c r="C124" s="2854" t="s">
        <v>2754</v>
      </c>
      <c r="D124" s="2828" t="s">
        <v>2755</v>
      </c>
      <c r="E124" s="2854">
        <v>0.1</v>
      </c>
      <c r="F124" s="2854">
        <v>15</v>
      </c>
    </row>
    <row r="125" spans="1:6" ht="24">
      <c r="A125" s="2854">
        <v>53</v>
      </c>
      <c r="B125" s="3542"/>
      <c r="C125" s="2854" t="s">
        <v>2756</v>
      </c>
      <c r="D125" s="2828" t="s">
        <v>2757</v>
      </c>
      <c r="E125" s="2854">
        <v>0.1</v>
      </c>
      <c r="F125" s="2854">
        <v>15</v>
      </c>
    </row>
    <row r="126" spans="1:6" ht="13.5">
      <c r="A126" s="2854">
        <v>54</v>
      </c>
      <c r="B126" s="2854" t="s">
        <v>2758</v>
      </c>
      <c r="C126" s="2854" t="s">
        <v>2759</v>
      </c>
      <c r="D126" s="2828" t="s">
        <v>2760</v>
      </c>
      <c r="E126" s="2854">
        <v>0.1</v>
      </c>
      <c r="F126" s="2854">
        <v>15</v>
      </c>
    </row>
    <row r="127" spans="1:6" ht="13.5">
      <c r="A127" s="2854">
        <v>55</v>
      </c>
      <c r="B127" s="3542" t="s">
        <v>2761</v>
      </c>
      <c r="C127" s="2854" t="s">
        <v>2762</v>
      </c>
      <c r="D127" s="2828" t="s">
        <v>2763</v>
      </c>
      <c r="E127" s="2854">
        <v>0.1</v>
      </c>
      <c r="F127" s="2854">
        <v>15</v>
      </c>
    </row>
    <row r="128" spans="1:6" ht="13.5">
      <c r="A128" s="2854">
        <v>56</v>
      </c>
      <c r="B128" s="3542"/>
      <c r="C128" s="2854" t="s">
        <v>2764</v>
      </c>
      <c r="D128" s="2828" t="s">
        <v>2765</v>
      </c>
      <c r="E128" s="2854">
        <v>0.1</v>
      </c>
      <c r="F128" s="2854">
        <v>15</v>
      </c>
    </row>
    <row r="129" spans="1:6" ht="24">
      <c r="A129" s="2854">
        <v>57</v>
      </c>
      <c r="B129" s="3542"/>
      <c r="C129" s="2854" t="s">
        <v>2766</v>
      </c>
      <c r="D129" s="2828" t="s">
        <v>2767</v>
      </c>
      <c r="E129" s="2854">
        <v>0.1</v>
      </c>
      <c r="F129" s="2854">
        <v>15</v>
      </c>
    </row>
    <row r="130" spans="1:6" ht="24">
      <c r="A130" s="2854">
        <v>58</v>
      </c>
      <c r="B130" s="3542" t="s">
        <v>2768</v>
      </c>
      <c r="C130" s="2854" t="s">
        <v>2769</v>
      </c>
      <c r="D130" s="2828" t="s">
        <v>2770</v>
      </c>
      <c r="E130" s="2854">
        <v>0.1</v>
      </c>
      <c r="F130" s="2854">
        <v>15</v>
      </c>
    </row>
    <row r="131" spans="1:6" ht="13.5">
      <c r="A131" s="2854">
        <v>59</v>
      </c>
      <c r="B131" s="3542"/>
      <c r="C131" s="2854" t="s">
        <v>2771</v>
      </c>
      <c r="D131" s="2828" t="s">
        <v>2772</v>
      </c>
      <c r="E131" s="2854">
        <v>0.1</v>
      </c>
      <c r="F131" s="2854">
        <v>15</v>
      </c>
    </row>
    <row r="132" spans="1:6" ht="13.5">
      <c r="A132" s="2854">
        <v>60</v>
      </c>
      <c r="B132" s="3537" t="s">
        <v>2773</v>
      </c>
      <c r="C132" s="2854" t="s">
        <v>2774</v>
      </c>
      <c r="D132" s="2828" t="s">
        <v>2775</v>
      </c>
      <c r="E132" s="2854">
        <v>0.1</v>
      </c>
      <c r="F132" s="2854">
        <v>15</v>
      </c>
    </row>
    <row r="133" spans="1:6" ht="13.5">
      <c r="A133" s="2854">
        <v>61</v>
      </c>
      <c r="B133" s="3541"/>
      <c r="C133" s="2854" t="s">
        <v>2776</v>
      </c>
      <c r="D133" s="2828" t="s">
        <v>2777</v>
      </c>
      <c r="E133" s="2854">
        <v>0.1</v>
      </c>
      <c r="F133" s="2854">
        <v>15</v>
      </c>
    </row>
    <row r="134" spans="1:6" ht="24">
      <c r="A134" s="2854">
        <v>62</v>
      </c>
      <c r="B134" s="2854" t="s">
        <v>2778</v>
      </c>
      <c r="C134" s="2854" t="s">
        <v>2779</v>
      </c>
      <c r="D134" s="2828" t="s">
        <v>2780</v>
      </c>
      <c r="E134" s="2854">
        <v>0.1</v>
      </c>
      <c r="F134" s="2854">
        <v>15</v>
      </c>
    </row>
    <row r="135" spans="1:6" ht="13.5">
      <c r="A135" s="2854">
        <v>63</v>
      </c>
      <c r="B135" s="3542" t="s">
        <v>2781</v>
      </c>
      <c r="C135" s="2854" t="s">
        <v>2782</v>
      </c>
      <c r="D135" s="2828" t="s">
        <v>2783</v>
      </c>
      <c r="E135" s="2854">
        <v>0.1</v>
      </c>
      <c r="F135" s="2854">
        <v>15</v>
      </c>
    </row>
    <row r="136" spans="1:6" ht="13.5">
      <c r="A136" s="2854">
        <v>64</v>
      </c>
      <c r="B136" s="3542"/>
      <c r="C136" s="2854" t="s">
        <v>2784</v>
      </c>
      <c r="D136" s="2828" t="s">
        <v>2785</v>
      </c>
      <c r="E136" s="2854">
        <v>0.1</v>
      </c>
      <c r="F136" s="2854">
        <v>15</v>
      </c>
    </row>
    <row r="137" spans="1:6" ht="13.5">
      <c r="A137" s="2854">
        <v>65</v>
      </c>
      <c r="B137" s="2854" t="s">
        <v>2786</v>
      </c>
      <c r="C137" s="2854" t="s">
        <v>2787</v>
      </c>
      <c r="D137" s="2828" t="s">
        <v>2788</v>
      </c>
      <c r="E137" s="2854">
        <v>0.1</v>
      </c>
      <c r="F137" s="2854">
        <v>15</v>
      </c>
    </row>
    <row r="138" spans="1:6" ht="13.5">
      <c r="A138" s="2854"/>
      <c r="B138" s="2854"/>
      <c r="C138" s="2854"/>
      <c r="D138" s="2854"/>
      <c r="E138" s="2854" t="s">
        <v>2789</v>
      </c>
      <c r="F138" s="2854"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2790</v>
      </c>
      <c r="B1" s="2862"/>
      <c r="C1" s="2862"/>
      <c r="D1" s="2862"/>
      <c r="E1" s="2862"/>
      <c r="F1" s="2862"/>
      <c r="G1" s="2862"/>
      <c r="H1" s="2862"/>
      <c r="I1" s="2862"/>
      <c r="J1" s="2862"/>
      <c r="K1" s="2862"/>
      <c r="L1" s="2862"/>
      <c r="M1" s="2862"/>
      <c r="N1" s="705"/>
    </row>
    <row r="2" spans="1:20">
      <c r="A2" s="2863" t="s">
        <v>2791</v>
      </c>
      <c r="B2" s="2864" t="s">
        <v>2587</v>
      </c>
      <c r="C2" s="2864" t="s">
        <v>2588</v>
      </c>
      <c r="D2" s="2864" t="s">
        <v>2589</v>
      </c>
      <c r="E2" s="2864" t="s">
        <v>2590</v>
      </c>
      <c r="F2" s="2864" t="s">
        <v>2591</v>
      </c>
      <c r="G2" s="2864" t="s">
        <v>2592</v>
      </c>
      <c r="H2" s="2865" t="s">
        <v>2593</v>
      </c>
      <c r="I2" s="2865" t="s">
        <v>2594</v>
      </c>
      <c r="J2" s="2866" t="s">
        <v>2595</v>
      </c>
      <c r="K2" s="2866" t="s">
        <v>2596</v>
      </c>
      <c r="L2" s="2866" t="s">
        <v>2597</v>
      </c>
      <c r="M2" s="2867" t="s">
        <v>2598</v>
      </c>
      <c r="Q2" s="2877" t="s">
        <v>2796</v>
      </c>
      <c r="R2" s="2877" t="s">
        <v>2797</v>
      </c>
      <c r="S2" s="2877" t="s">
        <v>2798</v>
      </c>
      <c r="T2" s="2877" t="s">
        <v>2799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2792</v>
      </c>
      <c r="B93" s="2862"/>
      <c r="C93" s="2862"/>
      <c r="D93" s="2862"/>
      <c r="E93" s="2862"/>
      <c r="F93" s="2862"/>
      <c r="G93" s="2862"/>
      <c r="H93" s="2862"/>
      <c r="I93" s="2862"/>
      <c r="J93" s="2862"/>
      <c r="K93" s="2862"/>
      <c r="L93" s="2862"/>
      <c r="M93" s="2862"/>
    </row>
    <row r="94" spans="1:20">
      <c r="A94" s="2863" t="s">
        <v>2791</v>
      </c>
      <c r="B94" s="2864" t="s">
        <v>2587</v>
      </c>
      <c r="C94" s="2864" t="s">
        <v>2588</v>
      </c>
      <c r="D94" s="2864" t="s">
        <v>2589</v>
      </c>
      <c r="E94" s="2864" t="s">
        <v>2590</v>
      </c>
      <c r="F94" s="2864" t="s">
        <v>2591</v>
      </c>
      <c r="G94" s="2864" t="s">
        <v>2592</v>
      </c>
      <c r="H94" s="2865" t="s">
        <v>2593</v>
      </c>
      <c r="I94" s="2865" t="s">
        <v>2594</v>
      </c>
      <c r="J94" s="2866" t="s">
        <v>2595</v>
      </c>
      <c r="K94" s="2866" t="s">
        <v>2596</v>
      </c>
      <c r="L94" s="2866" t="s">
        <v>2597</v>
      </c>
      <c r="M94" s="2867" t="s">
        <v>2598</v>
      </c>
      <c r="N94">
        <f>SUMPRODUCT((A95:A184=ROUNDDOWN(基准地价修正!G3,1))*(B94:M94=基准地价修正!G2)*(B95:M184))</f>
        <v>0</v>
      </c>
      <c r="Q94" s="2877" t="s">
        <v>2796</v>
      </c>
      <c r="R94" s="2877" t="s">
        <v>2797</v>
      </c>
      <c r="S94" s="2877" t="s">
        <v>2798</v>
      </c>
      <c r="T94" s="2877" t="s">
        <v>2799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5"/>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5"/>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2793</v>
      </c>
      <c r="B185" s="2862"/>
      <c r="C185" s="2862"/>
      <c r="D185" s="2862"/>
      <c r="E185" s="2862"/>
      <c r="F185" s="2862"/>
      <c r="G185" s="2862"/>
      <c r="H185" s="2862"/>
      <c r="I185" s="2862"/>
      <c r="J185" s="2862"/>
      <c r="K185" s="2862"/>
      <c r="L185" s="2862"/>
      <c r="M185" s="2862"/>
    </row>
    <row r="186" spans="1:20">
      <c r="A186" s="2863" t="s">
        <v>2791</v>
      </c>
      <c r="B186" s="2864" t="s">
        <v>2587</v>
      </c>
      <c r="C186" s="2864" t="s">
        <v>2588</v>
      </c>
      <c r="D186" s="2864" t="s">
        <v>2589</v>
      </c>
      <c r="E186" s="2864" t="s">
        <v>2590</v>
      </c>
      <c r="F186" s="2864" t="s">
        <v>2591</v>
      </c>
      <c r="G186" s="2864" t="s">
        <v>2592</v>
      </c>
      <c r="H186" s="2865" t="s">
        <v>2593</v>
      </c>
      <c r="I186" s="2865" t="s">
        <v>2594</v>
      </c>
      <c r="J186" s="2866" t="s">
        <v>2595</v>
      </c>
      <c r="K186" s="2866" t="s">
        <v>2596</v>
      </c>
      <c r="L186" s="2866" t="s">
        <v>2597</v>
      </c>
      <c r="M186" s="2867" t="s">
        <v>2598</v>
      </c>
      <c r="Q186" s="2877" t="s">
        <v>2796</v>
      </c>
      <c r="R186" s="2877" t="s">
        <v>2797</v>
      </c>
      <c r="S186" s="2877" t="s">
        <v>2798</v>
      </c>
      <c r="T186" s="2877" t="s">
        <v>2799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2794</v>
      </c>
      <c r="B277" s="2862"/>
      <c r="C277" s="2862"/>
      <c r="D277" s="2862"/>
      <c r="E277" s="2862"/>
      <c r="F277" s="2862"/>
      <c r="G277" s="2862"/>
      <c r="H277" s="2862"/>
      <c r="I277" s="2862"/>
      <c r="J277" s="2862"/>
      <c r="K277" s="2862"/>
      <c r="L277" s="2862"/>
      <c r="M277" s="2862"/>
    </row>
    <row r="278" spans="1:21">
      <c r="A278" s="2863" t="s">
        <v>2791</v>
      </c>
      <c r="B278" s="2864" t="s">
        <v>2587</v>
      </c>
      <c r="C278" s="2864" t="s">
        <v>2588</v>
      </c>
      <c r="D278" s="2864" t="s">
        <v>2589</v>
      </c>
      <c r="E278" s="2864" t="s">
        <v>2590</v>
      </c>
      <c r="F278" s="2864" t="s">
        <v>2591</v>
      </c>
      <c r="G278" s="2864" t="s">
        <v>2592</v>
      </c>
      <c r="H278" s="2865" t="s">
        <v>2593</v>
      </c>
      <c r="I278" s="2865" t="s">
        <v>2594</v>
      </c>
      <c r="J278" s="2866" t="s">
        <v>2595</v>
      </c>
      <c r="K278" s="2866" t="s">
        <v>2596</v>
      </c>
      <c r="L278" s="2866" t="s">
        <v>2597</v>
      </c>
      <c r="M278" s="2867" t="s">
        <v>2598</v>
      </c>
      <c r="Q278" s="2877" t="s">
        <v>2796</v>
      </c>
      <c r="R278" s="2877" t="s">
        <v>2797</v>
      </c>
      <c r="S278" s="2877" t="s">
        <v>2800</v>
      </c>
      <c r="T278" s="2877" t="s">
        <v>2801</v>
      </c>
      <c r="U278" s="2877" t="s">
        <v>2799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2795</v>
      </c>
      <c r="B369" s="2875"/>
      <c r="C369" s="2875"/>
      <c r="D369" s="2875"/>
      <c r="E369" s="2875"/>
      <c r="F369" s="2875"/>
      <c r="G369" s="2875"/>
      <c r="H369" s="2875"/>
      <c r="I369" s="2875"/>
      <c r="J369" s="2875"/>
      <c r="K369" s="2875"/>
      <c r="L369" s="2875"/>
      <c r="M369" s="2875"/>
    </row>
    <row r="370" spans="1:20">
      <c r="A370" s="2863" t="s">
        <v>2791</v>
      </c>
      <c r="B370" s="2864" t="s">
        <v>2587</v>
      </c>
      <c r="C370" s="2864" t="s">
        <v>2588</v>
      </c>
      <c r="D370" s="2864" t="s">
        <v>2589</v>
      </c>
      <c r="E370" s="2864" t="s">
        <v>2590</v>
      </c>
      <c r="F370" s="2864" t="s">
        <v>2591</v>
      </c>
      <c r="G370" s="2864" t="s">
        <v>2592</v>
      </c>
      <c r="H370" s="2865" t="s">
        <v>2593</v>
      </c>
      <c r="I370" s="2865" t="s">
        <v>2594</v>
      </c>
      <c r="J370" s="2866" t="s">
        <v>2595</v>
      </c>
      <c r="K370" s="2866" t="s">
        <v>2596</v>
      </c>
      <c r="L370" s="2866" t="s">
        <v>2597</v>
      </c>
      <c r="M370" s="2867" t="s">
        <v>2598</v>
      </c>
      <c r="N370">
        <f>SUMPRODUCT((A371:A460=ROUNDDOWN(基准地价修正!G3,1))*(B370:M370=基准地价修正!G2)*(B371:M460))</f>
        <v>0</v>
      </c>
      <c r="Q370" s="2877" t="s">
        <v>2796</v>
      </c>
      <c r="R370" s="2877" t="s">
        <v>2797</v>
      </c>
      <c r="S370" s="2877" t="s">
        <v>2798</v>
      </c>
      <c r="T370" s="2877" t="s">
        <v>2799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8" t="str">
        <f>IF(项目基本情况!B9="房地产市场价值","估价结果一览表","结果表-2")</f>
        <v>结果表-2</v>
      </c>
      <c r="B1" s="3228"/>
      <c r="C1" s="3228"/>
      <c r="D1" s="3228"/>
      <c r="E1" s="3228"/>
      <c r="F1" s="3228"/>
      <c r="G1" s="3228"/>
      <c r="H1" s="3228"/>
      <c r="I1" s="3228"/>
    </row>
    <row r="2" spans="1:9" ht="30" customHeight="1" thickTop="1">
      <c r="A2" s="3229" t="s">
        <v>928</v>
      </c>
      <c r="B2" s="3229" t="s">
        <v>929</v>
      </c>
      <c r="C2" s="3229" t="s">
        <v>930</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
      <c r="A3" s="3230"/>
      <c r="B3" s="3230"/>
      <c r="C3" s="3230"/>
      <c r="D3" s="799" t="s">
        <v>925</v>
      </c>
      <c r="E3" s="799" t="s">
        <v>931</v>
      </c>
      <c r="F3" s="799" t="s">
        <v>925</v>
      </c>
      <c r="G3" s="799" t="s">
        <v>926</v>
      </c>
      <c r="H3" s="799" t="s">
        <v>925</v>
      </c>
      <c r="I3" s="799" t="s">
        <v>926</v>
      </c>
    </row>
    <row r="4" spans="1:9" ht="15">
      <c r="A4" s="1401" t="str">
        <f>项目基本情况!S2</f>
        <v>北京市房地产</v>
      </c>
      <c r="B4" s="799">
        <f>项目基本情况!C17</f>
        <v>83292.240000000005</v>
      </c>
      <c r="C4" s="799">
        <f>项目基本情况!C18</f>
        <v>55606.63</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230" t="s">
        <v>927</v>
      </c>
      <c r="B5" s="3230"/>
      <c r="C5" s="3230"/>
      <c r="D5" s="3230" t="e">
        <f ca="1">结果表!D119</f>
        <v>#REF!</v>
      </c>
      <c r="E5" s="3230"/>
      <c r="F5" s="3230" t="e">
        <f ca="1">结果表!F119</f>
        <v>#REF!</v>
      </c>
      <c r="G5" s="3230"/>
      <c r="H5" s="3230" t="e">
        <f ca="1">结果表!H119</f>
        <v>#REF!</v>
      </c>
      <c r="I5" s="3230"/>
    </row>
    <row r="6" spans="1:9" ht="15.75">
      <c r="A6" s="3231" t="str">
        <f>结果表!A120</f>
        <v>估价师知悉的法定优先受偿款</v>
      </c>
      <c r="B6" s="3231"/>
      <c r="C6" s="3231"/>
      <c r="D6" s="3231">
        <f>结果表!D120</f>
        <v>0</v>
      </c>
      <c r="E6" s="3231"/>
      <c r="F6" s="3231"/>
      <c r="G6" s="3231"/>
      <c r="H6" s="3231"/>
      <c r="I6" s="3231"/>
    </row>
    <row r="7" spans="1:9" ht="15">
      <c r="A7" s="3230" t="s">
        <v>927</v>
      </c>
      <c r="B7" s="3230"/>
      <c r="C7" s="3230"/>
      <c r="D7" s="3232" t="str">
        <f>结果表!D121</f>
        <v>零元整</v>
      </c>
      <c r="E7" s="3233"/>
      <c r="F7" s="3233"/>
      <c r="G7" s="3233"/>
      <c r="H7" s="3233"/>
      <c r="I7" s="3234"/>
    </row>
    <row r="8" spans="1:9" ht="15.75">
      <c r="A8" s="3231" t="str">
        <f>结果表!A122</f>
        <v>房地产抵押价值</v>
      </c>
      <c r="B8" s="3231"/>
      <c r="C8" s="3231"/>
      <c r="D8" s="3231" t="e">
        <f ca="1">结果表!D122</f>
        <v>#REF!</v>
      </c>
      <c r="E8" s="3231"/>
      <c r="F8" s="3231"/>
      <c r="G8" s="3231"/>
      <c r="H8" s="3231"/>
      <c r="I8" s="3231"/>
    </row>
    <row r="9" spans="1:9" ht="15">
      <c r="A9" s="3230" t="s">
        <v>927</v>
      </c>
      <c r="B9" s="3230"/>
      <c r="C9" s="3230"/>
      <c r="D9" s="3230" t="e">
        <f ca="1">结果表!D123</f>
        <v>#REF!</v>
      </c>
      <c r="E9" s="3230"/>
      <c r="F9" s="3230"/>
      <c r="G9" s="3230"/>
      <c r="H9" s="3230"/>
      <c r="I9" s="3230"/>
    </row>
    <row r="10" spans="1:9" ht="15.75">
      <c r="A10" s="3231" t="str">
        <f>结果表!A124</f>
        <v/>
      </c>
      <c r="B10" s="3231"/>
      <c r="C10" s="3231"/>
      <c r="D10" s="3231" t="str">
        <f>结果表!D124</f>
        <v>——</v>
      </c>
      <c r="E10" s="3231"/>
      <c r="F10" s="3231"/>
      <c r="G10" s="3231"/>
      <c r="H10" s="3231"/>
      <c r="I10" s="3231"/>
    </row>
    <row r="11" spans="1:9" ht="15">
      <c r="A11" s="3230" t="s">
        <v>927</v>
      </c>
      <c r="B11" s="3230"/>
      <c r="C11" s="3230"/>
      <c r="D11" s="3230" t="e">
        <f>结果表!D125</f>
        <v>#VALUE!</v>
      </c>
      <c r="E11" s="3230"/>
      <c r="F11" s="3230"/>
      <c r="G11" s="3230"/>
      <c r="H11" s="3230"/>
      <c r="I11" s="3230"/>
    </row>
    <row r="12" spans="1:9" ht="15.75">
      <c r="A12" s="3231" t="str">
        <f>结果表!A126</f>
        <v/>
      </c>
      <c r="B12" s="3231"/>
      <c r="C12" s="3231"/>
      <c r="D12" s="3231" t="str">
        <f>结果表!D126</f>
        <v>——</v>
      </c>
      <c r="E12" s="3231"/>
      <c r="F12" s="3231"/>
      <c r="G12" s="3231"/>
      <c r="H12" s="3231"/>
      <c r="I12" s="3231"/>
    </row>
    <row r="13" spans="1:9" ht="15.75" thickBot="1">
      <c r="A13" s="3235" t="s">
        <v>927</v>
      </c>
      <c r="B13" s="3235"/>
      <c r="C13" s="3235"/>
      <c r="D13" s="3235" t="e">
        <f>结果表!D127</f>
        <v>#VALUE!</v>
      </c>
      <c r="E13" s="3235"/>
      <c r="F13" s="3235"/>
      <c r="G13" s="3235"/>
      <c r="H13" s="3235"/>
      <c r="I13" s="3235"/>
    </row>
    <row r="14" spans="1:9" ht="15" thickTop="1">
      <c r="A14" s="3236" t="s">
        <v>932</v>
      </c>
      <c r="B14" s="3236"/>
      <c r="C14" s="3236"/>
      <c r="D14" s="3236"/>
      <c r="E14" s="3236"/>
      <c r="F14" s="3236"/>
      <c r="G14" s="3236"/>
      <c r="H14" s="3236"/>
      <c r="I14" s="3236"/>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60291</v>
      </c>
      <c r="C2" s="2" t="s">
        <v>106</v>
      </c>
      <c r="D2" s="191"/>
      <c r="E2" s="191"/>
      <c r="F2" s="191"/>
      <c r="G2" s="191"/>
    </row>
    <row r="3" spans="1:7" s="192" customFormat="1" ht="18" customHeight="1" thickBot="1">
      <c r="A3" s="195" t="s">
        <v>58</v>
      </c>
      <c r="B3" s="196">
        <f ca="1">ROUND(B2*10000/'数据-汇总表'!E3,0)</f>
        <v>7238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160</v>
      </c>
      <c r="F9" s="213"/>
      <c r="G9" s="218"/>
    </row>
    <row r="10" spans="1:7" s="206" customFormat="1" ht="13.5" customHeight="1">
      <c r="A10" s="731" t="s">
        <v>356</v>
      </c>
      <c r="B10" s="216" t="s">
        <v>67</v>
      </c>
      <c r="C10" s="217">
        <f>ROUND(D10*E10/10000,0)</f>
        <v>1666</v>
      </c>
      <c r="D10" s="793">
        <f>'数据-汇总表'!E6</f>
        <v>83292.240000000005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1666</v>
      </c>
      <c r="D19" s="204">
        <f>'数据-汇总表'!E3</f>
        <v>83292.240000000005</v>
      </c>
      <c r="E19" s="203">
        <f>'数据-取费表'!B31</f>
        <v>200</v>
      </c>
      <c r="F19" s="223"/>
      <c r="G19" s="1" t="s">
        <v>436</v>
      </c>
    </row>
    <row r="20" spans="1:7" s="206" customFormat="1" ht="13.5" customHeight="1">
      <c r="A20" s="729" t="s">
        <v>419</v>
      </c>
      <c r="B20" s="202" t="s">
        <v>77</v>
      </c>
      <c r="C20" s="224">
        <f>ROUND((C5+C19)*F20,0)</f>
        <v>446</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1990</v>
      </c>
      <c r="D22" s="227">
        <f ca="1">C26</f>
        <v>8.9999999999999998E-4</v>
      </c>
      <c r="E22" s="228" t="s">
        <v>99</v>
      </c>
      <c r="F22" s="229">
        <f ca="1">'数据-取费表'!B40</f>
        <v>3.4500000000000003E-2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1824</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147</v>
      </c>
      <c r="D24" s="230"/>
      <c r="E24" s="230"/>
      <c r="F24" s="231"/>
      <c r="G24" s="232" t="s">
        <v>82</v>
      </c>
    </row>
    <row r="25" spans="1:7" s="206" customFormat="1" ht="24">
      <c r="A25" s="732" t="s">
        <v>348</v>
      </c>
      <c r="B25" s="207" t="s">
        <v>420</v>
      </c>
      <c r="C25" s="1040">
        <f ca="1">ROUND(IF('数据-取费表'!B22&lt;=1,C20*F22*'数据-取费表'!B23/2,C20*(POWER((1+F22),'数据-取费表'!B23/2)-1)),0)</f>
        <v>19</v>
      </c>
      <c r="D25" s="230"/>
      <c r="E25" s="233"/>
      <c r="F25" s="231"/>
      <c r="G25" s="234" t="s">
        <v>83</v>
      </c>
    </row>
    <row r="26" spans="1:7" s="206" customFormat="1">
      <c r="A26" s="732" t="s">
        <v>350</v>
      </c>
      <c r="B26" s="207" t="s">
        <v>422</v>
      </c>
      <c r="C26" s="230">
        <f ca="1">ROUND(IF('数据-取费表'!B22&lt;=1,F21*F22*'数据-取费表'!B23/2,F21*(POWER((1+F22),'数据-取费表'!B23/2)-1)),4)</f>
        <v>8.9999999999999998E-4</v>
      </c>
      <c r="D26" s="230"/>
      <c r="E26" s="233"/>
      <c r="F26" s="231"/>
      <c r="G26" s="235"/>
    </row>
    <row r="27" spans="1:7" s="206" customFormat="1" ht="24.75">
      <c r="A27" s="729" t="s">
        <v>342</v>
      </c>
      <c r="B27" s="236" t="s">
        <v>85</v>
      </c>
      <c r="C27" s="237">
        <f>C28</f>
        <v>2727</v>
      </c>
      <c r="D27" s="227">
        <f>C29</f>
        <v>2.3999999999999998E-3</v>
      </c>
      <c r="E27" s="228" t="s">
        <v>99</v>
      </c>
      <c r="F27" s="238">
        <f>'数据-取费表'!Q16</f>
        <v>0.12</v>
      </c>
      <c r="G27" s="239" t="s">
        <v>431</v>
      </c>
    </row>
    <row r="28" spans="1:7" s="206" customFormat="1" ht="13.5" customHeight="1">
      <c r="A28" s="732" t="s">
        <v>349</v>
      </c>
      <c r="B28" s="240" t="s">
        <v>424</v>
      </c>
      <c r="C28" s="241">
        <f>ROUND((C5+C19+C20)*F27*'数据-取费表'!B21/'数据-取费表'!B20,0)</f>
        <v>2727</v>
      </c>
      <c r="D28" s="227"/>
      <c r="E28" s="228"/>
      <c r="F28" s="238"/>
      <c r="G28" s="239"/>
    </row>
    <row r="29" spans="1:7" s="206" customFormat="1" ht="13.5" customHeight="1">
      <c r="A29" s="732" t="s">
        <v>347</v>
      </c>
      <c r="B29" s="240" t="s">
        <v>425</v>
      </c>
      <c r="C29" s="230">
        <f>ROUND(C21*F27*'数据-取费表'!B21/'数据-取费表'!B20,4)</f>
        <v>2.3999999999999998E-3</v>
      </c>
      <c r="D29" s="227"/>
      <c r="E29" s="228"/>
      <c r="F29" s="238"/>
      <c r="G29" s="239"/>
    </row>
    <row r="30" spans="1:7" s="206" customFormat="1" ht="13.5" customHeight="1">
      <c r="A30" s="729"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29686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33297</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30269</v>
      </c>
      <c r="D34" s="209"/>
      <c r="E34" s="212"/>
      <c r="F34" s="249">
        <f>IF('数据-取费表'!B24=0,1,'数据-取费表'!N16)</f>
        <v>1</v>
      </c>
      <c r="G34" s="211" t="s">
        <v>89</v>
      </c>
    </row>
    <row r="35" spans="1:7" ht="13.5" customHeight="1">
      <c r="A35" s="732" t="s">
        <v>351</v>
      </c>
      <c r="B35" s="207" t="s">
        <v>33</v>
      </c>
      <c r="C35" s="212">
        <f>ROUND(C34*F35,0)</f>
        <v>908</v>
      </c>
      <c r="D35" s="212"/>
      <c r="E35" s="212"/>
      <c r="F35" s="251">
        <f>'数据-取费表'!B33</f>
        <v>0.03</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1666</v>
      </c>
      <c r="D37" s="209">
        <f>'数据-汇总表'!E3</f>
        <v>83292.240000000005</v>
      </c>
      <c r="E37" s="241">
        <f>'数据-取费表'!B35</f>
        <v>200</v>
      </c>
      <c r="F37" s="251"/>
      <c r="G37" s="253" t="s">
        <v>92</v>
      </c>
    </row>
    <row r="38" spans="1:7" ht="13.5" customHeight="1">
      <c r="A38" s="732" t="s">
        <v>354</v>
      </c>
      <c r="B38" s="207" t="s">
        <v>36</v>
      </c>
      <c r="C38" s="212">
        <f>ROUND(C34*F38,0)</f>
        <v>454</v>
      </c>
      <c r="D38" s="212"/>
      <c r="E38" s="212"/>
      <c r="F38" s="251">
        <f>'数据-取费表'!B36</f>
        <v>1.4999999999999999E-2</v>
      </c>
      <c r="G38" s="211" t="s">
        <v>90</v>
      </c>
    </row>
    <row r="39" spans="1:7" s="206" customFormat="1" ht="13.5" customHeight="1">
      <c r="A39" s="729" t="s">
        <v>338</v>
      </c>
      <c r="B39" s="202" t="s">
        <v>77</v>
      </c>
      <c r="C39" s="224">
        <f>ROUND(C33*F20,0)</f>
        <v>666</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1471</v>
      </c>
      <c r="D41" s="227">
        <f ca="1">C44</f>
        <v>8.9999999999999998E-4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1442</v>
      </c>
      <c r="D42" s="230"/>
      <c r="E42" s="230"/>
      <c r="F42" s="231"/>
      <c r="G42" s="3405" t="s">
        <v>94</v>
      </c>
    </row>
    <row r="43" spans="1:7" ht="13.5" customHeight="1">
      <c r="A43" s="732" t="s">
        <v>347</v>
      </c>
      <c r="B43" s="207" t="s">
        <v>426</v>
      </c>
      <c r="C43" s="230">
        <f ca="1">ROUND(IF('数据-取费表'!B22&lt;=1,C39*F22*'数据-取费表'!B21/2,C39*(POWER((1+F22),'数据-取费表'!B21/2)-1)),0)</f>
        <v>29</v>
      </c>
      <c r="D43" s="230"/>
      <c r="E43" s="230"/>
      <c r="F43" s="231"/>
      <c r="G43" s="3406"/>
    </row>
    <row r="44" spans="1:7" ht="13.5" customHeight="1">
      <c r="A44" s="732" t="s">
        <v>348</v>
      </c>
      <c r="B44" s="207" t="s">
        <v>428</v>
      </c>
      <c r="C44" s="230">
        <f ca="1">ROUND(IF('数据-取费表'!B22&lt;=1,C40*F22*'数据-取费表'!B21/2,C40*(POWER((1+F22),'数据-取费表'!B21/2)-1)),4)</f>
        <v>8.9999999999999998E-4</v>
      </c>
      <c r="D44" s="230"/>
      <c r="E44" s="230"/>
      <c r="F44" s="231"/>
      <c r="G44" s="3407"/>
    </row>
    <row r="45" spans="1:7" s="206" customFormat="1" ht="13.5" customHeight="1">
      <c r="A45" s="729" t="s">
        <v>341</v>
      </c>
      <c r="B45" s="236" t="s">
        <v>85</v>
      </c>
      <c r="C45" s="237">
        <f>C46</f>
        <v>4076</v>
      </c>
      <c r="D45" s="227">
        <f>C47</f>
        <v>2.3999999999999998E-3</v>
      </c>
      <c r="E45" s="228" t="s">
        <v>102</v>
      </c>
      <c r="F45" s="238"/>
      <c r="G45" s="239" t="s">
        <v>434</v>
      </c>
    </row>
    <row r="46" spans="1:7" s="206" customFormat="1" ht="13.5" customHeight="1">
      <c r="A46" s="732" t="s">
        <v>349</v>
      </c>
      <c r="B46" s="240" t="s">
        <v>427</v>
      </c>
      <c r="C46" s="241">
        <f>ROUND((C33+C39)*F27,0)</f>
        <v>4076</v>
      </c>
      <c r="D46" s="255"/>
      <c r="E46" s="228"/>
      <c r="F46" s="238"/>
      <c r="G46" s="239"/>
    </row>
    <row r="47" spans="1:7" s="206" customFormat="1" ht="13.5" customHeight="1">
      <c r="A47" s="732" t="s">
        <v>347</v>
      </c>
      <c r="B47" s="240" t="s">
        <v>429</v>
      </c>
      <c r="C47" s="230">
        <f>ROUND(C40*F27,4)</f>
        <v>2.3999999999999998E-3</v>
      </c>
      <c r="D47" s="255"/>
      <c r="E47" s="228"/>
      <c r="F47" s="238"/>
      <c r="G47" s="239"/>
    </row>
    <row r="48" spans="1:7" s="206" customFormat="1" ht="13.5" customHeight="1">
      <c r="A48" s="729" t="s">
        <v>342</v>
      </c>
      <c r="B48" s="202" t="s">
        <v>95</v>
      </c>
      <c r="C48" s="254">
        <f>F30</f>
        <v>5.5000000000000007E-2</v>
      </c>
      <c r="D48" s="228" t="s">
        <v>103</v>
      </c>
      <c r="E48" s="224"/>
      <c r="F48" s="229"/>
      <c r="G48" s="226" t="s">
        <v>96</v>
      </c>
    </row>
    <row r="49" spans="1:7" ht="16.5" customHeight="1">
      <c r="A49" s="729" t="s">
        <v>343</v>
      </c>
      <c r="B49" s="202" t="s">
        <v>104</v>
      </c>
      <c r="C49" s="224">
        <f ca="1">ROUND((C33+C39+C41+C45)/(1-C40-D41-D45-C48/(1+'数据-取费表'!B42)),0)</f>
        <v>42745</v>
      </c>
      <c r="D49" s="224"/>
      <c r="E49" s="224"/>
      <c r="F49" s="256"/>
      <c r="G49" s="226" t="s">
        <v>435</v>
      </c>
    </row>
    <row r="50" spans="1:7" s="250" customFormat="1" ht="24">
      <c r="A50" s="729" t="s">
        <v>344</v>
      </c>
      <c r="B50" s="202" t="s">
        <v>97</v>
      </c>
      <c r="C50" s="224"/>
      <c r="D50" s="224"/>
      <c r="E50" s="224"/>
      <c r="F50" s="256">
        <f>IF('数据-取费表'!B24=0,'数据-取费表'!N16,1)</f>
        <v>0.71599999999999997</v>
      </c>
      <c r="G50" s="239" t="s">
        <v>98</v>
      </c>
    </row>
    <row r="51" spans="1:7" ht="16.5" customHeight="1">
      <c r="A51" s="729" t="s">
        <v>345</v>
      </c>
      <c r="B51" s="202" t="s">
        <v>105</v>
      </c>
      <c r="C51" s="224">
        <f ca="1">ROUND(C49*F50,0)</f>
        <v>30605</v>
      </c>
      <c r="D51" s="224"/>
      <c r="E51" s="224"/>
      <c r="F51" s="256"/>
      <c r="G51" s="226" t="s">
        <v>37</v>
      </c>
    </row>
    <row r="52" spans="1:7" s="200" customFormat="1" ht="16.5" thickBot="1">
      <c r="A52" s="257" t="s">
        <v>38</v>
      </c>
      <c r="B52" s="258"/>
      <c r="C52" s="259">
        <f ca="1">C31+C51</f>
        <v>60291</v>
      </c>
      <c r="D52" s="258"/>
      <c r="E52" s="258"/>
      <c r="F52" s="258"/>
      <c r="G52" s="260"/>
    </row>
    <row r="55" spans="1:7" ht="15">
      <c r="B55" s="262" t="s">
        <v>39</v>
      </c>
      <c r="C55" s="263"/>
    </row>
    <row r="56" spans="1:7">
      <c r="B56" s="265" t="s">
        <v>40</v>
      </c>
      <c r="C56" s="266">
        <f ca="1">ROUND(C51/C52,3)</f>
        <v>0.50800000000000001</v>
      </c>
    </row>
    <row r="57" spans="1:7">
      <c r="B57" s="265" t="s">
        <v>41</v>
      </c>
      <c r="C57" s="267">
        <f ca="1">1-C56</f>
        <v>0.49199999999999999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45" t="s">
        <v>2831</v>
      </c>
      <c r="B1" s="3545"/>
      <c r="C1" s="3545"/>
      <c r="D1" s="3545"/>
      <c r="E1" s="3545"/>
      <c r="F1" s="3545"/>
      <c r="G1" s="3546"/>
      <c r="I1" s="2935" t="s">
        <v>2832</v>
      </c>
      <c r="J1" s="2936" t="s">
        <v>2833</v>
      </c>
      <c r="K1" s="2936" t="s">
        <v>2834</v>
      </c>
      <c r="L1" s="2936" t="s">
        <v>2835</v>
      </c>
      <c r="M1" s="2936" t="s">
        <v>2836</v>
      </c>
      <c r="N1" s="2936" t="s">
        <v>2837</v>
      </c>
      <c r="O1" s="2936" t="s">
        <v>2838</v>
      </c>
      <c r="P1" s="2936" t="s">
        <v>2839</v>
      </c>
      <c r="Q1" s="2936" t="s">
        <v>2840</v>
      </c>
      <c r="R1" s="2936" t="s">
        <v>2841</v>
      </c>
      <c r="S1" s="2936" t="s">
        <v>2842</v>
      </c>
      <c r="T1" s="2937" t="s">
        <v>2843</v>
      </c>
    </row>
    <row r="2" spans="1:20" ht="12" thickBot="1">
      <c r="A2" s="2938" t="s">
        <v>2844</v>
      </c>
      <c r="B2" s="2938"/>
      <c r="C2" s="2938"/>
      <c r="D2" s="2938"/>
      <c r="E2" s="2938"/>
      <c r="F2" s="2938"/>
      <c r="G2" s="2939" t="s">
        <v>2845</v>
      </c>
      <c r="I2" s="2940" t="s">
        <v>2846</v>
      </c>
      <c r="J2" s="2940" t="s">
        <v>2847</v>
      </c>
      <c r="K2" s="2940" t="s">
        <v>2848</v>
      </c>
      <c r="L2" s="2940" t="s">
        <v>2849</v>
      </c>
      <c r="M2" s="2940" t="s">
        <v>2850</v>
      </c>
      <c r="N2" s="2940" t="s">
        <v>2851</v>
      </c>
      <c r="O2" s="2940" t="s">
        <v>2852</v>
      </c>
      <c r="P2" s="2940" t="s">
        <v>2853</v>
      </c>
      <c r="Q2" s="2940" t="s">
        <v>2854</v>
      </c>
      <c r="R2" s="2940" t="s">
        <v>2855</v>
      </c>
      <c r="S2" s="2940" t="s">
        <v>2856</v>
      </c>
      <c r="T2" s="2940" t="s">
        <v>2857</v>
      </c>
    </row>
    <row r="3" spans="1:20" s="2946" customFormat="1">
      <c r="A3" s="3543" t="s">
        <v>2858</v>
      </c>
      <c r="B3" s="2941"/>
      <c r="C3" s="2942" t="s">
        <v>2803</v>
      </c>
      <c r="D3" s="2942" t="s">
        <v>2859</v>
      </c>
      <c r="E3" s="2942" t="s">
        <v>2805</v>
      </c>
      <c r="F3" s="2942" t="s">
        <v>2860</v>
      </c>
      <c r="G3" s="2942" t="s">
        <v>2623</v>
      </c>
      <c r="H3" s="2943"/>
      <c r="I3" s="2944" t="s">
        <v>2861</v>
      </c>
      <c r="J3" s="2945" t="s">
        <v>128</v>
      </c>
      <c r="K3" s="2945" t="s">
        <v>129</v>
      </c>
      <c r="L3" s="2944" t="s">
        <v>130</v>
      </c>
      <c r="M3" s="2944" t="s">
        <v>131</v>
      </c>
      <c r="N3" s="2944" t="s">
        <v>132</v>
      </c>
      <c r="O3" s="2944" t="s">
        <v>133</v>
      </c>
      <c r="P3" s="2944" t="s">
        <v>134</v>
      </c>
      <c r="Q3" s="2944" t="s">
        <v>135</v>
      </c>
      <c r="R3" s="2944" t="s">
        <v>136</v>
      </c>
      <c r="S3" s="2944" t="s">
        <v>2862</v>
      </c>
      <c r="T3" s="2944" t="s">
        <v>2863</v>
      </c>
    </row>
    <row r="4" spans="1:20" s="2946" customFormat="1" ht="12" thickBot="1">
      <c r="A4" s="3544"/>
      <c r="B4" s="2947" t="s">
        <v>2864</v>
      </c>
      <c r="C4" s="2947" t="s">
        <v>2865</v>
      </c>
      <c r="D4" s="2947" t="s">
        <v>2865</v>
      </c>
      <c r="E4" s="2947" t="s">
        <v>2865</v>
      </c>
      <c r="F4" s="2948" t="s">
        <v>2865</v>
      </c>
      <c r="G4" s="2948" t="s">
        <v>2865</v>
      </c>
      <c r="H4" s="2943"/>
      <c r="I4" s="2945" t="s">
        <v>137</v>
      </c>
      <c r="J4" s="2945" t="s">
        <v>111</v>
      </c>
      <c r="K4" s="2945" t="s">
        <v>138</v>
      </c>
      <c r="L4" s="2944" t="s">
        <v>139</v>
      </c>
      <c r="M4" s="2944" t="s">
        <v>140</v>
      </c>
      <c r="N4" s="2944" t="s">
        <v>141</v>
      </c>
      <c r="O4" s="2944" t="s">
        <v>142</v>
      </c>
      <c r="P4" s="2944" t="s">
        <v>143</v>
      </c>
      <c r="Q4" s="2944" t="s">
        <v>2866</v>
      </c>
      <c r="R4" s="2944" t="s">
        <v>2867</v>
      </c>
      <c r="S4" s="2944" t="s">
        <v>2868</v>
      </c>
      <c r="T4" s="2944" t="s">
        <v>2869</v>
      </c>
    </row>
    <row r="5" spans="1:20">
      <c r="A5" s="2949" t="s">
        <v>2832</v>
      </c>
      <c r="B5" s="2940" t="s">
        <v>2846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2870</v>
      </c>
      <c r="R5" s="2944" t="s">
        <v>2871</v>
      </c>
      <c r="S5" s="2944" t="s">
        <v>153</v>
      </c>
      <c r="T5" s="2944" t="s">
        <v>2872</v>
      </c>
    </row>
    <row r="6" spans="1:20" ht="12" thickBot="1">
      <c r="A6" s="2944" t="s">
        <v>144</v>
      </c>
      <c r="B6" s="2944" t="s">
        <v>2861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2873</v>
      </c>
      <c r="Q6" s="2944" t="s">
        <v>2874</v>
      </c>
      <c r="R6" s="2944" t="s">
        <v>161</v>
      </c>
      <c r="S6" s="2944" t="s">
        <v>2875</v>
      </c>
      <c r="T6" s="2944" t="s">
        <v>2876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2877</v>
      </c>
      <c r="Q7" s="2944" t="s">
        <v>2878</v>
      </c>
      <c r="R7" s="2944" t="s">
        <v>2879</v>
      </c>
      <c r="S7" s="2944" t="s">
        <v>2880</v>
      </c>
      <c r="T7" s="2944" t="s">
        <v>2881</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2882</v>
      </c>
      <c r="Q8" s="2944" t="s">
        <v>174</v>
      </c>
      <c r="R8" s="2944" t="s">
        <v>2883</v>
      </c>
      <c r="S8" s="2944" t="s">
        <v>2884</v>
      </c>
      <c r="T8" s="2951" t="s">
        <v>2885</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2886</v>
      </c>
      <c r="Q9" s="2944" t="s">
        <v>182</v>
      </c>
      <c r="R9" s="2944" t="s">
        <v>183</v>
      </c>
      <c r="S9" s="2944" t="s">
        <v>200</v>
      </c>
    </row>
    <row r="10" spans="1:20">
      <c r="A10" s="2949" t="s">
        <v>184</v>
      </c>
      <c r="B10" s="2940" t="s">
        <v>2847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2888</v>
      </c>
      <c r="P11" s="2944" t="s">
        <v>191</v>
      </c>
      <c r="Q11" s="2944" t="s">
        <v>199</v>
      </c>
      <c r="R11" s="2944" t="s">
        <v>2889</v>
      </c>
      <c r="S11" s="2944" t="s">
        <v>2890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2891</v>
      </c>
      <c r="P12" s="2944" t="s">
        <v>2892</v>
      </c>
      <c r="Q12" s="2944" t="s">
        <v>2893</v>
      </c>
      <c r="R12" s="2944" t="s">
        <v>2894</v>
      </c>
      <c r="S12" s="2944" t="s">
        <v>2895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2897</v>
      </c>
      <c r="K14" s="2945" t="s">
        <v>215</v>
      </c>
      <c r="L14" s="2944" t="s">
        <v>216</v>
      </c>
      <c r="M14" s="2944" t="s">
        <v>217</v>
      </c>
      <c r="N14" s="2944" t="s">
        <v>218</v>
      </c>
      <c r="O14" s="2944" t="s">
        <v>240</v>
      </c>
      <c r="P14" s="2944" t="s">
        <v>213</v>
      </c>
      <c r="Q14" s="2944" t="s">
        <v>2898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2899</v>
      </c>
      <c r="P15" s="2944" t="s">
        <v>2900</v>
      </c>
      <c r="Q15" s="2944" t="s">
        <v>242</v>
      </c>
      <c r="R15" s="2944" t="s">
        <v>2901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2902</v>
      </c>
      <c r="P16" s="2944" t="s">
        <v>227</v>
      </c>
      <c r="Q16" s="2944" t="s">
        <v>250</v>
      </c>
      <c r="R16" s="2944" t="s">
        <v>207</v>
      </c>
      <c r="S16" s="2944" t="s">
        <v>2903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2904</v>
      </c>
      <c r="P17" s="2944" t="s">
        <v>2905</v>
      </c>
      <c r="Q17" s="2944" t="s">
        <v>256</v>
      </c>
      <c r="R17" s="2944" t="s">
        <v>2906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2907</v>
      </c>
      <c r="P18" s="2944" t="s">
        <v>241</v>
      </c>
      <c r="Q18" s="2944" t="s">
        <v>2908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2909</v>
      </c>
      <c r="P19" s="2944" t="s">
        <v>249</v>
      </c>
      <c r="Q19" s="2944" t="s">
        <v>2910</v>
      </c>
      <c r="R19" s="2944" t="s">
        <v>265</v>
      </c>
      <c r="S19" s="2944" t="s">
        <v>2911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2912</v>
      </c>
      <c r="P20" s="2944" t="s">
        <v>2913</v>
      </c>
      <c r="Q20" s="2944" t="s">
        <v>290</v>
      </c>
      <c r="R20" s="2944" t="s">
        <v>2914</v>
      </c>
      <c r="S20" s="2944" t="s">
        <v>277</v>
      </c>
    </row>
    <row r="21" spans="1:19" ht="14.25" customHeight="1" thickBot="1">
      <c r="A21" s="2944" t="s">
        <v>184</v>
      </c>
      <c r="B21" s="2945" t="s">
        <v>208</v>
      </c>
      <c r="C21" s="2944">
        <v>32370</v>
      </c>
      <c r="D21" s="2944">
        <v>26730</v>
      </c>
      <c r="E21" s="2944">
        <v>26640</v>
      </c>
      <c r="F21" s="2944"/>
      <c r="G21" s="2944">
        <v>19440</v>
      </c>
      <c r="J21" s="2951" t="s">
        <v>2915</v>
      </c>
      <c r="K21" s="2945" t="s">
        <v>267</v>
      </c>
      <c r="L21" s="2944" t="s">
        <v>268</v>
      </c>
      <c r="M21" s="2944" t="s">
        <v>269</v>
      </c>
      <c r="N21" s="2944" t="s">
        <v>270</v>
      </c>
      <c r="O21" s="2944" t="s">
        <v>264</v>
      </c>
      <c r="P21" s="2944" t="s">
        <v>283</v>
      </c>
      <c r="Q21" s="2944" t="s">
        <v>293</v>
      </c>
      <c r="R21" s="2944" t="s">
        <v>2916</v>
      </c>
      <c r="S21" s="2951" t="s">
        <v>2917</v>
      </c>
    </row>
    <row r="22" spans="1:19" ht="14.25" customHeight="1">
      <c r="A22" s="2944" t="s">
        <v>184</v>
      </c>
      <c r="B22" s="2945" t="s">
        <v>2897</v>
      </c>
      <c r="C22" s="2944">
        <v>29830</v>
      </c>
      <c r="D22" s="2944">
        <v>27600</v>
      </c>
      <c r="E22" s="2944">
        <v>28150</v>
      </c>
      <c r="F22" s="2944"/>
      <c r="G22" s="2944">
        <v>20080</v>
      </c>
      <c r="K22" s="2945" t="s">
        <v>2918</v>
      </c>
      <c r="L22" s="2944" t="s">
        <v>272</v>
      </c>
      <c r="M22" s="2944" t="s">
        <v>273</v>
      </c>
      <c r="N22" s="2944" t="s">
        <v>274</v>
      </c>
      <c r="O22" s="2944" t="s">
        <v>2919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2920</v>
      </c>
      <c r="L23" s="2944" t="s">
        <v>278</v>
      </c>
      <c r="M23" s="2944" t="s">
        <v>279</v>
      </c>
      <c r="N23" s="2944" t="s">
        <v>2921</v>
      </c>
      <c r="O23" s="2944" t="s">
        <v>2922</v>
      </c>
      <c r="P23" s="2944" t="s">
        <v>289</v>
      </c>
      <c r="Q23" s="2944" t="s">
        <v>298</v>
      </c>
      <c r="R23" s="2944" t="s">
        <v>2923</v>
      </c>
    </row>
    <row r="24" spans="1:19" ht="14.25" customHeight="1">
      <c r="A24" s="2944" t="s">
        <v>184</v>
      </c>
      <c r="B24" s="2945" t="s">
        <v>230</v>
      </c>
      <c r="C24" s="2944">
        <v>27930</v>
      </c>
      <c r="D24" s="2944">
        <v>32260</v>
      </c>
      <c r="E24" s="2944">
        <v>32120</v>
      </c>
      <c r="F24" s="2944"/>
      <c r="G24" s="2944">
        <v>23470</v>
      </c>
      <c r="K24" s="2945" t="s">
        <v>2924</v>
      </c>
      <c r="L24" s="2944" t="s">
        <v>281</v>
      </c>
      <c r="M24" s="2944" t="s">
        <v>282</v>
      </c>
      <c r="N24" s="2944" t="s">
        <v>2925</v>
      </c>
      <c r="O24" s="2944" t="s">
        <v>285</v>
      </c>
      <c r="P24" s="2944" t="s">
        <v>2926</v>
      </c>
      <c r="Q24" s="2953" t="s">
        <v>2927</v>
      </c>
      <c r="R24" s="2944" t="s">
        <v>2928</v>
      </c>
    </row>
    <row r="25" spans="1:19" ht="14.25" customHeight="1">
      <c r="A25" s="2944" t="s">
        <v>184</v>
      </c>
      <c r="B25" s="2945" t="s">
        <v>235</v>
      </c>
      <c r="C25" s="2944">
        <v>32230</v>
      </c>
      <c r="D25" s="2944">
        <v>29640</v>
      </c>
      <c r="E25" s="2944">
        <v>29510</v>
      </c>
      <c r="F25" s="2944"/>
      <c r="G25" s="2944">
        <v>21560</v>
      </c>
      <c r="K25" s="2945" t="s">
        <v>2929</v>
      </c>
      <c r="L25" s="2944" t="s">
        <v>2930</v>
      </c>
      <c r="M25" s="2944" t="s">
        <v>284</v>
      </c>
      <c r="N25" s="2944" t="s">
        <v>292</v>
      </c>
      <c r="O25" s="2944" t="s">
        <v>288</v>
      </c>
      <c r="P25" s="2944" t="s">
        <v>275</v>
      </c>
      <c r="Q25" s="2953" t="s">
        <v>271</v>
      </c>
      <c r="R25" s="2944" t="s">
        <v>2931</v>
      </c>
    </row>
    <row r="26" spans="1:19" ht="14.25" customHeight="1" thickBot="1">
      <c r="A26" s="2944" t="s">
        <v>184</v>
      </c>
      <c r="B26" s="2945" t="s">
        <v>244</v>
      </c>
      <c r="C26" s="2944">
        <v>31690</v>
      </c>
      <c r="D26" s="2944">
        <v>27650</v>
      </c>
      <c r="E26" s="2944">
        <v>28200</v>
      </c>
      <c r="F26" s="2944"/>
      <c r="G26" s="2944">
        <v>20110</v>
      </c>
      <c r="K26" s="2950" t="s">
        <v>2932</v>
      </c>
      <c r="L26" s="2944" t="s">
        <v>2933</v>
      </c>
      <c r="M26" s="2944" t="s">
        <v>287</v>
      </c>
      <c r="N26" s="2944" t="s">
        <v>294</v>
      </c>
      <c r="O26" s="2944" t="s">
        <v>2934</v>
      </c>
      <c r="P26" s="2944" t="s">
        <v>2935</v>
      </c>
      <c r="Q26" s="2953" t="s">
        <v>276</v>
      </c>
      <c r="R26" s="2944" t="s">
        <v>2936</v>
      </c>
    </row>
    <row r="27" spans="1:19" ht="14.25" customHeight="1">
      <c r="A27" s="2944" t="s">
        <v>184</v>
      </c>
      <c r="B27" s="2945" t="s">
        <v>251</v>
      </c>
      <c r="C27" s="2944">
        <v>29610</v>
      </c>
      <c r="D27" s="2944">
        <v>27770</v>
      </c>
      <c r="E27" s="2944">
        <v>28300</v>
      </c>
      <c r="F27" s="2944"/>
      <c r="G27" s="2944">
        <v>20210</v>
      </c>
      <c r="L27" s="2944" t="s">
        <v>2937</v>
      </c>
      <c r="M27" s="2944" t="s">
        <v>291</v>
      </c>
      <c r="N27" s="2944" t="s">
        <v>297</v>
      </c>
      <c r="O27" s="2944" t="s">
        <v>2938</v>
      </c>
      <c r="P27" s="2944" t="s">
        <v>2939</v>
      </c>
      <c r="Q27" s="2944" t="s">
        <v>2940</v>
      </c>
      <c r="R27" s="2944" t="s">
        <v>2941</v>
      </c>
    </row>
    <row r="28" spans="1:19" ht="14.25" customHeight="1">
      <c r="A28" s="2944" t="s">
        <v>184</v>
      </c>
      <c r="B28" s="2945" t="s">
        <v>259</v>
      </c>
      <c r="C28" s="2944"/>
      <c r="D28" s="2944">
        <v>31520</v>
      </c>
      <c r="E28" s="2944">
        <v>31410</v>
      </c>
      <c r="F28" s="2944"/>
      <c r="G28" s="2944">
        <v>22940</v>
      </c>
      <c r="L28" s="2944" t="s">
        <v>2942</v>
      </c>
      <c r="M28" s="2944" t="s">
        <v>2943</v>
      </c>
      <c r="N28" s="2944" t="s">
        <v>2944</v>
      </c>
      <c r="O28" s="2944" t="s">
        <v>2945</v>
      </c>
      <c r="P28" s="2944" t="s">
        <v>2946</v>
      </c>
      <c r="Q28" s="2944" t="s">
        <v>2947</v>
      </c>
      <c r="R28" s="2944" t="s">
        <v>2948</v>
      </c>
    </row>
    <row r="29" spans="1:19" ht="14.25" customHeight="1" thickBot="1">
      <c r="A29" s="2952" t="s">
        <v>184</v>
      </c>
      <c r="B29" s="2954" t="s">
        <v>2915</v>
      </c>
      <c r="C29" s="2955"/>
      <c r="D29" s="2955">
        <v>29460</v>
      </c>
      <c r="E29" s="2955">
        <v>28640</v>
      </c>
      <c r="F29" s="2955"/>
      <c r="G29" s="2955">
        <v>21430</v>
      </c>
      <c r="L29" s="2944" t="s">
        <v>2949</v>
      </c>
      <c r="M29" s="2944" t="s">
        <v>2950</v>
      </c>
      <c r="N29" s="2944" t="s">
        <v>2951</v>
      </c>
      <c r="O29" s="2944" t="s">
        <v>2952</v>
      </c>
      <c r="P29" s="2944" t="s">
        <v>2953</v>
      </c>
      <c r="Q29" s="2944" t="s">
        <v>2954</v>
      </c>
      <c r="R29" s="2944" t="s">
        <v>280</v>
      </c>
    </row>
    <row r="30" spans="1:19" ht="14.25" customHeight="1">
      <c r="A30" s="2949" t="s">
        <v>296</v>
      </c>
      <c r="B30" s="2940" t="s">
        <v>2848</v>
      </c>
      <c r="C30" s="2940">
        <v>26890</v>
      </c>
      <c r="D30" s="2940">
        <v>26770</v>
      </c>
      <c r="E30" s="2940">
        <v>25700</v>
      </c>
      <c r="F30" s="2940">
        <v>8180</v>
      </c>
      <c r="G30" s="2956">
        <v>18740</v>
      </c>
      <c r="L30" s="2944" t="s">
        <v>2955</v>
      </c>
      <c r="M30" s="2944" t="s">
        <v>2956</v>
      </c>
      <c r="N30" s="2944" t="s">
        <v>2957</v>
      </c>
      <c r="O30" s="2944" t="s">
        <v>2958</v>
      </c>
      <c r="P30" s="2944" t="s">
        <v>2959</v>
      </c>
      <c r="Q30" s="2944" t="s">
        <v>2960</v>
      </c>
      <c r="R30" s="2944" t="s">
        <v>2961</v>
      </c>
    </row>
    <row r="31" spans="1:19" ht="14.25" customHeight="1">
      <c r="A31" s="2944" t="s">
        <v>296</v>
      </c>
      <c r="B31" s="2945" t="s">
        <v>129</v>
      </c>
      <c r="C31" s="2944">
        <v>24550</v>
      </c>
      <c r="D31" s="2944">
        <v>23990</v>
      </c>
      <c r="E31" s="2944">
        <v>22930</v>
      </c>
      <c r="F31" s="2944">
        <v>7470</v>
      </c>
      <c r="G31" s="2957">
        <v>16790</v>
      </c>
      <c r="L31" s="2944" t="s">
        <v>2962</v>
      </c>
      <c r="M31" s="2944" t="s">
        <v>2963</v>
      </c>
      <c r="N31" s="2944" t="s">
        <v>2964</v>
      </c>
      <c r="O31" s="2944" t="s">
        <v>2965</v>
      </c>
      <c r="P31" s="2944" t="s">
        <v>2966</v>
      </c>
      <c r="Q31" s="2944" t="s">
        <v>2967</v>
      </c>
      <c r="R31" s="2944" t="s">
        <v>2968</v>
      </c>
    </row>
    <row r="32" spans="1:19" ht="14.25" customHeight="1" thickBot="1">
      <c r="A32" s="2944" t="s">
        <v>296</v>
      </c>
      <c r="B32" s="2945" t="s">
        <v>138</v>
      </c>
      <c r="C32" s="2944">
        <v>27210</v>
      </c>
      <c r="D32" s="2944">
        <v>23240</v>
      </c>
      <c r="E32" s="2944">
        <v>23260</v>
      </c>
      <c r="F32" s="2944">
        <v>7130</v>
      </c>
      <c r="G32" s="2957">
        <v>16270</v>
      </c>
      <c r="L32" s="2944" t="s">
        <v>2969</v>
      </c>
      <c r="M32" s="2944" t="s">
        <v>2970</v>
      </c>
      <c r="N32" s="2944" t="s">
        <v>300</v>
      </c>
      <c r="O32" s="2944" t="s">
        <v>2971</v>
      </c>
      <c r="P32" s="2944" t="s">
        <v>299</v>
      </c>
      <c r="Q32" s="2944" t="s">
        <v>2972</v>
      </c>
      <c r="R32" s="2951" t="s">
        <v>2973</v>
      </c>
    </row>
    <row r="33" spans="1:17" ht="14.25" customHeight="1" thickBot="1">
      <c r="A33" s="2944" t="s">
        <v>296</v>
      </c>
      <c r="B33" s="2945" t="s">
        <v>147</v>
      </c>
      <c r="C33" s="2944">
        <v>27300</v>
      </c>
      <c r="D33" s="2944">
        <v>22980</v>
      </c>
      <c r="E33" s="2944">
        <v>24260</v>
      </c>
      <c r="F33" s="2944">
        <v>5860</v>
      </c>
      <c r="G33" s="2957">
        <v>16090</v>
      </c>
      <c r="L33" s="2951" t="s">
        <v>2974</v>
      </c>
      <c r="M33" s="2944" t="s">
        <v>2975</v>
      </c>
      <c r="N33" s="2944" t="s">
        <v>301</v>
      </c>
      <c r="O33" s="2944" t="s">
        <v>2976</v>
      </c>
      <c r="P33" s="2944" t="s">
        <v>2977</v>
      </c>
      <c r="Q33" s="2944" t="s">
        <v>2978</v>
      </c>
    </row>
    <row r="34" spans="1:17" ht="14.25" customHeight="1">
      <c r="A34" s="2944" t="s">
        <v>296</v>
      </c>
      <c r="B34" s="2945" t="s">
        <v>156</v>
      </c>
      <c r="C34" s="2944">
        <v>23090</v>
      </c>
      <c r="D34" s="2944">
        <v>23390</v>
      </c>
      <c r="E34" s="2944">
        <v>23510</v>
      </c>
      <c r="F34" s="2944">
        <v>6700</v>
      </c>
      <c r="G34" s="2957">
        <v>16370</v>
      </c>
      <c r="M34" s="2944" t="s">
        <v>2979</v>
      </c>
      <c r="N34" s="2944" t="s">
        <v>302</v>
      </c>
      <c r="O34" s="2944" t="s">
        <v>2980</v>
      </c>
      <c r="P34" s="2944" t="s">
        <v>2981</v>
      </c>
      <c r="Q34" s="2944" t="s">
        <v>2982</v>
      </c>
    </row>
    <row r="35" spans="1:17" ht="14.25" customHeight="1">
      <c r="A35" s="2944" t="s">
        <v>296</v>
      </c>
      <c r="B35" s="2945" t="s">
        <v>163</v>
      </c>
      <c r="C35" s="2944">
        <v>27270</v>
      </c>
      <c r="D35" s="2944">
        <v>24270</v>
      </c>
      <c r="E35" s="2944">
        <v>24950</v>
      </c>
      <c r="F35" s="2944">
        <v>6600</v>
      </c>
      <c r="G35" s="2957">
        <v>16990</v>
      </c>
      <c r="M35" s="2944" t="s">
        <v>2983</v>
      </c>
      <c r="N35" s="2944" t="s">
        <v>2984</v>
      </c>
      <c r="O35" s="2944" t="s">
        <v>2985</v>
      </c>
      <c r="P35" s="2944" t="s">
        <v>2986</v>
      </c>
      <c r="Q35" s="2944" t="s">
        <v>2987</v>
      </c>
    </row>
    <row r="36" spans="1:17" ht="14.25" customHeight="1">
      <c r="A36" s="2944" t="s">
        <v>296</v>
      </c>
      <c r="B36" s="2945" t="s">
        <v>169</v>
      </c>
      <c r="C36" s="2944">
        <v>23490</v>
      </c>
      <c r="D36" s="2944">
        <v>23020</v>
      </c>
      <c r="E36" s="2944">
        <v>25230</v>
      </c>
      <c r="F36" s="2944">
        <v>6780</v>
      </c>
      <c r="G36" s="2957">
        <v>16120</v>
      </c>
      <c r="M36" s="2944" t="s">
        <v>2988</v>
      </c>
      <c r="N36" s="2944" t="s">
        <v>2989</v>
      </c>
      <c r="O36" s="2944" t="s">
        <v>2990</v>
      </c>
      <c r="P36" s="2944" t="s">
        <v>2991</v>
      </c>
      <c r="Q36" s="2944" t="s">
        <v>2992</v>
      </c>
    </row>
    <row r="37" spans="1:17" ht="14.25" customHeight="1">
      <c r="A37" s="2944" t="s">
        <v>296</v>
      </c>
      <c r="B37" s="2945" t="s">
        <v>176</v>
      </c>
      <c r="C37" s="2944">
        <v>24380</v>
      </c>
      <c r="D37" s="2944">
        <v>22240</v>
      </c>
      <c r="E37" s="2944">
        <v>25980</v>
      </c>
      <c r="F37" s="2944">
        <v>8160</v>
      </c>
      <c r="G37" s="2957">
        <v>15570</v>
      </c>
      <c r="M37" s="2944" t="s">
        <v>2993</v>
      </c>
      <c r="N37" s="2944" t="s">
        <v>2994</v>
      </c>
      <c r="O37" s="2944" t="s">
        <v>2995</v>
      </c>
      <c r="P37" s="2944" t="s">
        <v>2996</v>
      </c>
      <c r="Q37" s="2944" t="s">
        <v>2997</v>
      </c>
    </row>
    <row r="38" spans="1:17" ht="14.25" customHeight="1">
      <c r="A38" s="2944" t="s">
        <v>296</v>
      </c>
      <c r="B38" s="2945" t="s">
        <v>186</v>
      </c>
      <c r="C38" s="2944">
        <v>23120</v>
      </c>
      <c r="D38" s="2944">
        <v>24630</v>
      </c>
      <c r="E38" s="2944">
        <v>25030</v>
      </c>
      <c r="F38" s="2944">
        <v>7710</v>
      </c>
      <c r="G38" s="2957">
        <v>17240</v>
      </c>
      <c r="M38" s="2944" t="s">
        <v>2998</v>
      </c>
      <c r="N38" s="2944" t="s">
        <v>2999</v>
      </c>
      <c r="O38" s="2944" t="s">
        <v>3000</v>
      </c>
      <c r="P38" s="2944" t="s">
        <v>3001</v>
      </c>
      <c r="Q38" s="2944" t="s">
        <v>3002</v>
      </c>
    </row>
    <row r="39" spans="1:17" ht="14.25" customHeight="1">
      <c r="A39" s="2944" t="s">
        <v>296</v>
      </c>
      <c r="B39" s="2945" t="s">
        <v>195</v>
      </c>
      <c r="C39" s="2944">
        <v>22330</v>
      </c>
      <c r="D39" s="2944">
        <v>21140</v>
      </c>
      <c r="E39" s="2944">
        <v>23970</v>
      </c>
      <c r="F39" s="2944">
        <v>7940</v>
      </c>
      <c r="G39" s="2957">
        <v>14790</v>
      </c>
      <c r="M39" s="2944" t="s">
        <v>3003</v>
      </c>
      <c r="N39" s="2944" t="s">
        <v>3004</v>
      </c>
      <c r="O39" s="2944" t="s">
        <v>3005</v>
      </c>
      <c r="P39" s="2944" t="s">
        <v>3006</v>
      </c>
      <c r="Q39" s="2944" t="s">
        <v>3007</v>
      </c>
    </row>
    <row r="40" spans="1:17" ht="14.25" customHeight="1">
      <c r="A40" s="2944" t="s">
        <v>296</v>
      </c>
      <c r="B40" s="2945" t="s">
        <v>202</v>
      </c>
      <c r="C40" s="2944">
        <v>24740</v>
      </c>
      <c r="D40" s="2944">
        <v>24690</v>
      </c>
      <c r="E40" s="2944">
        <v>22610</v>
      </c>
      <c r="F40" s="2944"/>
      <c r="G40" s="2957">
        <v>17280</v>
      </c>
      <c r="M40" s="2944" t="s">
        <v>3008</v>
      </c>
      <c r="N40" s="2944" t="s">
        <v>3009</v>
      </c>
      <c r="O40" s="2944" t="s">
        <v>3010</v>
      </c>
      <c r="P40" s="2944" t="s">
        <v>3011</v>
      </c>
      <c r="Q40" s="2944" t="s">
        <v>3012</v>
      </c>
    </row>
    <row r="41" spans="1:17" ht="14.25" customHeight="1" thickBot="1">
      <c r="A41" s="2944" t="s">
        <v>296</v>
      </c>
      <c r="B41" s="2945" t="s">
        <v>209</v>
      </c>
      <c r="C41" s="2944">
        <v>21220</v>
      </c>
      <c r="D41" s="2944">
        <v>21120</v>
      </c>
      <c r="E41" s="2944">
        <v>22590</v>
      </c>
      <c r="F41" s="2944"/>
      <c r="G41" s="2957">
        <v>14780</v>
      </c>
      <c r="M41" s="2951" t="s">
        <v>3013</v>
      </c>
      <c r="N41" s="2944" t="s">
        <v>3014</v>
      </c>
      <c r="O41" s="2944" t="s">
        <v>3015</v>
      </c>
      <c r="P41" s="2944" t="s">
        <v>3016</v>
      </c>
      <c r="Q41" s="2944" t="s">
        <v>3017</v>
      </c>
    </row>
    <row r="42" spans="1:17" ht="14.25" customHeight="1">
      <c r="A42" s="2944" t="s">
        <v>296</v>
      </c>
      <c r="B42" s="2945" t="s">
        <v>215</v>
      </c>
      <c r="C42" s="2944">
        <v>24800</v>
      </c>
      <c r="D42" s="2944">
        <v>22280</v>
      </c>
      <c r="E42" s="2944">
        <v>24350</v>
      </c>
      <c r="F42" s="2944"/>
      <c r="G42" s="2957">
        <v>15590</v>
      </c>
      <c r="N42" s="2944" t="s">
        <v>3018</v>
      </c>
      <c r="O42" s="2944" t="s">
        <v>3019</v>
      </c>
      <c r="P42" s="2944" t="s">
        <v>3020</v>
      </c>
      <c r="Q42" s="2944" t="s">
        <v>3021</v>
      </c>
    </row>
    <row r="43" spans="1:17" ht="14.25" customHeight="1">
      <c r="A43" s="2944" t="s">
        <v>3022</v>
      </c>
      <c r="B43" s="2945" t="s">
        <v>223</v>
      </c>
      <c r="C43" s="2944">
        <v>21210</v>
      </c>
      <c r="D43" s="2944">
        <v>21160</v>
      </c>
      <c r="E43" s="2944">
        <v>22650</v>
      </c>
      <c r="F43" s="2944"/>
      <c r="G43" s="2957">
        <v>14800</v>
      </c>
      <c r="N43" s="2944" t="s">
        <v>3023</v>
      </c>
      <c r="O43" s="2944" t="s">
        <v>3024</v>
      </c>
      <c r="P43" s="2944" t="s">
        <v>3025</v>
      </c>
      <c r="Q43" s="2944" t="s">
        <v>3026</v>
      </c>
    </row>
    <row r="44" spans="1:17" ht="14.25" customHeight="1" thickBot="1">
      <c r="A44" s="2944" t="s">
        <v>296</v>
      </c>
      <c r="B44" s="2945" t="s">
        <v>231</v>
      </c>
      <c r="C44" s="2944">
        <v>22370</v>
      </c>
      <c r="D44" s="2944">
        <v>23140</v>
      </c>
      <c r="E44" s="2944">
        <v>25090</v>
      </c>
      <c r="F44" s="2944"/>
      <c r="G44" s="2957">
        <v>16190</v>
      </c>
      <c r="N44" s="2944" t="s">
        <v>3027</v>
      </c>
      <c r="O44" s="2944" t="s">
        <v>3028</v>
      </c>
      <c r="P44" s="2951" t="s">
        <v>3029</v>
      </c>
      <c r="Q44" s="2944" t="s">
        <v>3030</v>
      </c>
    </row>
    <row r="45" spans="1:17" ht="14.25" customHeight="1" thickBot="1">
      <c r="A45" s="2944" t="s">
        <v>296</v>
      </c>
      <c r="B45" s="2945" t="s">
        <v>236</v>
      </c>
      <c r="C45" s="2944">
        <v>21240</v>
      </c>
      <c r="D45" s="2944">
        <v>27050</v>
      </c>
      <c r="E45" s="2944">
        <v>28000</v>
      </c>
      <c r="F45" s="2944"/>
      <c r="G45" s="2957">
        <v>18940</v>
      </c>
      <c r="N45" s="2944" t="s">
        <v>3031</v>
      </c>
      <c r="O45" s="2951" t="s">
        <v>3032</v>
      </c>
      <c r="Q45" s="2944" t="s">
        <v>3033</v>
      </c>
    </row>
    <row r="46" spans="1:17" ht="14.25" customHeight="1">
      <c r="A46" s="2944" t="s">
        <v>296</v>
      </c>
      <c r="B46" s="2945" t="s">
        <v>245</v>
      </c>
      <c r="C46" s="2944">
        <v>23240</v>
      </c>
      <c r="D46" s="2944">
        <v>23000</v>
      </c>
      <c r="E46" s="2944">
        <v>24980</v>
      </c>
      <c r="F46" s="2944"/>
      <c r="G46" s="2957">
        <v>16100</v>
      </c>
      <c r="N46" s="2944" t="s">
        <v>3034</v>
      </c>
      <c r="Q46" s="2944" t="s">
        <v>3035</v>
      </c>
    </row>
    <row r="47" spans="1:17" ht="14.25" customHeight="1">
      <c r="A47" s="2944" t="s">
        <v>296</v>
      </c>
      <c r="B47" s="2945" t="s">
        <v>252</v>
      </c>
      <c r="C47" s="2944">
        <v>27150</v>
      </c>
      <c r="D47" s="2944">
        <v>23310</v>
      </c>
      <c r="E47" s="2944">
        <v>25150</v>
      </c>
      <c r="F47" s="2944"/>
      <c r="G47" s="2957">
        <v>16310</v>
      </c>
      <c r="N47" s="2944" t="s">
        <v>3036</v>
      </c>
      <c r="Q47" s="2944" t="s">
        <v>3037</v>
      </c>
    </row>
    <row r="48" spans="1:17" ht="14.25" customHeight="1">
      <c r="A48" s="2944" t="s">
        <v>296</v>
      </c>
      <c r="B48" s="2945" t="s">
        <v>260</v>
      </c>
      <c r="C48" s="2944">
        <v>23100</v>
      </c>
      <c r="D48" s="2944">
        <v>21110</v>
      </c>
      <c r="E48" s="2944">
        <v>23080</v>
      </c>
      <c r="F48" s="2944"/>
      <c r="G48" s="2957">
        <v>14780</v>
      </c>
      <c r="N48" s="2944" t="s">
        <v>3038</v>
      </c>
      <c r="Q48" s="2944" t="s">
        <v>3039</v>
      </c>
    </row>
    <row r="49" spans="1:17" ht="14.25" customHeight="1">
      <c r="A49" s="2944" t="s">
        <v>296</v>
      </c>
      <c r="B49" s="2945" t="s">
        <v>267</v>
      </c>
      <c r="C49" s="2944">
        <v>23400</v>
      </c>
      <c r="D49" s="2944">
        <v>22920</v>
      </c>
      <c r="E49" s="2944">
        <v>24900</v>
      </c>
      <c r="F49" s="2944"/>
      <c r="G49" s="2957">
        <v>16040</v>
      </c>
      <c r="N49" s="2944" t="s">
        <v>3040</v>
      </c>
      <c r="Q49" s="2944" t="s">
        <v>3041</v>
      </c>
    </row>
    <row r="50" spans="1:17" ht="14.25" customHeight="1">
      <c r="A50" s="2944" t="s">
        <v>296</v>
      </c>
      <c r="B50" s="2945" t="s">
        <v>2918</v>
      </c>
      <c r="C50" s="2944">
        <v>21200</v>
      </c>
      <c r="D50" s="2944">
        <v>26540</v>
      </c>
      <c r="E50" s="2944">
        <v>23200</v>
      </c>
      <c r="F50" s="2944"/>
      <c r="G50" s="2957">
        <v>18580</v>
      </c>
      <c r="N50" s="2944" t="s">
        <v>3042</v>
      </c>
      <c r="Q50" s="2945" t="s">
        <v>3043</v>
      </c>
    </row>
    <row r="51" spans="1:17" ht="14.25" customHeight="1" thickBot="1">
      <c r="A51" s="2944" t="s">
        <v>296</v>
      </c>
      <c r="B51" s="2945" t="s">
        <v>2920</v>
      </c>
      <c r="C51" s="2944">
        <v>23000</v>
      </c>
      <c r="D51" s="2944">
        <v>23460</v>
      </c>
      <c r="E51" s="2944">
        <v>25290</v>
      </c>
      <c r="F51" s="2944"/>
      <c r="G51" s="2957">
        <v>16420</v>
      </c>
      <c r="N51" s="2944" t="s">
        <v>3044</v>
      </c>
      <c r="Q51" s="2951" t="s">
        <v>3045</v>
      </c>
    </row>
    <row r="52" spans="1:17" ht="14.25" customHeight="1">
      <c r="A52" s="2944" t="s">
        <v>296</v>
      </c>
      <c r="B52" s="2945" t="s">
        <v>2924</v>
      </c>
      <c r="C52" s="2944">
        <v>26660</v>
      </c>
      <c r="D52" s="2944">
        <v>22350</v>
      </c>
      <c r="E52" s="2944">
        <v>22920</v>
      </c>
      <c r="F52" s="2944"/>
      <c r="G52" s="2957">
        <v>15640</v>
      </c>
      <c r="N52" s="2944" t="s">
        <v>3046</v>
      </c>
    </row>
    <row r="53" spans="1:17" ht="14.25" customHeight="1">
      <c r="A53" s="2944" t="s">
        <v>296</v>
      </c>
      <c r="B53" s="2945" t="s">
        <v>2929</v>
      </c>
      <c r="C53" s="2944">
        <v>23580</v>
      </c>
      <c r="D53" s="2944"/>
      <c r="E53" s="2944">
        <v>24280</v>
      </c>
      <c r="F53" s="2944"/>
      <c r="G53" s="2957"/>
      <c r="N53" s="2944" t="s">
        <v>3047</v>
      </c>
    </row>
    <row r="54" spans="1:17" ht="14.25" customHeight="1" thickBot="1">
      <c r="A54" s="2958" t="s">
        <v>296</v>
      </c>
      <c r="B54" s="2950" t="s">
        <v>2932</v>
      </c>
      <c r="C54" s="2951">
        <v>22460</v>
      </c>
      <c r="D54" s="2951"/>
      <c r="E54" s="2951"/>
      <c r="F54" s="2951"/>
      <c r="G54" s="2959"/>
      <c r="N54" s="2944" t="s">
        <v>3048</v>
      </c>
    </row>
    <row r="55" spans="1:17" ht="14.25" customHeight="1">
      <c r="A55" s="2949" t="s">
        <v>110</v>
      </c>
      <c r="B55" s="2940" t="s">
        <v>3049</v>
      </c>
      <c r="C55" s="2944">
        <v>21970</v>
      </c>
      <c r="D55" s="2944">
        <v>20370</v>
      </c>
      <c r="E55" s="2944">
        <v>20180</v>
      </c>
      <c r="F55" s="2944">
        <v>5730</v>
      </c>
      <c r="G55" s="2944">
        <v>13820</v>
      </c>
      <c r="N55" s="2944" t="s">
        <v>3050</v>
      </c>
    </row>
    <row r="56" spans="1:17" ht="14.25" customHeight="1">
      <c r="A56" s="2944" t="s">
        <v>110</v>
      </c>
      <c r="B56" s="2944" t="s">
        <v>130</v>
      </c>
      <c r="C56" s="2944">
        <v>20470</v>
      </c>
      <c r="D56" s="2944">
        <v>20700</v>
      </c>
      <c r="E56" s="2944">
        <v>20380</v>
      </c>
      <c r="F56" s="2944">
        <v>4760</v>
      </c>
      <c r="G56" s="2944">
        <v>14050</v>
      </c>
      <c r="N56" s="2944" t="s">
        <v>3051</v>
      </c>
    </row>
    <row r="57" spans="1:17" ht="14.25" customHeight="1">
      <c r="A57" s="2944" t="s">
        <v>110</v>
      </c>
      <c r="B57" s="2944" t="s">
        <v>139</v>
      </c>
      <c r="C57" s="2944">
        <v>20790</v>
      </c>
      <c r="D57" s="2944">
        <v>21370</v>
      </c>
      <c r="E57" s="2944">
        <v>20890</v>
      </c>
      <c r="F57" s="2944">
        <v>4910</v>
      </c>
      <c r="G57" s="2944">
        <v>14510</v>
      </c>
      <c r="N57" s="2944" t="s">
        <v>3052</v>
      </c>
    </row>
    <row r="58" spans="1:17" ht="14.25" customHeight="1">
      <c r="A58" s="2944" t="s">
        <v>110</v>
      </c>
      <c r="B58" s="2944" t="s">
        <v>148</v>
      </c>
      <c r="C58" s="2944">
        <v>21460</v>
      </c>
      <c r="D58" s="2944">
        <v>20920</v>
      </c>
      <c r="E58" s="2944">
        <v>23410</v>
      </c>
      <c r="F58" s="2944">
        <v>5100</v>
      </c>
      <c r="G58" s="2944">
        <v>14200</v>
      </c>
      <c r="N58" s="2944" t="s">
        <v>3053</v>
      </c>
    </row>
    <row r="59" spans="1:17" ht="14.25" customHeight="1">
      <c r="A59" s="2944" t="s">
        <v>110</v>
      </c>
      <c r="B59" s="2944" t="s">
        <v>157</v>
      </c>
      <c r="C59" s="2944">
        <v>21000</v>
      </c>
      <c r="D59" s="2944">
        <v>21550</v>
      </c>
      <c r="E59" s="2944">
        <v>21150</v>
      </c>
      <c r="F59" s="2944">
        <v>5250</v>
      </c>
      <c r="G59" s="2944">
        <v>14630</v>
      </c>
      <c r="N59" s="2944" t="s">
        <v>3054</v>
      </c>
    </row>
    <row r="60" spans="1:17" ht="14.25" customHeight="1">
      <c r="A60" s="2944" t="s">
        <v>110</v>
      </c>
      <c r="B60" s="2944" t="s">
        <v>164</v>
      </c>
      <c r="C60" s="2944">
        <v>21640</v>
      </c>
      <c r="D60" s="2944">
        <v>21260</v>
      </c>
      <c r="E60" s="2944">
        <v>24040</v>
      </c>
      <c r="F60" s="2944">
        <v>4470</v>
      </c>
      <c r="G60" s="2944">
        <v>14430</v>
      </c>
      <c r="N60" s="2944" t="s">
        <v>3055</v>
      </c>
    </row>
    <row r="61" spans="1:17" ht="14.25" customHeight="1">
      <c r="A61" s="2944" t="s">
        <v>110</v>
      </c>
      <c r="B61" s="2944" t="s">
        <v>170</v>
      </c>
      <c r="C61" s="2944">
        <v>21330</v>
      </c>
      <c r="D61" s="2944">
        <v>18640</v>
      </c>
      <c r="E61" s="2944">
        <v>21190</v>
      </c>
      <c r="F61" s="2944">
        <v>4180</v>
      </c>
      <c r="G61" s="2944">
        <v>12650</v>
      </c>
      <c r="N61" s="2944" t="s">
        <v>3056</v>
      </c>
    </row>
    <row r="62" spans="1:17" ht="14.25" customHeight="1">
      <c r="A62" s="2944" t="s">
        <v>110</v>
      </c>
      <c r="B62" s="2944" t="s">
        <v>177</v>
      </c>
      <c r="C62" s="2944">
        <v>18710</v>
      </c>
      <c r="D62" s="2944">
        <v>19400</v>
      </c>
      <c r="E62" s="2944">
        <v>23750</v>
      </c>
      <c r="F62" s="2944">
        <v>4860</v>
      </c>
      <c r="G62" s="2944">
        <v>13170</v>
      </c>
      <c r="N62" s="2944" t="s">
        <v>3057</v>
      </c>
    </row>
    <row r="63" spans="1:17" ht="14.25" customHeight="1">
      <c r="A63" s="2944" t="s">
        <v>110</v>
      </c>
      <c r="B63" s="2944" t="s">
        <v>187</v>
      </c>
      <c r="C63" s="2944">
        <v>19480</v>
      </c>
      <c r="D63" s="2944">
        <v>16830</v>
      </c>
      <c r="E63" s="2944">
        <v>21590</v>
      </c>
      <c r="F63" s="2944">
        <v>4560</v>
      </c>
      <c r="G63" s="2944">
        <v>11420</v>
      </c>
      <c r="N63" s="2944" t="s">
        <v>3058</v>
      </c>
    </row>
    <row r="64" spans="1:17" ht="14.25" customHeight="1" thickBot="1">
      <c r="A64" s="2944" t="s">
        <v>110</v>
      </c>
      <c r="B64" s="2944" t="s">
        <v>196</v>
      </c>
      <c r="C64" s="2944">
        <v>16920</v>
      </c>
      <c r="D64" s="2944">
        <v>19190</v>
      </c>
      <c r="E64" s="2944">
        <v>22200</v>
      </c>
      <c r="F64" s="2944">
        <v>4390</v>
      </c>
      <c r="G64" s="2944">
        <v>13030</v>
      </c>
      <c r="N64" s="2951" t="s">
        <v>3059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2930</v>
      </c>
      <c r="C78" s="2944">
        <v>19820</v>
      </c>
      <c r="D78" s="2944">
        <v>19780</v>
      </c>
      <c r="E78" s="2944">
        <v>18560</v>
      </c>
      <c r="F78" s="2944"/>
      <c r="G78" s="2944">
        <v>13430</v>
      </c>
    </row>
    <row r="79" spans="1:7" s="2778" customFormat="1" ht="14.25" customHeight="1">
      <c r="A79" s="2944" t="s">
        <v>110</v>
      </c>
      <c r="B79" s="2944" t="s">
        <v>2933</v>
      </c>
      <c r="C79" s="2944">
        <v>21660</v>
      </c>
      <c r="D79" s="2944">
        <v>18000</v>
      </c>
      <c r="E79" s="2944">
        <v>22570</v>
      </c>
      <c r="F79" s="2944"/>
      <c r="G79" s="2944">
        <v>12220</v>
      </c>
    </row>
    <row r="80" spans="1:7" s="2778" customFormat="1" ht="14.25" customHeight="1">
      <c r="A80" s="2944" t="s">
        <v>110</v>
      </c>
      <c r="B80" s="2944" t="s">
        <v>2937</v>
      </c>
      <c r="C80" s="2944">
        <v>19850</v>
      </c>
      <c r="D80" s="2944"/>
      <c r="E80" s="2944">
        <v>21700</v>
      </c>
      <c r="F80" s="2944"/>
      <c r="G80" s="2944"/>
    </row>
    <row r="81" spans="1:7" s="2778" customFormat="1" ht="14.25" customHeight="1">
      <c r="A81" s="2944" t="s">
        <v>110</v>
      </c>
      <c r="B81" s="2944" t="s">
        <v>2942</v>
      </c>
      <c r="C81" s="2944">
        <v>18080</v>
      </c>
      <c r="D81" s="2944"/>
      <c r="E81" s="2944">
        <v>20900</v>
      </c>
      <c r="F81" s="2944"/>
      <c r="G81" s="2944"/>
    </row>
    <row r="82" spans="1:7" s="2778" customFormat="1" ht="14.25" customHeight="1">
      <c r="A82" s="2944" t="s">
        <v>110</v>
      </c>
      <c r="B82" s="2944" t="s">
        <v>2949</v>
      </c>
      <c r="C82" s="2944"/>
      <c r="D82" s="2944"/>
      <c r="E82" s="2944">
        <v>20840</v>
      </c>
      <c r="F82" s="2944"/>
      <c r="G82" s="2944"/>
    </row>
    <row r="83" spans="1:7" s="2778" customFormat="1" ht="14.25" customHeight="1">
      <c r="A83" s="2944" t="s">
        <v>110</v>
      </c>
      <c r="B83" s="2944" t="s">
        <v>3060</v>
      </c>
      <c r="C83" s="2944"/>
      <c r="D83" s="2944"/>
      <c r="E83" s="2944"/>
      <c r="F83" s="2944">
        <v>4770</v>
      </c>
      <c r="G83" s="2944"/>
    </row>
    <row r="84" spans="1:7" s="2778" customFormat="1" ht="14.25" customHeight="1">
      <c r="A84" s="2944" t="s">
        <v>110</v>
      </c>
      <c r="B84" s="2944" t="s">
        <v>3061</v>
      </c>
      <c r="C84" s="2944"/>
      <c r="D84" s="2944"/>
      <c r="E84" s="2944"/>
      <c r="F84" s="2944">
        <v>4600</v>
      </c>
      <c r="G84" s="2944"/>
    </row>
    <row r="85" spans="1:7" s="2778" customFormat="1" ht="14.25" customHeight="1">
      <c r="A85" s="2944" t="s">
        <v>110</v>
      </c>
      <c r="B85" s="2944" t="s">
        <v>3062</v>
      </c>
      <c r="C85" s="2944"/>
      <c r="D85" s="2944"/>
      <c r="E85" s="2944"/>
      <c r="F85" s="2944">
        <v>4680</v>
      </c>
      <c r="G85" s="2944"/>
    </row>
    <row r="86" spans="1:7" s="2778" customFormat="1" ht="14.25" customHeight="1" thickBot="1">
      <c r="A86" s="2952" t="s">
        <v>110</v>
      </c>
      <c r="B86" s="2954" t="s">
        <v>3063</v>
      </c>
      <c r="C86" s="2955">
        <v>16610</v>
      </c>
      <c r="D86" s="2955">
        <v>16540</v>
      </c>
      <c r="E86" s="2955">
        <v>18850</v>
      </c>
      <c r="F86" s="2955"/>
      <c r="G86" s="2955">
        <v>11220</v>
      </c>
    </row>
    <row r="87" spans="1:7" s="2778" customFormat="1" ht="14.25" customHeight="1">
      <c r="A87" s="2949" t="s">
        <v>303</v>
      </c>
      <c r="B87" s="2940" t="s">
        <v>3064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2943</v>
      </c>
      <c r="C113" s="2944">
        <v>15520</v>
      </c>
      <c r="D113" s="2944">
        <v>15450</v>
      </c>
      <c r="E113" s="2944"/>
      <c r="F113" s="2944"/>
      <c r="G113" s="2957">
        <v>10210</v>
      </c>
    </row>
    <row r="114" spans="1:7" s="2778" customFormat="1" ht="14.25" customHeight="1">
      <c r="A114" s="2944" t="s">
        <v>303</v>
      </c>
      <c r="B114" s="2944" t="s">
        <v>2950</v>
      </c>
      <c r="C114" s="2944">
        <v>13110</v>
      </c>
      <c r="D114" s="2944">
        <v>13050</v>
      </c>
      <c r="E114" s="2944"/>
      <c r="F114" s="2944"/>
      <c r="G114" s="2957">
        <v>8620</v>
      </c>
    </row>
    <row r="115" spans="1:7" s="2778" customFormat="1" ht="14.25" customHeight="1">
      <c r="A115" s="2944" t="s">
        <v>303</v>
      </c>
      <c r="B115" s="2944" t="s">
        <v>2956</v>
      </c>
      <c r="C115" s="2944">
        <v>12460</v>
      </c>
      <c r="D115" s="2944">
        <v>12390</v>
      </c>
      <c r="E115" s="2944"/>
      <c r="F115" s="2944"/>
      <c r="G115" s="2957">
        <v>8190</v>
      </c>
    </row>
    <row r="116" spans="1:7" s="2778" customFormat="1" ht="14.25" customHeight="1">
      <c r="A116" s="2944" t="s">
        <v>303</v>
      </c>
      <c r="B116" s="2944" t="s">
        <v>2963</v>
      </c>
      <c r="C116" s="2944">
        <v>13580</v>
      </c>
      <c r="D116" s="2944">
        <v>13520</v>
      </c>
      <c r="E116" s="2944"/>
      <c r="F116" s="2944"/>
      <c r="G116" s="2957">
        <v>8930</v>
      </c>
    </row>
    <row r="117" spans="1:7" s="2778" customFormat="1" ht="14.25" customHeight="1">
      <c r="A117" s="2944" t="s">
        <v>303</v>
      </c>
      <c r="B117" s="2944" t="s">
        <v>2970</v>
      </c>
      <c r="C117" s="2944">
        <v>17120</v>
      </c>
      <c r="D117" s="2944">
        <v>17040</v>
      </c>
      <c r="E117" s="2944"/>
      <c r="F117" s="2944"/>
      <c r="G117" s="2957">
        <v>11260</v>
      </c>
    </row>
    <row r="118" spans="1:7" s="2778" customFormat="1" ht="14.25" customHeight="1">
      <c r="A118" s="2944" t="s">
        <v>303</v>
      </c>
      <c r="B118" s="2944" t="s">
        <v>2975</v>
      </c>
      <c r="C118" s="2944">
        <v>14860</v>
      </c>
      <c r="D118" s="2944">
        <v>14790</v>
      </c>
      <c r="E118" s="2944"/>
      <c r="F118" s="2944"/>
      <c r="G118" s="2957">
        <v>9780</v>
      </c>
    </row>
    <row r="119" spans="1:7" s="2778" customFormat="1" ht="14.25" customHeight="1">
      <c r="A119" s="2944" t="s">
        <v>303</v>
      </c>
      <c r="B119" s="2944" t="s">
        <v>2979</v>
      </c>
      <c r="C119" s="2944">
        <v>16470</v>
      </c>
      <c r="D119" s="2944">
        <v>16400</v>
      </c>
      <c r="E119" s="2944"/>
      <c r="F119" s="2944"/>
      <c r="G119" s="2957">
        <v>10840</v>
      </c>
    </row>
    <row r="120" spans="1:7" s="2778" customFormat="1" ht="14.25" customHeight="1">
      <c r="A120" s="2944" t="s">
        <v>303</v>
      </c>
      <c r="B120" s="2944" t="s">
        <v>3065</v>
      </c>
      <c r="C120" s="2944"/>
      <c r="D120" s="2944"/>
      <c r="E120" s="2944"/>
      <c r="F120" s="2944">
        <v>4160</v>
      </c>
      <c r="G120" s="2957"/>
    </row>
    <row r="121" spans="1:7" s="2778" customFormat="1" ht="14.25" customHeight="1">
      <c r="A121" s="2944" t="s">
        <v>303</v>
      </c>
      <c r="B121" s="2944" t="s">
        <v>3066</v>
      </c>
      <c r="C121" s="2944"/>
      <c r="D121" s="2944"/>
      <c r="E121" s="2944"/>
      <c r="F121" s="2944">
        <v>3880</v>
      </c>
      <c r="G121" s="2957"/>
    </row>
    <row r="122" spans="1:7" s="2778" customFormat="1" ht="14.25" customHeight="1">
      <c r="A122" s="2944" t="s">
        <v>303</v>
      </c>
      <c r="B122" s="2944" t="s">
        <v>3067</v>
      </c>
      <c r="C122" s="2944">
        <v>13750</v>
      </c>
      <c r="D122" s="2944">
        <v>13680</v>
      </c>
      <c r="E122" s="2944">
        <v>16460</v>
      </c>
      <c r="F122" s="2944">
        <v>2880</v>
      </c>
      <c r="G122" s="2957">
        <v>9040</v>
      </c>
    </row>
    <row r="123" spans="1:7" s="2778" customFormat="1" ht="14.25" customHeight="1">
      <c r="A123" s="2944" t="s">
        <v>303</v>
      </c>
      <c r="B123" s="2944" t="s">
        <v>2998</v>
      </c>
      <c r="C123" s="2944">
        <v>13590</v>
      </c>
      <c r="D123" s="2944">
        <v>13520</v>
      </c>
      <c r="E123" s="2944">
        <v>16290</v>
      </c>
      <c r="F123" s="2944">
        <v>2790</v>
      </c>
      <c r="G123" s="2957">
        <v>8930</v>
      </c>
    </row>
    <row r="124" spans="1:7" s="2778" customFormat="1" ht="14.25" customHeight="1">
      <c r="A124" s="2944" t="s">
        <v>303</v>
      </c>
      <c r="B124" s="2944" t="s">
        <v>3003</v>
      </c>
      <c r="C124" s="2944">
        <v>13400</v>
      </c>
      <c r="D124" s="2944">
        <v>13320</v>
      </c>
      <c r="E124" s="2944">
        <v>16100</v>
      </c>
      <c r="F124" s="2944">
        <v>2320</v>
      </c>
      <c r="G124" s="2957">
        <v>8800</v>
      </c>
    </row>
    <row r="125" spans="1:7" s="2778" customFormat="1" ht="14.25" customHeight="1">
      <c r="A125" s="2944" t="s">
        <v>303</v>
      </c>
      <c r="B125" s="2944" t="s">
        <v>3008</v>
      </c>
      <c r="C125" s="2944">
        <v>12860</v>
      </c>
      <c r="D125" s="2944">
        <v>12790</v>
      </c>
      <c r="E125" s="2944">
        <v>15370</v>
      </c>
      <c r="F125" s="2944">
        <v>2280</v>
      </c>
      <c r="G125" s="2957">
        <v>8450</v>
      </c>
    </row>
    <row r="126" spans="1:7" s="2778" customFormat="1" ht="14.25" customHeight="1" thickBot="1">
      <c r="A126" s="2958" t="s">
        <v>303</v>
      </c>
      <c r="B126" s="2951" t="s">
        <v>3013</v>
      </c>
      <c r="C126" s="2951">
        <v>12960</v>
      </c>
      <c r="D126" s="2951">
        <v>12890</v>
      </c>
      <c r="E126" s="2951">
        <v>15530</v>
      </c>
      <c r="F126" s="2951">
        <v>2910</v>
      </c>
      <c r="G126" s="2959">
        <v>8520</v>
      </c>
    </row>
    <row r="127" spans="1:7" s="2778" customFormat="1" ht="14.25" customHeight="1">
      <c r="A127" s="2949" t="s">
        <v>29</v>
      </c>
      <c r="B127" s="2940" t="s">
        <v>3068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3069</v>
      </c>
      <c r="C148" s="2944">
        <v>10370</v>
      </c>
      <c r="D148" s="2944">
        <v>10310</v>
      </c>
      <c r="E148" s="2944">
        <v>12970</v>
      </c>
      <c r="F148" s="2944"/>
      <c r="G148" s="2944">
        <v>6630</v>
      </c>
    </row>
    <row r="149" spans="1:7" s="2778" customFormat="1" ht="14.25" customHeight="1">
      <c r="A149" s="2944" t="s">
        <v>29</v>
      </c>
      <c r="B149" s="2944" t="s">
        <v>3070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2944</v>
      </c>
      <c r="C153" s="2944">
        <v>10880</v>
      </c>
      <c r="D153" s="2944">
        <v>10820</v>
      </c>
      <c r="E153" s="2944">
        <v>13660</v>
      </c>
      <c r="F153" s="2944">
        <v>2260</v>
      </c>
      <c r="G153" s="2944">
        <v>6970</v>
      </c>
    </row>
    <row r="154" spans="1:7" s="2778" customFormat="1" ht="14.25" customHeight="1">
      <c r="A154" s="2944" t="s">
        <v>29</v>
      </c>
      <c r="B154" s="2944" t="s">
        <v>3071</v>
      </c>
      <c r="C154" s="2944">
        <v>11220</v>
      </c>
      <c r="D154" s="2944">
        <v>11160</v>
      </c>
      <c r="E154" s="2944">
        <v>14130</v>
      </c>
      <c r="F154" s="2944">
        <v>2230</v>
      </c>
      <c r="G154" s="2944">
        <v>7180</v>
      </c>
    </row>
    <row r="155" spans="1:7" s="2778" customFormat="1" ht="14.25" customHeight="1">
      <c r="A155" s="2944" t="s">
        <v>29</v>
      </c>
      <c r="B155" s="2944" t="s">
        <v>2957</v>
      </c>
      <c r="C155" s="2944">
        <v>10430</v>
      </c>
      <c r="D155" s="2944">
        <v>10380</v>
      </c>
      <c r="E155" s="2944">
        <v>13140</v>
      </c>
      <c r="F155" s="2944">
        <v>2080</v>
      </c>
      <c r="G155" s="2944">
        <v>6650</v>
      </c>
    </row>
    <row r="156" spans="1:7" s="2778" customFormat="1" ht="14.25" customHeight="1">
      <c r="A156" s="2944" t="s">
        <v>29</v>
      </c>
      <c r="B156" s="2944" t="s">
        <v>3072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3073</v>
      </c>
      <c r="C160" s="2944">
        <v>11180</v>
      </c>
      <c r="D160" s="2944">
        <v>11140</v>
      </c>
      <c r="E160" s="2944">
        <v>14050</v>
      </c>
      <c r="F160" s="2944">
        <v>2270</v>
      </c>
      <c r="G160" s="2944">
        <v>7170</v>
      </c>
    </row>
    <row r="161" spans="1:7" s="2778" customFormat="1" ht="14.25" customHeight="1">
      <c r="A161" s="2944" t="s">
        <v>29</v>
      </c>
      <c r="B161" s="2944" t="s">
        <v>2989</v>
      </c>
      <c r="C161" s="2944">
        <v>11160</v>
      </c>
      <c r="D161" s="2944">
        <v>11120</v>
      </c>
      <c r="E161" s="2944">
        <v>14020</v>
      </c>
      <c r="F161" s="2944">
        <v>2150</v>
      </c>
      <c r="G161" s="2944">
        <v>7160</v>
      </c>
    </row>
    <row r="162" spans="1:7" s="2778" customFormat="1" ht="14.25" customHeight="1">
      <c r="A162" s="2944" t="s">
        <v>29</v>
      </c>
      <c r="B162" s="2944" t="s">
        <v>2994</v>
      </c>
      <c r="C162" s="2944">
        <v>9620</v>
      </c>
      <c r="D162" s="2944">
        <v>9570</v>
      </c>
      <c r="E162" s="2944">
        <v>12320</v>
      </c>
      <c r="F162" s="2944">
        <v>2010</v>
      </c>
      <c r="G162" s="2944">
        <v>6160</v>
      </c>
    </row>
    <row r="163" spans="1:7" s="2778" customFormat="1" ht="14.25" customHeight="1">
      <c r="A163" s="2944" t="s">
        <v>29</v>
      </c>
      <c r="B163" s="2944" t="s">
        <v>2999</v>
      </c>
      <c r="C163" s="2944">
        <v>9320</v>
      </c>
      <c r="D163" s="2944">
        <v>9270</v>
      </c>
      <c r="E163" s="2944">
        <v>11790</v>
      </c>
      <c r="F163" s="2944">
        <v>1920</v>
      </c>
      <c r="G163" s="2944">
        <v>5960</v>
      </c>
    </row>
    <row r="164" spans="1:7" s="2778" customFormat="1" ht="14.25" customHeight="1">
      <c r="A164" s="2944" t="s">
        <v>29</v>
      </c>
      <c r="B164" s="2944" t="s">
        <v>3004</v>
      </c>
      <c r="C164" s="2944"/>
      <c r="D164" s="2944"/>
      <c r="E164" s="2944"/>
      <c r="F164" s="2944">
        <v>1980</v>
      </c>
      <c r="G164" s="2944"/>
    </row>
    <row r="165" spans="1:7" s="2778" customFormat="1" ht="14.25" customHeight="1">
      <c r="A165" s="2944" t="s">
        <v>29</v>
      </c>
      <c r="B165" s="2944" t="s">
        <v>3074</v>
      </c>
      <c r="C165" s="2944">
        <v>11060</v>
      </c>
      <c r="D165" s="2944">
        <v>11030</v>
      </c>
      <c r="E165" s="2944">
        <v>13850</v>
      </c>
      <c r="F165" s="2944">
        <v>2170</v>
      </c>
      <c r="G165" s="2944">
        <v>7090</v>
      </c>
    </row>
    <row r="166" spans="1:7" s="2778" customFormat="1" ht="14.25" customHeight="1">
      <c r="A166" s="2944" t="s">
        <v>29</v>
      </c>
      <c r="B166" s="2944" t="s">
        <v>3014</v>
      </c>
      <c r="C166" s="2944">
        <v>11050</v>
      </c>
      <c r="D166" s="2944">
        <v>11010</v>
      </c>
      <c r="E166" s="2944">
        <v>13920</v>
      </c>
      <c r="F166" s="2944">
        <v>2140</v>
      </c>
      <c r="G166" s="2944">
        <v>7080</v>
      </c>
    </row>
    <row r="167" spans="1:7" s="2778" customFormat="1" ht="14.25" customHeight="1">
      <c r="A167" s="2944" t="s">
        <v>29</v>
      </c>
      <c r="B167" s="2944" t="s">
        <v>3018</v>
      </c>
      <c r="C167" s="2944">
        <v>10930</v>
      </c>
      <c r="D167" s="2944">
        <v>10890</v>
      </c>
      <c r="E167" s="2944">
        <v>13790</v>
      </c>
      <c r="F167" s="2944">
        <v>2010</v>
      </c>
      <c r="G167" s="2944">
        <v>7000</v>
      </c>
    </row>
    <row r="168" spans="1:7" s="2778" customFormat="1" ht="14.25" customHeight="1">
      <c r="A168" s="2944" t="s">
        <v>29</v>
      </c>
      <c r="B168" s="2944" t="s">
        <v>3023</v>
      </c>
      <c r="C168" s="2944">
        <v>9420</v>
      </c>
      <c r="D168" s="2944">
        <v>9380</v>
      </c>
      <c r="E168" s="2944">
        <v>11970</v>
      </c>
      <c r="F168" s="2944"/>
      <c r="G168" s="2944">
        <v>6040</v>
      </c>
    </row>
    <row r="169" spans="1:7" s="2778" customFormat="1" ht="14.25" customHeight="1">
      <c r="A169" s="2944" t="s">
        <v>29</v>
      </c>
      <c r="B169" s="2944" t="s">
        <v>3075</v>
      </c>
      <c r="C169" s="2944"/>
      <c r="D169" s="2944"/>
      <c r="E169" s="2944"/>
      <c r="F169" s="2944">
        <v>2880</v>
      </c>
      <c r="G169" s="2944"/>
    </row>
    <row r="170" spans="1:7" s="2778" customFormat="1" ht="14.25" customHeight="1">
      <c r="A170" s="2944" t="s">
        <v>29</v>
      </c>
      <c r="B170" s="2944" t="s">
        <v>3031</v>
      </c>
      <c r="C170" s="2944"/>
      <c r="D170" s="2944"/>
      <c r="E170" s="2944"/>
      <c r="F170" s="2944">
        <v>2880</v>
      </c>
      <c r="G170" s="2944"/>
    </row>
    <row r="171" spans="1:7" s="2778" customFormat="1" ht="14.25" customHeight="1">
      <c r="A171" s="2944" t="s">
        <v>29</v>
      </c>
      <c r="B171" s="2944" t="s">
        <v>3034</v>
      </c>
      <c r="C171" s="2944"/>
      <c r="D171" s="2944"/>
      <c r="E171" s="2944"/>
      <c r="F171" s="2944">
        <v>2880</v>
      </c>
      <c r="G171" s="2944"/>
    </row>
    <row r="172" spans="1:7" s="2778" customFormat="1" ht="14.25" customHeight="1">
      <c r="A172" s="2944" t="s">
        <v>29</v>
      </c>
      <c r="B172" s="2944" t="s">
        <v>3036</v>
      </c>
      <c r="C172" s="2944"/>
      <c r="D172" s="2944"/>
      <c r="E172" s="2944"/>
      <c r="F172" s="2944">
        <v>2880</v>
      </c>
      <c r="G172" s="2944"/>
    </row>
    <row r="173" spans="1:7" s="2778" customFormat="1" ht="14.25" customHeight="1">
      <c r="A173" s="2944" t="s">
        <v>29</v>
      </c>
      <c r="B173" s="2944" t="s">
        <v>3038</v>
      </c>
      <c r="C173" s="2944"/>
      <c r="D173" s="2944"/>
      <c r="E173" s="2944"/>
      <c r="F173" s="2944">
        <v>2150</v>
      </c>
      <c r="G173" s="2944"/>
    </row>
    <row r="174" spans="1:7" s="2778" customFormat="1" ht="14.25" customHeight="1">
      <c r="A174" s="2944" t="s">
        <v>29</v>
      </c>
      <c r="B174" s="2944" t="s">
        <v>3040</v>
      </c>
      <c r="C174" s="2944"/>
      <c r="D174" s="2944"/>
      <c r="E174" s="2944"/>
      <c r="F174" s="2944">
        <v>2030</v>
      </c>
      <c r="G174" s="2944"/>
    </row>
    <row r="175" spans="1:7" s="2778" customFormat="1" ht="14.25" customHeight="1">
      <c r="A175" s="2944" t="s">
        <v>29</v>
      </c>
      <c r="B175" s="2944" t="s">
        <v>3042</v>
      </c>
      <c r="C175" s="2944"/>
      <c r="D175" s="2944"/>
      <c r="E175" s="2944"/>
      <c r="F175" s="2944">
        <v>2780</v>
      </c>
      <c r="G175" s="2944"/>
    </row>
    <row r="176" spans="1:7" s="2778" customFormat="1" ht="14.25" customHeight="1">
      <c r="A176" s="2944" t="s">
        <v>29</v>
      </c>
      <c r="B176" s="2944" t="s">
        <v>3044</v>
      </c>
      <c r="C176" s="2944"/>
      <c r="D176" s="2944"/>
      <c r="E176" s="2944"/>
      <c r="F176" s="2944">
        <v>2780</v>
      </c>
      <c r="G176" s="2944"/>
    </row>
    <row r="177" spans="1:7" s="2778" customFormat="1" ht="14.25" customHeight="1">
      <c r="A177" s="2944" t="s">
        <v>29</v>
      </c>
      <c r="B177" s="2944" t="s">
        <v>3076</v>
      </c>
      <c r="C177" s="2944"/>
      <c r="D177" s="2944"/>
      <c r="E177" s="2944"/>
      <c r="F177" s="2944">
        <v>2780</v>
      </c>
      <c r="G177" s="2944"/>
    </row>
    <row r="178" spans="1:7" s="2778" customFormat="1" ht="14.25" customHeight="1">
      <c r="A178" s="2944" t="s">
        <v>29</v>
      </c>
      <c r="B178" s="2944" t="s">
        <v>3077</v>
      </c>
      <c r="C178" s="2944"/>
      <c r="D178" s="2944"/>
      <c r="E178" s="2944"/>
      <c r="F178" s="2944">
        <v>2060</v>
      </c>
      <c r="G178" s="2944"/>
    </row>
    <row r="179" spans="1:7" s="2778" customFormat="1" ht="14.25" customHeight="1">
      <c r="A179" s="2944" t="s">
        <v>29</v>
      </c>
      <c r="B179" s="2944" t="s">
        <v>3078</v>
      </c>
      <c r="C179" s="2944"/>
      <c r="D179" s="2944"/>
      <c r="E179" s="2944"/>
      <c r="F179" s="2944">
        <v>2120</v>
      </c>
      <c r="G179" s="2944"/>
    </row>
    <row r="180" spans="1:7" s="2778" customFormat="1" ht="14.25" customHeight="1">
      <c r="A180" s="2944" t="s">
        <v>29</v>
      </c>
      <c r="B180" s="2944" t="s">
        <v>3050</v>
      </c>
      <c r="C180" s="2944"/>
      <c r="D180" s="2944"/>
      <c r="E180" s="2944"/>
      <c r="F180" s="2944">
        <v>2340</v>
      </c>
      <c r="G180" s="2944"/>
    </row>
    <row r="181" spans="1:7" s="2778" customFormat="1" ht="14.25" customHeight="1">
      <c r="A181" s="2944" t="s">
        <v>29</v>
      </c>
      <c r="B181" s="2944" t="s">
        <v>3051</v>
      </c>
      <c r="C181" s="2944"/>
      <c r="D181" s="2944"/>
      <c r="E181" s="2944"/>
      <c r="F181" s="2944">
        <v>2340</v>
      </c>
      <c r="G181" s="2944"/>
    </row>
    <row r="182" spans="1:7" s="2778" customFormat="1" ht="14.25" customHeight="1">
      <c r="A182" s="2944" t="s">
        <v>29</v>
      </c>
      <c r="B182" s="2944" t="s">
        <v>3052</v>
      </c>
      <c r="C182" s="2944"/>
      <c r="D182" s="2944"/>
      <c r="E182" s="2944"/>
      <c r="F182" s="2944">
        <v>2340</v>
      </c>
      <c r="G182" s="2944"/>
    </row>
    <row r="183" spans="1:7" s="2778" customFormat="1" ht="14.25" customHeight="1">
      <c r="A183" s="2944" t="s">
        <v>29</v>
      </c>
      <c r="B183" s="2944" t="s">
        <v>3053</v>
      </c>
      <c r="C183" s="2944"/>
      <c r="D183" s="2944"/>
      <c r="E183" s="2944"/>
      <c r="F183" s="2944">
        <v>2340</v>
      </c>
      <c r="G183" s="2944"/>
    </row>
    <row r="184" spans="1:7" s="2778" customFormat="1" ht="14.25" customHeight="1">
      <c r="A184" s="2944" t="s">
        <v>29</v>
      </c>
      <c r="B184" s="2944" t="s">
        <v>3054</v>
      </c>
      <c r="C184" s="2944"/>
      <c r="D184" s="2944"/>
      <c r="E184" s="2944"/>
      <c r="F184" s="2944">
        <v>2340</v>
      </c>
      <c r="G184" s="2944"/>
    </row>
    <row r="185" spans="1:7" s="2778" customFormat="1" ht="14.25" customHeight="1">
      <c r="A185" s="2944" t="s">
        <v>29</v>
      </c>
      <c r="B185" s="2944" t="s">
        <v>3055</v>
      </c>
      <c r="C185" s="2944"/>
      <c r="D185" s="2944"/>
      <c r="E185" s="2944"/>
      <c r="F185" s="2944">
        <v>2530</v>
      </c>
      <c r="G185" s="2944"/>
    </row>
    <row r="186" spans="1:7" s="2778" customFormat="1" ht="14.25" customHeight="1">
      <c r="A186" s="2944" t="s">
        <v>29</v>
      </c>
      <c r="B186" s="2944" t="s">
        <v>3056</v>
      </c>
      <c r="C186" s="2944"/>
      <c r="D186" s="2944"/>
      <c r="E186" s="2944"/>
      <c r="F186" s="2944">
        <v>2550</v>
      </c>
      <c r="G186" s="2944"/>
    </row>
    <row r="187" spans="1:7" s="2778" customFormat="1" ht="14.25" customHeight="1">
      <c r="A187" s="2944" t="s">
        <v>29</v>
      </c>
      <c r="B187" s="2944" t="s">
        <v>3057</v>
      </c>
      <c r="C187" s="2944"/>
      <c r="D187" s="2944"/>
      <c r="E187" s="2944"/>
      <c r="F187" s="2944">
        <v>2070</v>
      </c>
      <c r="G187" s="2944"/>
    </row>
    <row r="188" spans="1:7" s="2778" customFormat="1" ht="14.25" customHeight="1">
      <c r="A188" s="2944" t="s">
        <v>29</v>
      </c>
      <c r="B188" s="2944" t="s">
        <v>3058</v>
      </c>
      <c r="C188" s="2944"/>
      <c r="D188" s="2944"/>
      <c r="E188" s="2944"/>
      <c r="F188" s="2944">
        <v>2340</v>
      </c>
      <c r="G188" s="2944"/>
    </row>
    <row r="189" spans="1:7" s="2778" customFormat="1" ht="14.25" customHeight="1" thickBot="1">
      <c r="A189" s="2952" t="s">
        <v>29</v>
      </c>
      <c r="B189" s="2955" t="s">
        <v>3059</v>
      </c>
      <c r="C189" s="2955"/>
      <c r="D189" s="2955"/>
      <c r="E189" s="2955"/>
      <c r="F189" s="2955">
        <v>2050</v>
      </c>
      <c r="G189" s="2955"/>
    </row>
    <row r="190" spans="1:7" s="2778" customFormat="1" ht="14.25" customHeight="1">
      <c r="A190" s="2949" t="s">
        <v>304</v>
      </c>
      <c r="B190" s="2940" t="s">
        <v>3079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3080</v>
      </c>
      <c r="C199" s="2944">
        <v>8690</v>
      </c>
      <c r="D199" s="2944">
        <v>8630</v>
      </c>
      <c r="E199" s="2944">
        <v>11350</v>
      </c>
      <c r="F199" s="2944">
        <v>1600</v>
      </c>
      <c r="G199" s="2957">
        <v>5450</v>
      </c>
    </row>
    <row r="200" spans="1:7" s="2778" customFormat="1" ht="14.25" customHeight="1">
      <c r="A200" s="2944" t="s">
        <v>304</v>
      </c>
      <c r="B200" s="2944" t="s">
        <v>2891</v>
      </c>
      <c r="C200" s="2944"/>
      <c r="D200" s="2944"/>
      <c r="E200" s="2944"/>
      <c r="F200" s="2944">
        <v>1510</v>
      </c>
      <c r="G200" s="2957"/>
    </row>
    <row r="201" spans="1:7" s="2778" customFormat="1" ht="14.25" customHeight="1">
      <c r="A201" s="2944" t="s">
        <v>304</v>
      </c>
      <c r="B201" s="2944" t="s">
        <v>3081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3082</v>
      </c>
      <c r="C203" s="2944">
        <v>8130</v>
      </c>
      <c r="D203" s="2944">
        <v>8070</v>
      </c>
      <c r="E203" s="2944">
        <v>10820</v>
      </c>
      <c r="F203" s="2944">
        <v>1690</v>
      </c>
      <c r="G203" s="2957">
        <v>5100</v>
      </c>
    </row>
    <row r="204" spans="1:7" s="2778" customFormat="1" ht="14.25" customHeight="1">
      <c r="A204" s="2944" t="s">
        <v>304</v>
      </c>
      <c r="B204" s="2944" t="s">
        <v>2902</v>
      </c>
      <c r="C204" s="2944">
        <v>8350</v>
      </c>
      <c r="D204" s="2944">
        <v>8290</v>
      </c>
      <c r="E204" s="2944">
        <v>11080</v>
      </c>
      <c r="F204" s="2944">
        <v>1450</v>
      </c>
      <c r="G204" s="2957">
        <v>5240</v>
      </c>
    </row>
    <row r="205" spans="1:7" s="2778" customFormat="1" ht="14.25" customHeight="1">
      <c r="A205" s="2944" t="s">
        <v>304</v>
      </c>
      <c r="B205" s="2944" t="s">
        <v>2904</v>
      </c>
      <c r="C205" s="2944">
        <v>7190</v>
      </c>
      <c r="D205" s="2944">
        <v>7130</v>
      </c>
      <c r="E205" s="2944">
        <v>9490</v>
      </c>
      <c r="F205" s="2944">
        <v>1470</v>
      </c>
      <c r="G205" s="2957">
        <v>4510</v>
      </c>
    </row>
    <row r="206" spans="1:7" s="2778" customFormat="1" ht="14.25" customHeight="1">
      <c r="A206" s="2944" t="s">
        <v>304</v>
      </c>
      <c r="B206" s="2944" t="s">
        <v>2907</v>
      </c>
      <c r="C206" s="2944">
        <v>7000</v>
      </c>
      <c r="D206" s="2944">
        <v>6950</v>
      </c>
      <c r="E206" s="2944">
        <v>9170</v>
      </c>
      <c r="F206" s="2944">
        <v>1400</v>
      </c>
      <c r="G206" s="2957">
        <v>4380</v>
      </c>
    </row>
    <row r="207" spans="1:7" s="2778" customFormat="1" ht="14.25" customHeight="1">
      <c r="A207" s="2944" t="s">
        <v>304</v>
      </c>
      <c r="B207" s="2944" t="s">
        <v>2909</v>
      </c>
      <c r="C207" s="2944">
        <v>6950</v>
      </c>
      <c r="D207" s="2944">
        <v>6900</v>
      </c>
      <c r="E207" s="2944">
        <v>9110</v>
      </c>
      <c r="F207" s="2944">
        <v>1790</v>
      </c>
      <c r="G207" s="2957">
        <v>4360</v>
      </c>
    </row>
    <row r="208" spans="1:7" s="2778" customFormat="1" ht="14.25" customHeight="1">
      <c r="A208" s="2944" t="s">
        <v>304</v>
      </c>
      <c r="B208" s="2944" t="s">
        <v>3083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2919</v>
      </c>
      <c r="C210" s="2944">
        <v>8710</v>
      </c>
      <c r="D210" s="2944">
        <v>8660</v>
      </c>
      <c r="E210" s="2944">
        <v>11440</v>
      </c>
      <c r="F210" s="2944">
        <v>1740</v>
      </c>
      <c r="G210" s="2957">
        <v>5470</v>
      </c>
    </row>
    <row r="211" spans="1:7" s="2778" customFormat="1" ht="14.25" customHeight="1">
      <c r="A211" s="2944" t="s">
        <v>304</v>
      </c>
      <c r="B211" s="2944" t="s">
        <v>3084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3085</v>
      </c>
      <c r="C214" s="2944">
        <v>8090</v>
      </c>
      <c r="D214" s="2944">
        <v>8030</v>
      </c>
      <c r="E214" s="2944">
        <v>10780</v>
      </c>
      <c r="F214" s="2944">
        <v>1570</v>
      </c>
      <c r="G214" s="2957">
        <v>5070</v>
      </c>
    </row>
    <row r="215" spans="1:7" s="2778" customFormat="1" ht="14.25" customHeight="1">
      <c r="A215" s="2944" t="s">
        <v>304</v>
      </c>
      <c r="B215" s="2944" t="s">
        <v>3086</v>
      </c>
      <c r="C215" s="2944">
        <v>7950</v>
      </c>
      <c r="D215" s="2944">
        <v>7900</v>
      </c>
      <c r="E215" s="2944">
        <v>10560</v>
      </c>
      <c r="F215" s="2944">
        <v>1630</v>
      </c>
      <c r="G215" s="2957">
        <v>4990</v>
      </c>
    </row>
    <row r="216" spans="1:7" s="2778" customFormat="1" ht="14.25" customHeight="1">
      <c r="A216" s="2944" t="s">
        <v>304</v>
      </c>
      <c r="B216" s="2944" t="s">
        <v>3087</v>
      </c>
      <c r="C216" s="2944">
        <v>8490</v>
      </c>
      <c r="D216" s="2944">
        <v>8440</v>
      </c>
      <c r="E216" s="2944">
        <v>11260</v>
      </c>
      <c r="F216" s="2944">
        <v>1690</v>
      </c>
      <c r="G216" s="2957">
        <v>5330</v>
      </c>
    </row>
    <row r="217" spans="1:7" s="2778" customFormat="1" ht="14.25" customHeight="1">
      <c r="A217" s="2944" t="s">
        <v>304</v>
      </c>
      <c r="B217" s="2944" t="s">
        <v>2952</v>
      </c>
      <c r="C217" s="2944">
        <v>8200</v>
      </c>
      <c r="D217" s="2944">
        <v>8150</v>
      </c>
      <c r="E217" s="2944">
        <v>10910</v>
      </c>
      <c r="F217" s="2944">
        <v>1670</v>
      </c>
      <c r="G217" s="2957">
        <v>5150</v>
      </c>
    </row>
    <row r="218" spans="1:7" s="2778" customFormat="1" ht="14.25" customHeight="1">
      <c r="A218" s="2944" t="s">
        <v>304</v>
      </c>
      <c r="B218" s="2944" t="s">
        <v>3088</v>
      </c>
      <c r="C218" s="2944"/>
      <c r="D218" s="2944"/>
      <c r="E218" s="2944"/>
      <c r="F218" s="2944">
        <v>2040</v>
      </c>
      <c r="G218" s="2957"/>
    </row>
    <row r="219" spans="1:7" s="2778" customFormat="1" ht="14.25" customHeight="1">
      <c r="A219" s="2944" t="s">
        <v>304</v>
      </c>
      <c r="B219" s="2944" t="s">
        <v>3089</v>
      </c>
      <c r="C219" s="2944"/>
      <c r="D219" s="2944"/>
      <c r="E219" s="2944"/>
      <c r="F219" s="2944">
        <v>2040</v>
      </c>
      <c r="G219" s="2957"/>
    </row>
    <row r="220" spans="1:7" s="2778" customFormat="1" ht="14.25" customHeight="1">
      <c r="A220" s="2944" t="s">
        <v>304</v>
      </c>
      <c r="B220" s="2944" t="s">
        <v>3090</v>
      </c>
      <c r="C220" s="2944"/>
      <c r="D220" s="2944"/>
      <c r="E220" s="2944"/>
      <c r="F220" s="2944">
        <v>2040</v>
      </c>
      <c r="G220" s="2957"/>
    </row>
    <row r="221" spans="1:7" s="2778" customFormat="1" ht="14.25" customHeight="1">
      <c r="A221" s="2944" t="s">
        <v>304</v>
      </c>
      <c r="B221" s="2944" t="s">
        <v>3091</v>
      </c>
      <c r="C221" s="2944"/>
      <c r="D221" s="2944"/>
      <c r="E221" s="2944"/>
      <c r="F221" s="2944">
        <v>2040</v>
      </c>
      <c r="G221" s="2957"/>
    </row>
    <row r="222" spans="1:7" s="2778" customFormat="1" ht="14.25" customHeight="1">
      <c r="A222" s="2944" t="s">
        <v>304</v>
      </c>
      <c r="B222" s="2944" t="s">
        <v>3092</v>
      </c>
      <c r="C222" s="2944"/>
      <c r="D222" s="2944"/>
      <c r="E222" s="2944"/>
      <c r="F222" s="2944">
        <v>2040</v>
      </c>
      <c r="G222" s="2957"/>
    </row>
    <row r="223" spans="1:7" s="2778" customFormat="1" ht="14.25" customHeight="1">
      <c r="A223" s="2944" t="s">
        <v>304</v>
      </c>
      <c r="B223" s="2944" t="s">
        <v>3093</v>
      </c>
      <c r="C223" s="2944"/>
      <c r="D223" s="2944"/>
      <c r="E223" s="2944"/>
      <c r="F223" s="2944">
        <v>1930</v>
      </c>
      <c r="G223" s="2957"/>
    </row>
    <row r="224" spans="1:7" s="2778" customFormat="1" ht="14.25" customHeight="1">
      <c r="A224" s="2944" t="s">
        <v>304</v>
      </c>
      <c r="B224" s="2944" t="s">
        <v>3094</v>
      </c>
      <c r="C224" s="2944"/>
      <c r="D224" s="2944"/>
      <c r="E224" s="2944"/>
      <c r="F224" s="2944">
        <v>1930</v>
      </c>
      <c r="G224" s="2957"/>
    </row>
    <row r="225" spans="1:7" s="2778" customFormat="1" ht="14.25" customHeight="1">
      <c r="A225" s="2944" t="s">
        <v>304</v>
      </c>
      <c r="B225" s="2944" t="s">
        <v>3095</v>
      </c>
      <c r="C225" s="2944"/>
      <c r="D225" s="2944"/>
      <c r="E225" s="2944"/>
      <c r="F225" s="2944">
        <v>1930</v>
      </c>
      <c r="G225" s="2957"/>
    </row>
    <row r="226" spans="1:7" s="2778" customFormat="1" ht="14.25" customHeight="1">
      <c r="A226" s="2944" t="s">
        <v>304</v>
      </c>
      <c r="B226" s="2944" t="s">
        <v>3096</v>
      </c>
      <c r="C226" s="2944"/>
      <c r="D226" s="2944"/>
      <c r="E226" s="2944"/>
      <c r="F226" s="2944">
        <v>1700</v>
      </c>
      <c r="G226" s="2957"/>
    </row>
    <row r="227" spans="1:7" s="2778" customFormat="1" ht="14.25" customHeight="1">
      <c r="A227" s="2944" t="s">
        <v>304</v>
      </c>
      <c r="B227" s="2944" t="s">
        <v>3097</v>
      </c>
      <c r="C227" s="2944"/>
      <c r="D227" s="2944"/>
      <c r="E227" s="2944"/>
      <c r="F227" s="2944">
        <v>1520</v>
      </c>
      <c r="G227" s="2957"/>
    </row>
    <row r="228" spans="1:7" s="2778" customFormat="1" ht="14.25" customHeight="1">
      <c r="A228" s="2944" t="s">
        <v>304</v>
      </c>
      <c r="B228" s="2944" t="s">
        <v>3098</v>
      </c>
      <c r="C228" s="2944"/>
      <c r="D228" s="2944"/>
      <c r="E228" s="2944"/>
      <c r="F228" s="2944">
        <v>1520</v>
      </c>
      <c r="G228" s="2957"/>
    </row>
    <row r="229" spans="1:7" s="2778" customFormat="1" ht="14.25" customHeight="1">
      <c r="A229" s="2944" t="s">
        <v>304</v>
      </c>
      <c r="B229" s="2944" t="s">
        <v>3015</v>
      </c>
      <c r="C229" s="2944"/>
      <c r="D229" s="2944"/>
      <c r="E229" s="2944"/>
      <c r="F229" s="2944">
        <v>1520</v>
      </c>
      <c r="G229" s="2957"/>
    </row>
    <row r="230" spans="1:7" s="2778" customFormat="1" ht="14.25" customHeight="1">
      <c r="A230" s="2944" t="s">
        <v>304</v>
      </c>
      <c r="B230" s="2944" t="s">
        <v>3099</v>
      </c>
      <c r="C230" s="2944"/>
      <c r="D230" s="2944"/>
      <c r="E230" s="2944"/>
      <c r="F230" s="2944">
        <v>1820</v>
      </c>
      <c r="G230" s="2957"/>
    </row>
    <row r="231" spans="1:7" s="2778" customFormat="1" ht="14.25" customHeight="1">
      <c r="A231" s="2944" t="s">
        <v>304</v>
      </c>
      <c r="B231" s="2944" t="s">
        <v>3100</v>
      </c>
      <c r="C231" s="2944"/>
      <c r="D231" s="2944"/>
      <c r="E231" s="2944"/>
      <c r="F231" s="2944">
        <v>1760</v>
      </c>
      <c r="G231" s="2957"/>
    </row>
    <row r="232" spans="1:7" s="2778" customFormat="1" ht="14.25" customHeight="1">
      <c r="A232" s="2944" t="s">
        <v>304</v>
      </c>
      <c r="B232" s="2944" t="s">
        <v>3101</v>
      </c>
      <c r="C232" s="2944"/>
      <c r="D232" s="2944"/>
      <c r="E232" s="2944"/>
      <c r="F232" s="2944">
        <v>1840</v>
      </c>
      <c r="G232" s="2957"/>
    </row>
    <row r="233" spans="1:7" s="2778" customFormat="1" ht="14.25" customHeight="1" thickBot="1">
      <c r="A233" s="2958" t="s">
        <v>304</v>
      </c>
      <c r="B233" s="2951" t="s">
        <v>3032</v>
      </c>
      <c r="C233" s="2951"/>
      <c r="D233" s="2951"/>
      <c r="E233" s="2951"/>
      <c r="F233" s="2951">
        <v>1770</v>
      </c>
      <c r="G233" s="2959"/>
    </row>
    <row r="234" spans="1:7" s="2778" customFormat="1" ht="14.25" customHeight="1">
      <c r="A234" s="2949" t="s">
        <v>305</v>
      </c>
      <c r="B234" s="2940" t="s">
        <v>3102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2873</v>
      </c>
      <c r="C238" s="2944">
        <v>6920</v>
      </c>
      <c r="D238" s="2944">
        <v>6890</v>
      </c>
      <c r="E238" s="2944">
        <v>8640</v>
      </c>
      <c r="F238" s="2944">
        <v>1310</v>
      </c>
      <c r="G238" s="2944">
        <v>4230</v>
      </c>
    </row>
    <row r="239" spans="1:7" s="2778" customFormat="1" ht="14.25" customHeight="1">
      <c r="A239" s="2944" t="s">
        <v>305</v>
      </c>
      <c r="B239" s="2944" t="s">
        <v>3103</v>
      </c>
      <c r="C239" s="2944">
        <v>6780</v>
      </c>
      <c r="D239" s="2944">
        <v>6750</v>
      </c>
      <c r="E239" s="2944">
        <v>8440</v>
      </c>
      <c r="F239" s="2944">
        <v>1160</v>
      </c>
      <c r="G239" s="2944">
        <v>4140</v>
      </c>
    </row>
    <row r="240" spans="1:7" s="2778" customFormat="1" ht="14.25" customHeight="1">
      <c r="A240" s="2944" t="s">
        <v>305</v>
      </c>
      <c r="B240" s="2944" t="s">
        <v>3104</v>
      </c>
      <c r="C240" s="2944">
        <v>5420</v>
      </c>
      <c r="D240" s="2944">
        <v>5380</v>
      </c>
      <c r="E240" s="2944">
        <v>6640</v>
      </c>
      <c r="F240" s="2944">
        <v>1020</v>
      </c>
      <c r="G240" s="2944">
        <v>3300</v>
      </c>
    </row>
    <row r="241" spans="1:7" s="2778" customFormat="1" ht="14.25" customHeight="1">
      <c r="A241" s="2944" t="s">
        <v>305</v>
      </c>
      <c r="B241" s="2944" t="s">
        <v>3105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2935</v>
      </c>
      <c r="C258" s="2944">
        <v>6190</v>
      </c>
      <c r="D258" s="2944">
        <v>6160</v>
      </c>
      <c r="E258" s="2944">
        <v>7680</v>
      </c>
      <c r="F258" s="2944">
        <v>1170</v>
      </c>
      <c r="G258" s="2944">
        <v>3780</v>
      </c>
    </row>
    <row r="259" spans="1:7" s="2778" customFormat="1" ht="14.25" customHeight="1">
      <c r="A259" s="2944" t="s">
        <v>305</v>
      </c>
      <c r="B259" s="2944" t="s">
        <v>3111</v>
      </c>
      <c r="C259" s="2944">
        <v>7610</v>
      </c>
      <c r="D259" s="2944">
        <v>7570</v>
      </c>
      <c r="E259" s="2944">
        <v>9350</v>
      </c>
      <c r="F259" s="2944">
        <v>1350</v>
      </c>
      <c r="G259" s="2944">
        <v>4650</v>
      </c>
    </row>
    <row r="260" spans="1:7" s="2778" customFormat="1" ht="14.25" customHeight="1">
      <c r="A260" s="2944" t="s">
        <v>305</v>
      </c>
      <c r="B260" s="2944" t="s">
        <v>3112</v>
      </c>
      <c r="C260" s="2944">
        <v>6920</v>
      </c>
      <c r="D260" s="2944">
        <v>6880</v>
      </c>
      <c r="E260" s="2944">
        <v>8380</v>
      </c>
      <c r="F260" s="2944">
        <v>1160</v>
      </c>
      <c r="G260" s="2944">
        <v>4220</v>
      </c>
    </row>
    <row r="261" spans="1:7" s="2778" customFormat="1" ht="14.25" customHeight="1">
      <c r="A261" s="2944" t="s">
        <v>305</v>
      </c>
      <c r="B261" s="2944" t="s">
        <v>3113</v>
      </c>
      <c r="C261" s="2944">
        <v>6850</v>
      </c>
      <c r="D261" s="2944">
        <v>6810</v>
      </c>
      <c r="E261" s="2944">
        <v>8290</v>
      </c>
      <c r="F261" s="2944">
        <v>1130</v>
      </c>
      <c r="G261" s="2944">
        <v>4180</v>
      </c>
    </row>
    <row r="262" spans="1:7" s="2778" customFormat="1" ht="14.25" customHeight="1">
      <c r="A262" s="2944" t="s">
        <v>305</v>
      </c>
      <c r="B262" s="2944" t="s">
        <v>3114</v>
      </c>
      <c r="C262" s="2944">
        <v>5860</v>
      </c>
      <c r="D262" s="2944">
        <v>5820</v>
      </c>
      <c r="E262" s="2944">
        <v>7640</v>
      </c>
      <c r="F262" s="2944">
        <v>1070</v>
      </c>
      <c r="G262" s="2944">
        <v>3570</v>
      </c>
    </row>
    <row r="263" spans="1:7" s="2778" customFormat="1" ht="14.25" customHeight="1">
      <c r="A263" s="2944" t="s">
        <v>305</v>
      </c>
      <c r="B263" s="2944" t="s">
        <v>3115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3116</v>
      </c>
      <c r="C265" s="2944"/>
      <c r="D265" s="2944"/>
      <c r="E265" s="2944"/>
      <c r="F265" s="2944">
        <v>1500</v>
      </c>
      <c r="G265" s="2944"/>
    </row>
    <row r="266" spans="1:7" s="2778" customFormat="1" ht="14.25" customHeight="1">
      <c r="A266" s="2944" t="s">
        <v>305</v>
      </c>
      <c r="B266" s="2944" t="s">
        <v>3117</v>
      </c>
      <c r="C266" s="2944"/>
      <c r="D266" s="2944"/>
      <c r="E266" s="2944"/>
      <c r="F266" s="2944">
        <v>1500</v>
      </c>
      <c r="G266" s="2944"/>
    </row>
    <row r="267" spans="1:7" s="2778" customFormat="1" ht="14.25" customHeight="1">
      <c r="A267" s="2944" t="s">
        <v>305</v>
      </c>
      <c r="B267" s="2944" t="s">
        <v>3118</v>
      </c>
      <c r="C267" s="2944"/>
      <c r="D267" s="2944"/>
      <c r="E267" s="2944"/>
      <c r="F267" s="2944">
        <v>1500</v>
      </c>
      <c r="G267" s="2944"/>
    </row>
    <row r="268" spans="1:7" s="2778" customFormat="1" ht="14.25" customHeight="1">
      <c r="A268" s="2944" t="s">
        <v>305</v>
      </c>
      <c r="B268" s="2944" t="s">
        <v>3119</v>
      </c>
      <c r="C268" s="2944"/>
      <c r="D268" s="2944"/>
      <c r="E268" s="2944"/>
      <c r="F268" s="2944">
        <v>1290</v>
      </c>
      <c r="G268" s="2944"/>
    </row>
    <row r="269" spans="1:7" s="2778" customFormat="1" ht="14.25" customHeight="1">
      <c r="A269" s="2944" t="s">
        <v>305</v>
      </c>
      <c r="B269" s="2944" t="s">
        <v>3120</v>
      </c>
      <c r="C269" s="2944"/>
      <c r="D269" s="2944"/>
      <c r="E269" s="2944"/>
      <c r="F269" s="2944">
        <v>1150</v>
      </c>
      <c r="G269" s="2944"/>
    </row>
    <row r="270" spans="1:7" s="2778" customFormat="1" ht="14.25" customHeight="1">
      <c r="A270" s="2944" t="s">
        <v>305</v>
      </c>
      <c r="B270" s="2944" t="s">
        <v>3121</v>
      </c>
      <c r="C270" s="2944"/>
      <c r="D270" s="2944"/>
      <c r="E270" s="2944"/>
      <c r="F270" s="2944">
        <v>1380</v>
      </c>
      <c r="G270" s="2944"/>
    </row>
    <row r="271" spans="1:7" s="2778" customFormat="1" ht="14.25" customHeight="1">
      <c r="A271" s="2944" t="s">
        <v>305</v>
      </c>
      <c r="B271" s="2944" t="s">
        <v>3122</v>
      </c>
      <c r="C271" s="2944"/>
      <c r="D271" s="2944"/>
      <c r="E271" s="2944"/>
      <c r="F271" s="2944">
        <v>1460</v>
      </c>
      <c r="G271" s="2944"/>
    </row>
    <row r="272" spans="1:7" s="2778" customFormat="1" ht="14.25" customHeight="1">
      <c r="A272" s="2944" t="s">
        <v>305</v>
      </c>
      <c r="B272" s="2944" t="s">
        <v>3123</v>
      </c>
      <c r="C272" s="2944"/>
      <c r="D272" s="2944"/>
      <c r="E272" s="2944"/>
      <c r="F272" s="2944">
        <v>1460</v>
      </c>
      <c r="G272" s="2944"/>
    </row>
    <row r="273" spans="1:7" s="2778" customFormat="1" ht="14.25" customHeight="1">
      <c r="A273" s="2944" t="s">
        <v>305</v>
      </c>
      <c r="B273" s="2944" t="s">
        <v>3016</v>
      </c>
      <c r="C273" s="2944"/>
      <c r="D273" s="2944"/>
      <c r="E273" s="2944"/>
      <c r="F273" s="2944">
        <v>1490</v>
      </c>
      <c r="G273" s="2944"/>
    </row>
    <row r="274" spans="1:7" s="2778" customFormat="1" ht="14.25" customHeight="1">
      <c r="A274" s="2944" t="s">
        <v>305</v>
      </c>
      <c r="B274" s="2944" t="s">
        <v>3124</v>
      </c>
      <c r="C274" s="2944"/>
      <c r="D274" s="2944"/>
      <c r="E274" s="2944"/>
      <c r="F274" s="2944">
        <v>1490</v>
      </c>
      <c r="G274" s="2944"/>
    </row>
    <row r="275" spans="1:7" s="2778" customFormat="1" ht="14.25" customHeight="1">
      <c r="A275" s="2944" t="s">
        <v>305</v>
      </c>
      <c r="B275" s="2944" t="s">
        <v>3125</v>
      </c>
      <c r="C275" s="2944"/>
      <c r="D275" s="2944"/>
      <c r="E275" s="2944"/>
      <c r="F275" s="2944">
        <v>1220</v>
      </c>
      <c r="G275" s="2944"/>
    </row>
    <row r="276" spans="1:7" s="2778" customFormat="1" ht="14.25" customHeight="1" thickBot="1">
      <c r="A276" s="2952" t="s">
        <v>305</v>
      </c>
      <c r="B276" s="2954" t="s">
        <v>3126</v>
      </c>
      <c r="C276" s="2955"/>
      <c r="D276" s="2955"/>
      <c r="E276" s="2955"/>
      <c r="F276" s="2955">
        <v>1380</v>
      </c>
      <c r="G276" s="2955"/>
    </row>
    <row r="277" spans="1:7" s="2778" customFormat="1" ht="14.25" customHeight="1">
      <c r="A277" s="2949" t="s">
        <v>306</v>
      </c>
      <c r="B277" s="2940" t="s">
        <v>3127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3128</v>
      </c>
      <c r="C279" s="2944">
        <v>4760</v>
      </c>
      <c r="D279" s="2944">
        <v>4720</v>
      </c>
      <c r="E279" s="2944">
        <v>5540</v>
      </c>
      <c r="F279" s="2944">
        <v>810</v>
      </c>
      <c r="G279" s="2957">
        <v>2850</v>
      </c>
    </row>
    <row r="280" spans="1:7" s="2778" customFormat="1" ht="14.25" customHeight="1">
      <c r="A280" s="2944" t="s">
        <v>306</v>
      </c>
      <c r="B280" s="2944" t="s">
        <v>3129</v>
      </c>
      <c r="C280" s="2944">
        <v>4010</v>
      </c>
      <c r="D280" s="2944">
        <v>3950</v>
      </c>
      <c r="E280" s="2944">
        <v>4710</v>
      </c>
      <c r="F280" s="2944">
        <v>800</v>
      </c>
      <c r="G280" s="2957">
        <v>2390</v>
      </c>
    </row>
    <row r="281" spans="1:7" s="2778" customFormat="1" ht="14.25" customHeight="1">
      <c r="A281" s="2944" t="s">
        <v>306</v>
      </c>
      <c r="B281" s="2944" t="s">
        <v>3130</v>
      </c>
      <c r="C281" s="2944">
        <v>4480</v>
      </c>
      <c r="D281" s="2944">
        <v>4420</v>
      </c>
      <c r="E281" s="2944">
        <v>5230</v>
      </c>
      <c r="F281" s="2944">
        <v>870</v>
      </c>
      <c r="G281" s="2957">
        <v>2660</v>
      </c>
    </row>
    <row r="282" spans="1:7" s="2778" customFormat="1" ht="14.25" customHeight="1">
      <c r="A282" s="2944" t="s">
        <v>306</v>
      </c>
      <c r="B282" s="2944" t="s">
        <v>3131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2908</v>
      </c>
      <c r="C293" s="2944">
        <v>5320</v>
      </c>
      <c r="D293" s="2944">
        <v>5270</v>
      </c>
      <c r="E293" s="2944">
        <v>6160</v>
      </c>
      <c r="F293" s="2944">
        <v>990</v>
      </c>
      <c r="G293" s="2957">
        <v>3170</v>
      </c>
    </row>
    <row r="294" spans="1:7" s="2778" customFormat="1" ht="14.25" customHeight="1">
      <c r="A294" s="2944" t="s">
        <v>306</v>
      </c>
      <c r="B294" s="2944" t="s">
        <v>3134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3135</v>
      </c>
      <c r="C302" s="2944">
        <v>5520</v>
      </c>
      <c r="D302" s="2944">
        <v>5470</v>
      </c>
      <c r="E302" s="2944">
        <v>6410</v>
      </c>
      <c r="F302" s="2944">
        <v>950</v>
      </c>
      <c r="G302" s="2957">
        <v>3300</v>
      </c>
    </row>
    <row r="303" spans="1:7" s="2778" customFormat="1" ht="14.25" customHeight="1">
      <c r="A303" s="2944" t="s">
        <v>306</v>
      </c>
      <c r="B303" s="2944" t="s">
        <v>2947</v>
      </c>
      <c r="C303" s="2944">
        <v>5630</v>
      </c>
      <c r="D303" s="2944">
        <v>5590</v>
      </c>
      <c r="E303" s="2944">
        <v>6550</v>
      </c>
      <c r="F303" s="2944">
        <v>1010</v>
      </c>
      <c r="G303" s="2957">
        <v>3370</v>
      </c>
    </row>
    <row r="304" spans="1:7" s="2778" customFormat="1" ht="14.25" customHeight="1">
      <c r="A304" s="2944" t="s">
        <v>306</v>
      </c>
      <c r="B304" s="2944" t="s">
        <v>2954</v>
      </c>
      <c r="C304" s="2944">
        <v>5680</v>
      </c>
      <c r="D304" s="2944">
        <v>5620</v>
      </c>
      <c r="E304" s="2944">
        <v>6620</v>
      </c>
      <c r="F304" s="2944">
        <v>1050</v>
      </c>
      <c r="G304" s="2957">
        <v>3390</v>
      </c>
    </row>
    <row r="305" spans="1:7" s="2778" customFormat="1" ht="14.25" customHeight="1">
      <c r="A305" s="2944" t="s">
        <v>306</v>
      </c>
      <c r="B305" s="2944" t="s">
        <v>2960</v>
      </c>
      <c r="C305" s="2944">
        <v>5590</v>
      </c>
      <c r="D305" s="2944">
        <v>5530</v>
      </c>
      <c r="E305" s="2944">
        <v>6460</v>
      </c>
      <c r="F305" s="2944">
        <v>900</v>
      </c>
      <c r="G305" s="2957">
        <v>3340</v>
      </c>
    </row>
    <row r="306" spans="1:7" s="2778" customFormat="1" ht="14.25" customHeight="1">
      <c r="A306" s="2944" t="s">
        <v>306</v>
      </c>
      <c r="B306" s="2944" t="s">
        <v>3136</v>
      </c>
      <c r="C306" s="2944">
        <v>5560</v>
      </c>
      <c r="D306" s="2944">
        <v>5510</v>
      </c>
      <c r="E306" s="2944">
        <v>6440</v>
      </c>
      <c r="F306" s="2944">
        <v>900</v>
      </c>
      <c r="G306" s="2957">
        <v>3320</v>
      </c>
    </row>
    <row r="307" spans="1:7" s="2778" customFormat="1" ht="14.25" customHeight="1">
      <c r="A307" s="2944" t="s">
        <v>306</v>
      </c>
      <c r="B307" s="2944" t="s">
        <v>2972</v>
      </c>
      <c r="C307" s="2944">
        <v>5650</v>
      </c>
      <c r="D307" s="2944">
        <v>5600</v>
      </c>
      <c r="E307" s="2944">
        <v>6590</v>
      </c>
      <c r="F307" s="2944">
        <v>930</v>
      </c>
      <c r="G307" s="2957">
        <v>3380</v>
      </c>
    </row>
    <row r="308" spans="1:7" s="2778" customFormat="1" ht="14.25" customHeight="1">
      <c r="A308" s="2944" t="s">
        <v>306</v>
      </c>
      <c r="B308" s="2944" t="s">
        <v>3137</v>
      </c>
      <c r="C308" s="2944">
        <v>5620</v>
      </c>
      <c r="D308" s="2944">
        <v>5580</v>
      </c>
      <c r="E308" s="2944">
        <v>6540</v>
      </c>
      <c r="F308" s="2944">
        <v>910</v>
      </c>
      <c r="G308" s="2957">
        <v>3370</v>
      </c>
    </row>
    <row r="309" spans="1:7" s="2778" customFormat="1" ht="14.25" customHeight="1">
      <c r="A309" s="2944" t="s">
        <v>306</v>
      </c>
      <c r="B309" s="2944" t="s">
        <v>3138</v>
      </c>
      <c r="C309" s="2944">
        <v>5060</v>
      </c>
      <c r="D309" s="2944">
        <v>5020</v>
      </c>
      <c r="E309" s="2944">
        <v>6370</v>
      </c>
      <c r="F309" s="2944">
        <v>800</v>
      </c>
      <c r="G309" s="2957">
        <v>3020</v>
      </c>
    </row>
    <row r="310" spans="1:7" s="2778" customFormat="1" ht="14.25" customHeight="1">
      <c r="A310" s="2944" t="s">
        <v>306</v>
      </c>
      <c r="B310" s="2944" t="s">
        <v>2987</v>
      </c>
      <c r="C310" s="2944">
        <v>5150</v>
      </c>
      <c r="D310" s="2944">
        <v>5110</v>
      </c>
      <c r="E310" s="2944">
        <v>6500</v>
      </c>
      <c r="F310" s="2944">
        <v>880</v>
      </c>
      <c r="G310" s="2957">
        <v>3080</v>
      </c>
    </row>
    <row r="311" spans="1:7" s="2778" customFormat="1" ht="14.25" customHeight="1">
      <c r="A311" s="2944" t="s">
        <v>306</v>
      </c>
      <c r="B311" s="2944" t="s">
        <v>3139</v>
      </c>
      <c r="C311" s="2944">
        <v>4750</v>
      </c>
      <c r="D311" s="2944">
        <v>4710</v>
      </c>
      <c r="E311" s="2944">
        <v>5510</v>
      </c>
      <c r="F311" s="2944">
        <v>880</v>
      </c>
      <c r="G311" s="2957">
        <v>2840</v>
      </c>
    </row>
    <row r="312" spans="1:7" s="2778" customFormat="1" ht="14.25" customHeight="1">
      <c r="A312" s="2944" t="s">
        <v>306</v>
      </c>
      <c r="B312" s="2944" t="s">
        <v>2997</v>
      </c>
      <c r="C312" s="2944">
        <v>4690</v>
      </c>
      <c r="D312" s="2944">
        <v>4640</v>
      </c>
      <c r="E312" s="2944">
        <v>5420</v>
      </c>
      <c r="F312" s="2944">
        <v>800</v>
      </c>
      <c r="G312" s="2957">
        <v>2800</v>
      </c>
    </row>
    <row r="313" spans="1:7" s="2778" customFormat="1" ht="14.25" customHeight="1">
      <c r="A313" s="2944" t="s">
        <v>306</v>
      </c>
      <c r="B313" s="2944" t="s">
        <v>3002</v>
      </c>
      <c r="C313" s="2944">
        <v>4810</v>
      </c>
      <c r="D313" s="2944">
        <v>4760</v>
      </c>
      <c r="E313" s="2944">
        <v>5550</v>
      </c>
      <c r="F313" s="2944">
        <v>920</v>
      </c>
      <c r="G313" s="2957">
        <v>2870</v>
      </c>
    </row>
    <row r="314" spans="1:7" s="2778" customFormat="1" ht="14.25" customHeight="1">
      <c r="A314" s="2944" t="s">
        <v>306</v>
      </c>
      <c r="B314" s="2944" t="s">
        <v>3140</v>
      </c>
      <c r="C314" s="2944"/>
      <c r="D314" s="2944"/>
      <c r="E314" s="2944"/>
      <c r="F314" s="2944">
        <v>1020</v>
      </c>
      <c r="G314" s="2957"/>
    </row>
    <row r="315" spans="1:7" s="2778" customFormat="1" ht="14.25" customHeight="1">
      <c r="A315" s="2944" t="s">
        <v>306</v>
      </c>
      <c r="B315" s="2944" t="s">
        <v>3141</v>
      </c>
      <c r="C315" s="2944"/>
      <c r="D315" s="2944"/>
      <c r="E315" s="2944"/>
      <c r="F315" s="2944">
        <v>1050</v>
      </c>
      <c r="G315" s="2957"/>
    </row>
    <row r="316" spans="1:7" s="2778" customFormat="1" ht="14.25" customHeight="1">
      <c r="A316" s="2944" t="s">
        <v>306</v>
      </c>
      <c r="B316" s="2944" t="s">
        <v>3017</v>
      </c>
      <c r="C316" s="2944"/>
      <c r="D316" s="2944"/>
      <c r="E316" s="2944"/>
      <c r="F316" s="2944">
        <v>900</v>
      </c>
      <c r="G316" s="2957"/>
    </row>
    <row r="317" spans="1:7" s="2778" customFormat="1" ht="14.25" customHeight="1">
      <c r="A317" s="2944" t="s">
        <v>306</v>
      </c>
      <c r="B317" s="2944" t="s">
        <v>3142</v>
      </c>
      <c r="C317" s="2944"/>
      <c r="D317" s="2944"/>
      <c r="E317" s="2944"/>
      <c r="F317" s="2944">
        <v>920</v>
      </c>
      <c r="G317" s="2957"/>
    </row>
    <row r="318" spans="1:7" s="2778" customFormat="1" ht="14.25" customHeight="1">
      <c r="A318" s="2944" t="s">
        <v>306</v>
      </c>
      <c r="B318" s="2944" t="s">
        <v>3143</v>
      </c>
      <c r="C318" s="2944"/>
      <c r="D318" s="2944"/>
      <c r="E318" s="2944"/>
      <c r="F318" s="2944">
        <v>1080</v>
      </c>
      <c r="G318" s="2957"/>
    </row>
    <row r="319" spans="1:7" s="2778" customFormat="1" ht="14.25" customHeight="1">
      <c r="A319" s="2944" t="s">
        <v>306</v>
      </c>
      <c r="B319" s="2944" t="s">
        <v>3030</v>
      </c>
      <c r="C319" s="2944"/>
      <c r="D319" s="2944"/>
      <c r="E319" s="2944"/>
      <c r="F319" s="2944">
        <v>1020</v>
      </c>
      <c r="G319" s="2957"/>
    </row>
    <row r="320" spans="1:7" s="2778" customFormat="1" ht="14.25" customHeight="1">
      <c r="A320" s="2944" t="s">
        <v>306</v>
      </c>
      <c r="B320" s="2944" t="s">
        <v>3033</v>
      </c>
      <c r="C320" s="2944"/>
      <c r="D320" s="2944"/>
      <c r="E320" s="2944"/>
      <c r="F320" s="2944">
        <v>1050</v>
      </c>
      <c r="G320" s="2957"/>
    </row>
    <row r="321" spans="1:7" s="2778" customFormat="1" ht="14.25" customHeight="1">
      <c r="A321" s="2944" t="s">
        <v>306</v>
      </c>
      <c r="B321" s="2944" t="s">
        <v>3035</v>
      </c>
      <c r="C321" s="2944"/>
      <c r="D321" s="2944"/>
      <c r="E321" s="2944"/>
      <c r="F321" s="2944">
        <v>960</v>
      </c>
      <c r="G321" s="2957"/>
    </row>
    <row r="322" spans="1:7" s="2778" customFormat="1" ht="14.25" customHeight="1">
      <c r="A322" s="2944" t="s">
        <v>306</v>
      </c>
      <c r="B322" s="2944" t="s">
        <v>3037</v>
      </c>
      <c r="C322" s="2944"/>
      <c r="D322" s="2944"/>
      <c r="E322" s="2944"/>
      <c r="F322" s="2944">
        <v>960</v>
      </c>
      <c r="G322" s="2957"/>
    </row>
    <row r="323" spans="1:7" s="2778" customFormat="1" ht="14.25" customHeight="1">
      <c r="A323" s="2944" t="s">
        <v>306</v>
      </c>
      <c r="B323" s="2944" t="s">
        <v>3039</v>
      </c>
      <c r="C323" s="2944"/>
      <c r="D323" s="2944"/>
      <c r="E323" s="2944"/>
      <c r="F323" s="2944">
        <v>880</v>
      </c>
      <c r="G323" s="2957"/>
    </row>
    <row r="324" spans="1:7" s="2778" customFormat="1" ht="14.25" customHeight="1">
      <c r="A324" s="2944" t="s">
        <v>306</v>
      </c>
      <c r="B324" s="2944" t="s">
        <v>3041</v>
      </c>
      <c r="C324" s="2944"/>
      <c r="D324" s="2944"/>
      <c r="E324" s="2944"/>
      <c r="F324" s="2944">
        <v>930</v>
      </c>
      <c r="G324" s="2957"/>
    </row>
    <row r="325" spans="1:7" s="2778" customFormat="1" ht="14.25" customHeight="1">
      <c r="A325" s="2944" t="s">
        <v>306</v>
      </c>
      <c r="B325" s="2945" t="s">
        <v>3043</v>
      </c>
      <c r="C325" s="2944"/>
      <c r="D325" s="2944"/>
      <c r="E325" s="2944"/>
      <c r="F325" s="2944">
        <v>900</v>
      </c>
      <c r="G325" s="2957"/>
    </row>
    <row r="326" spans="1:7" s="2778" customFormat="1" ht="14.25" customHeight="1" thickBot="1">
      <c r="A326" s="2958" t="s">
        <v>306</v>
      </c>
      <c r="B326" s="2951" t="s">
        <v>3045</v>
      </c>
      <c r="C326" s="2951"/>
      <c r="D326" s="2951"/>
      <c r="E326" s="2951"/>
      <c r="F326" s="2951">
        <v>790</v>
      </c>
      <c r="G326" s="2959"/>
    </row>
    <row r="327" spans="1:7" s="2778" customFormat="1" ht="14.25" customHeight="1">
      <c r="A327" s="2949" t="s">
        <v>307</v>
      </c>
      <c r="B327" s="2940" t="s">
        <v>3144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3145</v>
      </c>
      <c r="C329" s="2944">
        <v>2730</v>
      </c>
      <c r="D329" s="2944">
        <v>2690</v>
      </c>
      <c r="E329" s="2944">
        <v>3100</v>
      </c>
      <c r="F329" s="2944">
        <v>660</v>
      </c>
      <c r="G329" s="2944">
        <v>1610</v>
      </c>
    </row>
    <row r="330" spans="1:7" s="2778" customFormat="1" ht="14.25" customHeight="1">
      <c r="A330" s="2944" t="s">
        <v>307</v>
      </c>
      <c r="B330" s="2944" t="s">
        <v>3146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2879</v>
      </c>
      <c r="C332" s="2944">
        <v>3520</v>
      </c>
      <c r="D332" s="2944">
        <v>3480</v>
      </c>
      <c r="E332" s="2944">
        <v>3830</v>
      </c>
      <c r="F332" s="2944">
        <v>720</v>
      </c>
      <c r="G332" s="2944">
        <v>2090</v>
      </c>
    </row>
    <row r="333" spans="1:7" s="2778" customFormat="1" ht="14.25" customHeight="1">
      <c r="A333" s="2944" t="s">
        <v>307</v>
      </c>
      <c r="B333" s="2944" t="s">
        <v>3147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2889</v>
      </c>
      <c r="C336" s="2944">
        <v>3570</v>
      </c>
      <c r="D336" s="2944">
        <v>3530</v>
      </c>
      <c r="E336" s="2944">
        <v>3880</v>
      </c>
      <c r="F336" s="2944">
        <v>770</v>
      </c>
      <c r="G336" s="2944">
        <v>2110</v>
      </c>
    </row>
    <row r="337" spans="1:10" s="2778" customFormat="1" ht="14.25" customHeight="1">
      <c r="A337" s="2944" t="s">
        <v>307</v>
      </c>
      <c r="B337" s="2944" t="s">
        <v>3148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2914</v>
      </c>
      <c r="C345" s="2944">
        <v>3190</v>
      </c>
      <c r="D345" s="2944">
        <v>3140</v>
      </c>
      <c r="E345" s="2944">
        <v>3450</v>
      </c>
      <c r="F345" s="2944">
        <v>720</v>
      </c>
      <c r="G345" s="2944">
        <v>1880</v>
      </c>
      <c r="J345" s="2778"/>
    </row>
    <row r="346" spans="1:10">
      <c r="A346" s="2944" t="s">
        <v>307</v>
      </c>
      <c r="B346" s="2944" t="s">
        <v>3151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2923</v>
      </c>
      <c r="C348" s="2944">
        <v>4000</v>
      </c>
      <c r="D348" s="2944">
        <v>3950</v>
      </c>
      <c r="E348" s="2944">
        <v>4430</v>
      </c>
      <c r="F348" s="2944">
        <v>760</v>
      </c>
      <c r="G348" s="2944">
        <v>2360</v>
      </c>
      <c r="J348" s="2778"/>
    </row>
    <row r="349" spans="1:10">
      <c r="A349" s="2944" t="s">
        <v>307</v>
      </c>
      <c r="B349" s="2944" t="s">
        <v>2928</v>
      </c>
      <c r="C349" s="2944">
        <v>3820</v>
      </c>
      <c r="D349" s="2944">
        <v>3780</v>
      </c>
      <c r="E349" s="2944">
        <v>4170</v>
      </c>
      <c r="F349" s="2944">
        <v>710</v>
      </c>
      <c r="G349" s="2944">
        <v>2260</v>
      </c>
      <c r="J349" s="2778"/>
    </row>
    <row r="350" spans="1:10">
      <c r="A350" s="2944" t="s">
        <v>307</v>
      </c>
      <c r="B350" s="2944" t="s">
        <v>3152</v>
      </c>
      <c r="C350" s="2944">
        <v>3760</v>
      </c>
      <c r="D350" s="2944">
        <v>3730</v>
      </c>
      <c r="E350" s="2944">
        <v>4100</v>
      </c>
      <c r="F350" s="2944">
        <v>800</v>
      </c>
      <c r="G350" s="2944">
        <v>2230</v>
      </c>
      <c r="J350" s="2778"/>
    </row>
    <row r="351" spans="1:10">
      <c r="A351" s="2944" t="s">
        <v>307</v>
      </c>
      <c r="B351" s="2944" t="s">
        <v>2936</v>
      </c>
      <c r="C351" s="2944">
        <v>3610</v>
      </c>
      <c r="D351" s="2944">
        <v>3580</v>
      </c>
      <c r="E351" s="2944">
        <v>3930</v>
      </c>
      <c r="F351" s="2944">
        <v>700</v>
      </c>
      <c r="G351" s="2944">
        <v>2140</v>
      </c>
      <c r="J351" s="2778"/>
    </row>
    <row r="352" spans="1:10">
      <c r="A352" s="2944" t="s">
        <v>307</v>
      </c>
      <c r="B352" s="2944" t="s">
        <v>2941</v>
      </c>
      <c r="C352" s="2944">
        <v>3670</v>
      </c>
      <c r="D352" s="2944">
        <v>3630</v>
      </c>
      <c r="E352" s="2944">
        <v>4000</v>
      </c>
      <c r="F352" s="2944">
        <v>750</v>
      </c>
      <c r="G352" s="2944">
        <v>2180</v>
      </c>
    </row>
    <row r="353" spans="1:7" s="2779" customFormat="1">
      <c r="A353" s="2944" t="s">
        <v>307</v>
      </c>
      <c r="B353" s="2944" t="s">
        <v>3153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2961</v>
      </c>
      <c r="C355" s="2944">
        <v>3650</v>
      </c>
      <c r="D355" s="2944">
        <v>3610</v>
      </c>
      <c r="E355" s="2944">
        <v>4200</v>
      </c>
      <c r="F355" s="2944">
        <v>640</v>
      </c>
      <c r="G355" s="2944">
        <v>2160</v>
      </c>
    </row>
    <row r="356" spans="1:7" s="2779" customFormat="1">
      <c r="A356" s="2944" t="s">
        <v>307</v>
      </c>
      <c r="B356" s="2944" t="s">
        <v>2968</v>
      </c>
      <c r="C356" s="2944">
        <v>3260</v>
      </c>
      <c r="D356" s="2944">
        <v>3230</v>
      </c>
      <c r="E356" s="2944">
        <v>3740</v>
      </c>
      <c r="F356" s="2944">
        <v>600</v>
      </c>
      <c r="G356" s="2944">
        <v>1930</v>
      </c>
    </row>
    <row r="357" spans="1:7" s="2779" customFormat="1" ht="12" thickBot="1">
      <c r="A357" s="2952" t="s">
        <v>307</v>
      </c>
      <c r="B357" s="2955" t="s">
        <v>3154</v>
      </c>
      <c r="C357" s="2955">
        <v>3690</v>
      </c>
      <c r="D357" s="2955">
        <v>3650</v>
      </c>
      <c r="E357" s="2955">
        <v>4020</v>
      </c>
      <c r="F357" s="2955">
        <v>700</v>
      </c>
      <c r="G357" s="2955">
        <v>2190</v>
      </c>
    </row>
    <row r="358" spans="1:7" s="2779" customFormat="1">
      <c r="A358" s="2949" t="s">
        <v>3155</v>
      </c>
      <c r="B358" s="2940" t="s">
        <v>3156</v>
      </c>
      <c r="C358" s="2940">
        <v>2080</v>
      </c>
      <c r="D358" s="2940">
        <v>2040</v>
      </c>
      <c r="E358" s="2940">
        <v>2010</v>
      </c>
      <c r="F358" s="2940">
        <v>530</v>
      </c>
      <c r="G358" s="2956">
        <v>1230</v>
      </c>
    </row>
    <row r="359" spans="1:7" s="2779" customFormat="1">
      <c r="A359" s="2944" t="s">
        <v>3155</v>
      </c>
      <c r="B359" s="2944" t="s">
        <v>3157</v>
      </c>
      <c r="C359" s="2944">
        <v>1850</v>
      </c>
      <c r="D359" s="2944">
        <v>1820</v>
      </c>
      <c r="E359" s="2944">
        <v>1780</v>
      </c>
      <c r="F359" s="2944">
        <v>520</v>
      </c>
      <c r="G359" s="2957">
        <v>1100</v>
      </c>
    </row>
    <row r="360" spans="1:7" s="2779" customFormat="1">
      <c r="A360" s="2944" t="s">
        <v>3155</v>
      </c>
      <c r="B360" s="2944" t="s">
        <v>3158</v>
      </c>
      <c r="C360" s="2944">
        <v>2020</v>
      </c>
      <c r="D360" s="2944">
        <v>1990</v>
      </c>
      <c r="E360" s="2944">
        <v>1950</v>
      </c>
      <c r="F360" s="2944">
        <v>500</v>
      </c>
      <c r="G360" s="2957">
        <v>1200</v>
      </c>
    </row>
    <row r="361" spans="1:7" s="2779" customFormat="1">
      <c r="A361" s="2944" t="s">
        <v>3155</v>
      </c>
      <c r="B361" s="2944" t="s">
        <v>153</v>
      </c>
      <c r="C361" s="2944">
        <v>2260</v>
      </c>
      <c r="D361" s="2944">
        <v>2220</v>
      </c>
      <c r="E361" s="2944">
        <v>2180</v>
      </c>
      <c r="F361" s="2944">
        <v>580</v>
      </c>
      <c r="G361" s="2957">
        <v>1340</v>
      </c>
    </row>
    <row r="362" spans="1:7" s="2779" customFormat="1">
      <c r="A362" s="2944" t="s">
        <v>3155</v>
      </c>
      <c r="B362" s="2944" t="s">
        <v>3159</v>
      </c>
      <c r="C362" s="2944">
        <v>2650</v>
      </c>
      <c r="D362" s="2944">
        <v>2610</v>
      </c>
      <c r="E362" s="2944">
        <v>2570</v>
      </c>
      <c r="F362" s="2944">
        <v>630</v>
      </c>
      <c r="G362" s="2957">
        <v>1570</v>
      </c>
    </row>
    <row r="363" spans="1:7" s="2779" customFormat="1">
      <c r="A363" s="2944" t="s">
        <v>3155</v>
      </c>
      <c r="B363" s="2944" t="s">
        <v>2880</v>
      </c>
      <c r="C363" s="2944">
        <v>2390</v>
      </c>
      <c r="D363" s="2944">
        <v>2360</v>
      </c>
      <c r="E363" s="2944">
        <v>2320</v>
      </c>
      <c r="F363" s="2944">
        <v>600</v>
      </c>
      <c r="G363" s="2957">
        <v>1420</v>
      </c>
    </row>
    <row r="364" spans="1:7" s="2779" customFormat="1">
      <c r="A364" s="2944" t="s">
        <v>3155</v>
      </c>
      <c r="B364" s="2944" t="s">
        <v>3160</v>
      </c>
      <c r="C364" s="2944">
        <v>2050</v>
      </c>
      <c r="D364" s="2944">
        <v>2030</v>
      </c>
      <c r="E364" s="2944">
        <v>1990</v>
      </c>
      <c r="F364" s="2944">
        <v>550</v>
      </c>
      <c r="G364" s="2957">
        <v>1220</v>
      </c>
    </row>
    <row r="365" spans="1:7" s="2779" customFormat="1">
      <c r="A365" s="2944" t="s">
        <v>3155</v>
      </c>
      <c r="B365" s="2944" t="s">
        <v>200</v>
      </c>
      <c r="C365" s="2944">
        <v>2140</v>
      </c>
      <c r="D365" s="2944">
        <v>2100</v>
      </c>
      <c r="E365" s="2944">
        <v>2060</v>
      </c>
      <c r="F365" s="2944">
        <v>540</v>
      </c>
      <c r="G365" s="2957">
        <v>1270</v>
      </c>
    </row>
    <row r="366" spans="1:7" s="2779" customFormat="1">
      <c r="A366" s="2944" t="s">
        <v>3155</v>
      </c>
      <c r="B366" s="2944" t="s">
        <v>2887</v>
      </c>
      <c r="C366" s="2944">
        <v>2410</v>
      </c>
      <c r="D366" s="2944">
        <v>2370</v>
      </c>
      <c r="E366" s="2944">
        <v>2330</v>
      </c>
      <c r="F366" s="2944">
        <v>570</v>
      </c>
      <c r="G366" s="2957">
        <v>1440</v>
      </c>
    </row>
    <row r="367" spans="1:7" s="2779" customFormat="1">
      <c r="A367" s="2944" t="s">
        <v>3155</v>
      </c>
      <c r="B367" s="2944" t="s">
        <v>3161</v>
      </c>
      <c r="C367" s="2944">
        <v>2300</v>
      </c>
      <c r="D367" s="2944">
        <v>2260</v>
      </c>
      <c r="E367" s="2944">
        <v>2220</v>
      </c>
      <c r="F367" s="2944">
        <v>560</v>
      </c>
      <c r="G367" s="2957">
        <v>1370</v>
      </c>
    </row>
    <row r="368" spans="1:7" s="2779" customFormat="1">
      <c r="A368" s="2944" t="s">
        <v>3155</v>
      </c>
      <c r="B368" s="2944" t="s">
        <v>3162</v>
      </c>
      <c r="C368" s="2944">
        <v>2430</v>
      </c>
      <c r="D368" s="2944">
        <v>2390</v>
      </c>
      <c r="E368" s="2944">
        <v>2350</v>
      </c>
      <c r="F368" s="2944">
        <v>570</v>
      </c>
      <c r="G368" s="2957">
        <v>1450</v>
      </c>
    </row>
    <row r="369" spans="1:7" s="2779" customFormat="1">
      <c r="A369" s="2944" t="s">
        <v>3155</v>
      </c>
      <c r="B369" s="2944" t="s">
        <v>214</v>
      </c>
      <c r="C369" s="2944">
        <v>2320</v>
      </c>
      <c r="D369" s="2944">
        <v>2290</v>
      </c>
      <c r="E369" s="2944">
        <v>2250</v>
      </c>
      <c r="F369" s="2944">
        <v>550</v>
      </c>
      <c r="G369" s="2957">
        <v>1380</v>
      </c>
    </row>
    <row r="370" spans="1:7" s="2779" customFormat="1">
      <c r="A370" s="2944" t="s">
        <v>3155</v>
      </c>
      <c r="B370" s="2944" t="s">
        <v>221</v>
      </c>
      <c r="C370" s="2944">
        <v>2190</v>
      </c>
      <c r="D370" s="2944">
        <v>2170</v>
      </c>
      <c r="E370" s="2944">
        <v>2130</v>
      </c>
      <c r="F370" s="2944">
        <v>530</v>
      </c>
      <c r="G370" s="2957">
        <v>1310</v>
      </c>
    </row>
    <row r="371" spans="1:7" s="2779" customFormat="1">
      <c r="A371" s="2944" t="s">
        <v>3155</v>
      </c>
      <c r="B371" s="2944" t="s">
        <v>229</v>
      </c>
      <c r="C371" s="2944">
        <v>2460</v>
      </c>
      <c r="D371" s="2944">
        <v>2420</v>
      </c>
      <c r="E371" s="2944">
        <v>2370</v>
      </c>
      <c r="F371" s="2944">
        <v>560</v>
      </c>
      <c r="G371" s="2957">
        <v>1470</v>
      </c>
    </row>
    <row r="372" spans="1:7" s="2779" customFormat="1">
      <c r="A372" s="2944" t="s">
        <v>3155</v>
      </c>
      <c r="B372" s="2944" t="s">
        <v>3163</v>
      </c>
      <c r="C372" s="2944">
        <v>2250</v>
      </c>
      <c r="D372" s="2944">
        <v>2210</v>
      </c>
      <c r="E372" s="2944">
        <v>2180</v>
      </c>
      <c r="F372" s="2944">
        <v>550</v>
      </c>
      <c r="G372" s="2957">
        <v>1340</v>
      </c>
    </row>
    <row r="373" spans="1:7" s="2779" customFormat="1">
      <c r="A373" s="2944" t="s">
        <v>3155</v>
      </c>
      <c r="B373" s="2944" t="s">
        <v>258</v>
      </c>
      <c r="C373" s="2944">
        <v>2210</v>
      </c>
      <c r="D373" s="2944">
        <v>2190</v>
      </c>
      <c r="E373" s="2944">
        <v>2150</v>
      </c>
      <c r="F373" s="2944">
        <v>530</v>
      </c>
      <c r="G373" s="2957">
        <v>1320</v>
      </c>
    </row>
    <row r="374" spans="1:7" s="2779" customFormat="1">
      <c r="A374" s="2944" t="s">
        <v>3155</v>
      </c>
      <c r="B374" s="2944" t="s">
        <v>266</v>
      </c>
      <c r="C374" s="2944">
        <v>2320</v>
      </c>
      <c r="D374" s="2944">
        <v>2280</v>
      </c>
      <c r="E374" s="2944">
        <v>2230</v>
      </c>
      <c r="F374" s="2944">
        <v>580</v>
      </c>
      <c r="G374" s="2957">
        <v>1380</v>
      </c>
    </row>
    <row r="375" spans="1:7" s="2779" customFormat="1">
      <c r="A375" s="2944" t="s">
        <v>3155</v>
      </c>
      <c r="B375" s="2944" t="s">
        <v>3164</v>
      </c>
      <c r="C375" s="2944">
        <v>2090</v>
      </c>
      <c r="D375" s="2944">
        <v>2050</v>
      </c>
      <c r="E375" s="2944">
        <v>2020</v>
      </c>
      <c r="F375" s="2944">
        <v>520</v>
      </c>
      <c r="G375" s="2957">
        <v>1240</v>
      </c>
    </row>
    <row r="376" spans="1:7" s="2779" customFormat="1">
      <c r="A376" s="2944" t="s">
        <v>3155</v>
      </c>
      <c r="B376" s="2944" t="s">
        <v>277</v>
      </c>
      <c r="C376" s="2944">
        <v>2010</v>
      </c>
      <c r="D376" s="2944">
        <v>1980</v>
      </c>
      <c r="E376" s="2944">
        <v>1940</v>
      </c>
      <c r="F376" s="2944">
        <v>540</v>
      </c>
      <c r="G376" s="2957">
        <v>1190</v>
      </c>
    </row>
    <row r="377" spans="1:7" s="2779" customFormat="1" ht="12" thickBot="1">
      <c r="A377" s="2952" t="s">
        <v>3155</v>
      </c>
      <c r="B377" s="2955" t="s">
        <v>2917</v>
      </c>
      <c r="C377" s="2955">
        <v>1930</v>
      </c>
      <c r="D377" s="2955">
        <v>1890</v>
      </c>
      <c r="E377" s="2955">
        <v>1860</v>
      </c>
      <c r="F377" s="2955">
        <v>530</v>
      </c>
      <c r="G377" s="2960">
        <v>1150</v>
      </c>
    </row>
    <row r="378" spans="1:7" s="2779" customFormat="1">
      <c r="A378" s="2961" t="s">
        <v>3165</v>
      </c>
      <c r="B378" s="2940" t="s">
        <v>3166</v>
      </c>
      <c r="C378" s="2940">
        <v>1520</v>
      </c>
      <c r="D378" s="2940">
        <v>1490</v>
      </c>
      <c r="E378" s="2940">
        <v>1460</v>
      </c>
      <c r="F378" s="2940">
        <v>460</v>
      </c>
      <c r="G378" s="2956">
        <v>940</v>
      </c>
    </row>
    <row r="379" spans="1:7" s="2779" customFormat="1">
      <c r="A379" s="2962" t="s">
        <v>3165</v>
      </c>
      <c r="B379" s="2944" t="s">
        <v>3167</v>
      </c>
      <c r="C379" s="2944">
        <v>1500</v>
      </c>
      <c r="D379" s="2944">
        <v>1470</v>
      </c>
      <c r="E379" s="2944">
        <v>1430</v>
      </c>
      <c r="F379" s="2944">
        <v>460</v>
      </c>
      <c r="G379" s="2957">
        <v>920</v>
      </c>
    </row>
    <row r="380" spans="1:7" s="2779" customFormat="1">
      <c r="A380" s="2962" t="s">
        <v>3165</v>
      </c>
      <c r="B380" s="2944" t="s">
        <v>3168</v>
      </c>
      <c r="C380" s="2944">
        <v>1620</v>
      </c>
      <c r="D380" s="2944">
        <v>1590</v>
      </c>
      <c r="E380" s="2944">
        <v>1560</v>
      </c>
      <c r="F380" s="2944">
        <v>480</v>
      </c>
      <c r="G380" s="2957">
        <v>1000</v>
      </c>
    </row>
    <row r="381" spans="1:7" s="2779" customFormat="1">
      <c r="A381" s="2962" t="s">
        <v>3165</v>
      </c>
      <c r="B381" s="2944" t="s">
        <v>3169</v>
      </c>
      <c r="C381" s="2944">
        <v>1460</v>
      </c>
      <c r="D381" s="2944">
        <v>1430</v>
      </c>
      <c r="E381" s="2944">
        <v>1390</v>
      </c>
      <c r="F381" s="2944">
        <v>450</v>
      </c>
      <c r="G381" s="2957">
        <v>900</v>
      </c>
    </row>
    <row r="382" spans="1:7" s="2779" customFormat="1">
      <c r="A382" s="2962" t="s">
        <v>3165</v>
      </c>
      <c r="B382" s="2944" t="s">
        <v>3170</v>
      </c>
      <c r="C382" s="2944">
        <v>1310</v>
      </c>
      <c r="D382" s="2944">
        <v>1280</v>
      </c>
      <c r="E382" s="2944">
        <v>1250</v>
      </c>
      <c r="F382" s="2944">
        <v>440</v>
      </c>
      <c r="G382" s="2957">
        <v>800</v>
      </c>
    </row>
    <row r="383" spans="1:7" s="2779" customFormat="1">
      <c r="A383" s="2962" t="s">
        <v>3165</v>
      </c>
      <c r="B383" s="2944" t="s">
        <v>3171</v>
      </c>
      <c r="C383" s="2944">
        <v>1260</v>
      </c>
      <c r="D383" s="2944">
        <v>1230</v>
      </c>
      <c r="E383" s="2944">
        <v>1200</v>
      </c>
      <c r="F383" s="2944">
        <v>420</v>
      </c>
      <c r="G383" s="2957">
        <v>770</v>
      </c>
    </row>
    <row r="384" spans="1:7" s="2779" customFormat="1" ht="12" thickBot="1">
      <c r="A384" s="2963" t="s">
        <v>3165</v>
      </c>
      <c r="B384" s="2951" t="s">
        <v>3172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47" t="s">
        <v>3173</v>
      </c>
      <c r="B1" s="3547"/>
    </row>
    <row r="2" spans="1:7" ht="14.25" thickBot="1">
      <c r="A2" s="2965"/>
      <c r="B2" s="2965"/>
    </row>
    <row r="3" spans="1:7" ht="14.25" thickBot="1">
      <c r="A3" s="2965"/>
      <c r="B3" s="2965"/>
      <c r="C3" s="2966" t="s">
        <v>2803</v>
      </c>
      <c r="D3" s="2966" t="s">
        <v>2859</v>
      </c>
      <c r="E3" s="2966" t="s">
        <v>2805</v>
      </c>
      <c r="F3" s="2966" t="s">
        <v>2860</v>
      </c>
      <c r="G3" s="2966" t="s">
        <v>2623</v>
      </c>
    </row>
    <row r="4" spans="1:7" ht="14.25" thickBot="1">
      <c r="A4" s="2967" t="s">
        <v>2858</v>
      </c>
      <c r="B4" s="2968" t="s">
        <v>2864</v>
      </c>
      <c r="C4" s="2966"/>
      <c r="D4" s="2966"/>
      <c r="E4" s="2966"/>
      <c r="F4" s="2966"/>
      <c r="G4" s="2966"/>
    </row>
    <row r="5" spans="1:7">
      <c r="A5" s="2969" t="s">
        <v>2832</v>
      </c>
      <c r="B5" s="2970" t="s">
        <v>2846</v>
      </c>
      <c r="C5" s="2971">
        <v>9.8000000000000004E-2</v>
      </c>
      <c r="D5" s="2971">
        <v>8.6999999999999994E-2</v>
      </c>
      <c r="E5" s="2971">
        <v>8.6999999999999994E-2</v>
      </c>
      <c r="F5" s="2971">
        <v>9.8000000000000004E-2</v>
      </c>
      <c r="G5" s="2972">
        <v>9.5000000000000001E-2</v>
      </c>
    </row>
    <row r="6" spans="1:7">
      <c r="A6" s="2973" t="s">
        <v>144</v>
      </c>
      <c r="B6" s="2974" t="s">
        <v>2861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2915</v>
      </c>
      <c r="C29" s="2983"/>
      <c r="D29" s="2979">
        <v>5.1999999999999998E-2</v>
      </c>
      <c r="E29" s="2979">
        <v>7.0000000000000007E-2</v>
      </c>
      <c r="F29" s="2983"/>
      <c r="G29" s="2981">
        <v>7.0999999999999994E-2</v>
      </c>
    </row>
    <row r="30" spans="1:7">
      <c r="A30" s="2984" t="s">
        <v>296</v>
      </c>
      <c r="B30" s="2970" t="s">
        <v>2848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2918</v>
      </c>
      <c r="C50" s="2975">
        <v>9.8000000000000004E-2</v>
      </c>
      <c r="D50" s="2975">
        <v>7.2999999999999995E-2</v>
      </c>
      <c r="E50" s="2975">
        <v>7.0999999999999994E-2</v>
      </c>
      <c r="F50" s="2986"/>
      <c r="G50" s="2976">
        <v>7.2999999999999995E-2</v>
      </c>
    </row>
    <row r="51" spans="1:7">
      <c r="A51" s="2985" t="s">
        <v>296</v>
      </c>
      <c r="B51" s="2974" t="s">
        <v>2920</v>
      </c>
      <c r="C51" s="2975">
        <v>9.9000000000000005E-2</v>
      </c>
      <c r="D51" s="2975">
        <v>8.5000000000000006E-2</v>
      </c>
      <c r="E51" s="2975">
        <v>6.3E-2</v>
      </c>
      <c r="F51" s="2986"/>
      <c r="G51" s="2976">
        <v>9.6000000000000002E-2</v>
      </c>
    </row>
    <row r="52" spans="1:7">
      <c r="A52" s="2985" t="s">
        <v>296</v>
      </c>
      <c r="B52" s="2974" t="s">
        <v>2924</v>
      </c>
      <c r="C52" s="2975">
        <v>7.3999999999999996E-2</v>
      </c>
      <c r="D52" s="2975">
        <v>9.6000000000000002E-2</v>
      </c>
      <c r="E52" s="2975">
        <v>0.05</v>
      </c>
      <c r="F52" s="2986"/>
      <c r="G52" s="2976">
        <v>9.8000000000000004E-2</v>
      </c>
    </row>
    <row r="53" spans="1:7">
      <c r="A53" s="2985" t="s">
        <v>296</v>
      </c>
      <c r="B53" s="2974" t="s">
        <v>2929</v>
      </c>
      <c r="C53" s="2975">
        <v>8.5999999999999993E-2</v>
      </c>
      <c r="D53" s="2986"/>
      <c r="E53" s="2975">
        <v>9.1999999999999998E-2</v>
      </c>
      <c r="F53" s="2986"/>
      <c r="G53" s="2987"/>
    </row>
    <row r="54" spans="1:7" ht="14.25" thickBot="1">
      <c r="A54" s="2988" t="s">
        <v>296</v>
      </c>
      <c r="B54" s="2978" t="s">
        <v>2932</v>
      </c>
      <c r="C54" s="2979">
        <v>9.6000000000000002E-2</v>
      </c>
      <c r="D54" s="2980"/>
      <c r="E54" s="2989"/>
      <c r="F54" s="2980"/>
      <c r="G54" s="2990"/>
    </row>
    <row r="55" spans="1:7">
      <c r="A55" s="2984" t="s">
        <v>110</v>
      </c>
      <c r="B55" s="2970" t="s">
        <v>2849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2930</v>
      </c>
      <c r="C78" s="2975">
        <v>0.1</v>
      </c>
      <c r="D78" s="2975">
        <v>8.5000000000000006E-2</v>
      </c>
      <c r="E78" s="2975">
        <v>9.6000000000000002E-2</v>
      </c>
      <c r="F78" s="2986"/>
      <c r="G78" s="2976">
        <v>9.6000000000000002E-2</v>
      </c>
    </row>
    <row r="79" spans="1:7">
      <c r="A79" s="2985" t="s">
        <v>110</v>
      </c>
      <c r="B79" s="2974" t="s">
        <v>2933</v>
      </c>
      <c r="C79" s="2975">
        <v>0.05</v>
      </c>
      <c r="D79" s="2975">
        <v>9.6000000000000002E-2</v>
      </c>
      <c r="E79" s="2975">
        <v>9.5000000000000001E-2</v>
      </c>
      <c r="F79" s="2986"/>
      <c r="G79" s="2976">
        <v>9.8000000000000004E-2</v>
      </c>
    </row>
    <row r="80" spans="1:7">
      <c r="A80" s="2985" t="s">
        <v>110</v>
      </c>
      <c r="B80" s="2974" t="s">
        <v>2937</v>
      </c>
      <c r="C80" s="2975">
        <v>8.5999999999999993E-2</v>
      </c>
      <c r="D80" s="2991"/>
      <c r="E80" s="2975">
        <v>0.1</v>
      </c>
      <c r="F80" s="2986"/>
      <c r="G80" s="2987"/>
    </row>
    <row r="81" spans="1:7">
      <c r="A81" s="2985" t="s">
        <v>110</v>
      </c>
      <c r="B81" s="2974" t="s">
        <v>2942</v>
      </c>
      <c r="C81" s="2975">
        <v>9.6000000000000002E-2</v>
      </c>
      <c r="D81" s="2986"/>
      <c r="E81" s="2975">
        <v>9.8000000000000004E-2</v>
      </c>
      <c r="F81" s="2986"/>
      <c r="G81" s="2987"/>
    </row>
    <row r="82" spans="1:7">
      <c r="A82" s="2985" t="s">
        <v>110</v>
      </c>
      <c r="B82" s="2974" t="s">
        <v>2949</v>
      </c>
      <c r="C82" s="2991"/>
      <c r="D82" s="2986"/>
      <c r="E82" s="2975">
        <v>7.6999999999999999E-2</v>
      </c>
      <c r="F82" s="2986"/>
      <c r="G82" s="2987"/>
    </row>
    <row r="83" spans="1:7">
      <c r="A83" s="2985" t="s">
        <v>110</v>
      </c>
      <c r="B83" s="2974" t="s">
        <v>2955</v>
      </c>
      <c r="C83" s="2986"/>
      <c r="D83" s="2986"/>
      <c r="E83" s="2986"/>
      <c r="F83" s="2975">
        <v>0.1</v>
      </c>
      <c r="G83" s="2992"/>
    </row>
    <row r="84" spans="1:7">
      <c r="A84" s="2985" t="s">
        <v>110</v>
      </c>
      <c r="B84" s="2974" t="s">
        <v>2962</v>
      </c>
      <c r="C84" s="2986"/>
      <c r="D84" s="2986"/>
      <c r="E84" s="2986"/>
      <c r="F84" s="2975">
        <v>0.1</v>
      </c>
      <c r="G84" s="2992"/>
    </row>
    <row r="85" spans="1:7">
      <c r="A85" s="2985" t="s">
        <v>110</v>
      </c>
      <c r="B85" s="2974" t="s">
        <v>2969</v>
      </c>
      <c r="C85" s="2986"/>
      <c r="D85" s="2986"/>
      <c r="E85" s="2986"/>
      <c r="F85" s="2975">
        <v>0.1</v>
      </c>
      <c r="G85" s="2992"/>
    </row>
    <row r="86" spans="1:7" ht="14.25" thickBot="1">
      <c r="A86" s="2988" t="s">
        <v>110</v>
      </c>
      <c r="B86" s="2978" t="s">
        <v>2974</v>
      </c>
      <c r="C86" s="2979">
        <v>9.8000000000000004E-2</v>
      </c>
      <c r="D86" s="2979">
        <v>9.8000000000000004E-2</v>
      </c>
      <c r="E86" s="2979">
        <v>9.6000000000000002E-2</v>
      </c>
      <c r="F86" s="2989"/>
      <c r="G86" s="2981">
        <v>0.1</v>
      </c>
    </row>
    <row r="87" spans="1:7">
      <c r="A87" s="2984" t="s">
        <v>303</v>
      </c>
      <c r="B87" s="2970" t="s">
        <v>2850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2943</v>
      </c>
      <c r="C113" s="2975">
        <v>0.1</v>
      </c>
      <c r="D113" s="2975">
        <v>0.1</v>
      </c>
      <c r="E113" s="2986"/>
      <c r="F113" s="2986"/>
      <c r="G113" s="2976">
        <v>0.1</v>
      </c>
    </row>
    <row r="114" spans="1:7">
      <c r="A114" s="2985" t="s">
        <v>303</v>
      </c>
      <c r="B114" s="2974" t="s">
        <v>2950</v>
      </c>
      <c r="C114" s="2975">
        <v>9.7000000000000003E-2</v>
      </c>
      <c r="D114" s="2975">
        <v>9.7000000000000003E-2</v>
      </c>
      <c r="E114" s="2986"/>
      <c r="F114" s="2986"/>
      <c r="G114" s="2976">
        <v>9.9000000000000005E-2</v>
      </c>
    </row>
    <row r="115" spans="1:7">
      <c r="A115" s="2985" t="s">
        <v>303</v>
      </c>
      <c r="B115" s="2974" t="s">
        <v>2956</v>
      </c>
      <c r="C115" s="2975">
        <v>0.1</v>
      </c>
      <c r="D115" s="2975">
        <v>0.1</v>
      </c>
      <c r="E115" s="2986"/>
      <c r="F115" s="2986"/>
      <c r="G115" s="2976">
        <v>0.1</v>
      </c>
    </row>
    <row r="116" spans="1:7">
      <c r="A116" s="2985" t="s">
        <v>303</v>
      </c>
      <c r="B116" s="2974" t="s">
        <v>2963</v>
      </c>
      <c r="C116" s="2975">
        <v>0.1</v>
      </c>
      <c r="D116" s="2975">
        <v>0.1</v>
      </c>
      <c r="E116" s="2986"/>
      <c r="F116" s="2986"/>
      <c r="G116" s="2976">
        <v>0.1</v>
      </c>
    </row>
    <row r="117" spans="1:7">
      <c r="A117" s="2985" t="s">
        <v>303</v>
      </c>
      <c r="B117" s="2974" t="s">
        <v>2970</v>
      </c>
      <c r="C117" s="2975">
        <v>9.7000000000000003E-2</v>
      </c>
      <c r="D117" s="2975">
        <v>9.7000000000000003E-2</v>
      </c>
      <c r="E117" s="2986"/>
      <c r="F117" s="2986"/>
      <c r="G117" s="2976">
        <v>9.7000000000000003E-2</v>
      </c>
    </row>
    <row r="118" spans="1:7">
      <c r="A118" s="2985" t="s">
        <v>303</v>
      </c>
      <c r="B118" s="2974" t="s">
        <v>2975</v>
      </c>
      <c r="C118" s="2975">
        <v>0.1</v>
      </c>
      <c r="D118" s="2975">
        <v>0.1</v>
      </c>
      <c r="E118" s="2986"/>
      <c r="F118" s="2986"/>
      <c r="G118" s="2976">
        <v>0.1</v>
      </c>
    </row>
    <row r="119" spans="1:7">
      <c r="A119" s="2985" t="s">
        <v>303</v>
      </c>
      <c r="B119" s="2974" t="s">
        <v>2979</v>
      </c>
      <c r="C119" s="2975">
        <v>5.0999999999999997E-2</v>
      </c>
      <c r="D119" s="2975">
        <v>5.1999999999999998E-2</v>
      </c>
      <c r="E119" s="2986"/>
      <c r="F119" s="2991"/>
      <c r="G119" s="2976">
        <v>0.06</v>
      </c>
    </row>
    <row r="120" spans="1:7">
      <c r="A120" s="2985" t="s">
        <v>303</v>
      </c>
      <c r="B120" s="2974" t="s">
        <v>2983</v>
      </c>
      <c r="C120" s="2986"/>
      <c r="D120" s="2986"/>
      <c r="E120" s="2986"/>
      <c r="F120" s="2975">
        <v>0.1</v>
      </c>
      <c r="G120" s="2992"/>
    </row>
    <row r="121" spans="1:7">
      <c r="A121" s="2985" t="s">
        <v>303</v>
      </c>
      <c r="B121" s="2974" t="s">
        <v>2988</v>
      </c>
      <c r="C121" s="2986"/>
      <c r="D121" s="2986"/>
      <c r="E121" s="2986"/>
      <c r="F121" s="2975">
        <v>0.1</v>
      </c>
      <c r="G121" s="2992"/>
    </row>
    <row r="122" spans="1:7">
      <c r="A122" s="2985" t="s">
        <v>303</v>
      </c>
      <c r="B122" s="2974" t="s">
        <v>2993</v>
      </c>
      <c r="C122" s="2975">
        <v>0.1</v>
      </c>
      <c r="D122" s="2975">
        <v>0.1</v>
      </c>
      <c r="E122" s="2975">
        <v>9.8000000000000004E-2</v>
      </c>
      <c r="F122" s="2975">
        <v>0.1</v>
      </c>
      <c r="G122" s="2976">
        <v>0.1</v>
      </c>
    </row>
    <row r="123" spans="1:7">
      <c r="A123" s="2985" t="s">
        <v>303</v>
      </c>
      <c r="B123" s="2974" t="s">
        <v>2998</v>
      </c>
      <c r="C123" s="2975">
        <v>0.1</v>
      </c>
      <c r="D123" s="2975">
        <v>0.1</v>
      </c>
      <c r="E123" s="2975">
        <v>9.8000000000000004E-2</v>
      </c>
      <c r="F123" s="2975">
        <v>0.1</v>
      </c>
      <c r="G123" s="2976">
        <v>0.1</v>
      </c>
    </row>
    <row r="124" spans="1:7">
      <c r="A124" s="2985" t="s">
        <v>303</v>
      </c>
      <c r="B124" s="2974" t="s">
        <v>3003</v>
      </c>
      <c r="C124" s="2975">
        <v>0.1</v>
      </c>
      <c r="D124" s="2975">
        <v>0.1</v>
      </c>
      <c r="E124" s="2975">
        <v>9.8000000000000004E-2</v>
      </c>
      <c r="F124" s="2991"/>
      <c r="G124" s="2976">
        <v>0.1</v>
      </c>
    </row>
    <row r="125" spans="1:7">
      <c r="A125" s="2985" t="s">
        <v>303</v>
      </c>
      <c r="B125" s="2974" t="s">
        <v>3008</v>
      </c>
      <c r="C125" s="2975">
        <v>9.8000000000000004E-2</v>
      </c>
      <c r="D125" s="2975">
        <v>9.8000000000000004E-2</v>
      </c>
      <c r="E125" s="2975">
        <v>9.6000000000000002E-2</v>
      </c>
      <c r="F125" s="2991"/>
      <c r="G125" s="2976">
        <v>0.1</v>
      </c>
    </row>
    <row r="126" spans="1:7" ht="14.25" thickBot="1">
      <c r="A126" s="2988" t="s">
        <v>303</v>
      </c>
      <c r="B126" s="2978" t="s">
        <v>3174</v>
      </c>
      <c r="C126" s="2979">
        <v>0.1</v>
      </c>
      <c r="D126" s="2979">
        <v>0.1</v>
      </c>
      <c r="E126" s="2979">
        <v>9.8000000000000004E-2</v>
      </c>
      <c r="F126" s="2979">
        <v>0.1</v>
      </c>
      <c r="G126" s="2981">
        <v>0.1</v>
      </c>
    </row>
    <row r="127" spans="1:7">
      <c r="A127" s="2984" t="s">
        <v>29</v>
      </c>
      <c r="B127" s="2970" t="s">
        <v>2851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2921</v>
      </c>
      <c r="C148" s="2975">
        <v>0.13</v>
      </c>
      <c r="D148" s="2975">
        <v>0.13</v>
      </c>
      <c r="E148" s="2975">
        <v>0.13</v>
      </c>
      <c r="F148" s="2986"/>
      <c r="G148" s="2976">
        <v>0.13</v>
      </c>
    </row>
    <row r="149" spans="1:7">
      <c r="A149" s="2985" t="s">
        <v>29</v>
      </c>
      <c r="B149" s="2974" t="s">
        <v>2925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2944</v>
      </c>
      <c r="C153" s="2975">
        <v>0.13</v>
      </c>
      <c r="D153" s="2975">
        <v>0.13</v>
      </c>
      <c r="E153" s="2975">
        <v>0.13</v>
      </c>
      <c r="F153" s="2975">
        <v>0.13</v>
      </c>
      <c r="G153" s="2976">
        <v>0.13</v>
      </c>
    </row>
    <row r="154" spans="1:7">
      <c r="A154" s="2985" t="s">
        <v>29</v>
      </c>
      <c r="B154" s="2974" t="s">
        <v>2951</v>
      </c>
      <c r="C154" s="2975">
        <v>0.121</v>
      </c>
      <c r="D154" s="2975">
        <v>0.121</v>
      </c>
      <c r="E154" s="2975">
        <v>0.105</v>
      </c>
      <c r="F154" s="2975">
        <v>0.121</v>
      </c>
      <c r="G154" s="2976">
        <v>0.123</v>
      </c>
    </row>
    <row r="155" spans="1:7">
      <c r="A155" s="2985" t="s">
        <v>29</v>
      </c>
      <c r="B155" s="2974" t="s">
        <v>2957</v>
      </c>
      <c r="C155" s="2975">
        <v>0.1</v>
      </c>
      <c r="D155" s="2975">
        <v>0.1</v>
      </c>
      <c r="E155" s="2975">
        <v>0.1</v>
      </c>
      <c r="F155" s="2975">
        <v>0.1</v>
      </c>
      <c r="G155" s="2976">
        <v>0.1</v>
      </c>
    </row>
    <row r="156" spans="1:7">
      <c r="A156" s="2985" t="s">
        <v>29</v>
      </c>
      <c r="B156" s="2974" t="s">
        <v>2964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2984</v>
      </c>
      <c r="C160" s="2975">
        <v>0.13</v>
      </c>
      <c r="D160" s="2975">
        <v>0.13</v>
      </c>
      <c r="E160" s="2975">
        <v>0.124</v>
      </c>
      <c r="F160" s="2975">
        <v>0.126</v>
      </c>
      <c r="G160" s="2976">
        <v>0.13</v>
      </c>
    </row>
    <row r="161" spans="1:7">
      <c r="A161" s="2985" t="s">
        <v>29</v>
      </c>
      <c r="B161" s="2974" t="s">
        <v>2989</v>
      </c>
      <c r="C161" s="2975">
        <v>0.13</v>
      </c>
      <c r="D161" s="2975">
        <v>0.13</v>
      </c>
      <c r="E161" s="2975">
        <v>0.124</v>
      </c>
      <c r="F161" s="2975">
        <v>0.127</v>
      </c>
      <c r="G161" s="2976">
        <v>0.13</v>
      </c>
    </row>
    <row r="162" spans="1:7">
      <c r="A162" s="2985" t="s">
        <v>29</v>
      </c>
      <c r="B162" s="2974" t="s">
        <v>2994</v>
      </c>
      <c r="C162" s="2975">
        <v>0.1</v>
      </c>
      <c r="D162" s="2975">
        <v>0.1</v>
      </c>
      <c r="E162" s="2975">
        <v>0.1</v>
      </c>
      <c r="F162" s="2975">
        <v>0.121</v>
      </c>
      <c r="G162" s="2976">
        <v>0.105</v>
      </c>
    </row>
    <row r="163" spans="1:7">
      <c r="A163" s="2985" t="s">
        <v>29</v>
      </c>
      <c r="B163" s="2974" t="s">
        <v>2999</v>
      </c>
      <c r="C163" s="2975">
        <v>0.1</v>
      </c>
      <c r="D163" s="2975">
        <v>0.1</v>
      </c>
      <c r="E163" s="2975">
        <v>0.1</v>
      </c>
      <c r="F163" s="2975">
        <v>0.1</v>
      </c>
      <c r="G163" s="2976">
        <v>0.1</v>
      </c>
    </row>
    <row r="164" spans="1:7">
      <c r="A164" s="2985" t="s">
        <v>29</v>
      </c>
      <c r="B164" s="2974" t="s">
        <v>3004</v>
      </c>
      <c r="C164" s="2991"/>
      <c r="D164" s="2991"/>
      <c r="E164" s="2991"/>
      <c r="F164" s="2975">
        <v>0.1</v>
      </c>
      <c r="G164" s="2987"/>
    </row>
    <row r="165" spans="1:7">
      <c r="A165" s="2985" t="s">
        <v>29</v>
      </c>
      <c r="B165" s="2974" t="s">
        <v>3175</v>
      </c>
      <c r="C165" s="2975">
        <v>0.126</v>
      </c>
      <c r="D165" s="2975">
        <v>0.126</v>
      </c>
      <c r="E165" s="2975">
        <v>0.11899999999999999</v>
      </c>
      <c r="F165" s="2975">
        <v>0.13</v>
      </c>
      <c r="G165" s="2976">
        <v>0.128</v>
      </c>
    </row>
    <row r="166" spans="1:7">
      <c r="A166" s="2985" t="s">
        <v>29</v>
      </c>
      <c r="B166" s="2974" t="s">
        <v>3014</v>
      </c>
      <c r="C166" s="2975">
        <v>0.129</v>
      </c>
      <c r="D166" s="2975">
        <v>0.129</v>
      </c>
      <c r="E166" s="2975">
        <v>0.123</v>
      </c>
      <c r="F166" s="2975">
        <v>0.128</v>
      </c>
      <c r="G166" s="2976">
        <v>0.13</v>
      </c>
    </row>
    <row r="167" spans="1:7">
      <c r="A167" s="2985" t="s">
        <v>29</v>
      </c>
      <c r="B167" s="2974" t="s">
        <v>3018</v>
      </c>
      <c r="C167" s="2975">
        <v>0.125</v>
      </c>
      <c r="D167" s="2975">
        <v>0.125</v>
      </c>
      <c r="E167" s="2975">
        <v>0.11700000000000001</v>
      </c>
      <c r="F167" s="2975">
        <v>0.13</v>
      </c>
      <c r="G167" s="2976">
        <v>0.126</v>
      </c>
    </row>
    <row r="168" spans="1:7">
      <c r="A168" s="2985" t="s">
        <v>29</v>
      </c>
      <c r="B168" s="2974" t="s">
        <v>3023</v>
      </c>
      <c r="C168" s="2975">
        <v>0.128</v>
      </c>
      <c r="D168" s="2975">
        <v>0.128</v>
      </c>
      <c r="E168" s="2975">
        <v>0.123</v>
      </c>
      <c r="F168" s="2986"/>
      <c r="G168" s="2976">
        <v>0.13</v>
      </c>
    </row>
    <row r="169" spans="1:7">
      <c r="A169" s="2985" t="s">
        <v>29</v>
      </c>
      <c r="B169" s="2974" t="s">
        <v>3176</v>
      </c>
      <c r="C169" s="2991"/>
      <c r="D169" s="2991"/>
      <c r="E169" s="2991"/>
      <c r="F169" s="2975">
        <v>0.05</v>
      </c>
      <c r="G169" s="2987"/>
    </row>
    <row r="170" spans="1:7">
      <c r="A170" s="2985" t="s">
        <v>29</v>
      </c>
      <c r="B170" s="2974" t="s">
        <v>3177</v>
      </c>
      <c r="C170" s="2991"/>
      <c r="D170" s="2991"/>
      <c r="E170" s="2991"/>
      <c r="F170" s="2975">
        <v>0.05</v>
      </c>
      <c r="G170" s="2987"/>
    </row>
    <row r="171" spans="1:7">
      <c r="A171" s="2985" t="s">
        <v>29</v>
      </c>
      <c r="B171" s="2974" t="s">
        <v>3178</v>
      </c>
      <c r="C171" s="2991"/>
      <c r="D171" s="2991"/>
      <c r="E171" s="2991"/>
      <c r="F171" s="2975">
        <v>0.05</v>
      </c>
      <c r="G171" s="2992"/>
    </row>
    <row r="172" spans="1:7">
      <c r="A172" s="2985" t="s">
        <v>29</v>
      </c>
      <c r="B172" s="2974" t="s">
        <v>3179</v>
      </c>
      <c r="C172" s="2991"/>
      <c r="D172" s="2991"/>
      <c r="E172" s="2991"/>
      <c r="F172" s="2975">
        <v>0.05</v>
      </c>
      <c r="G172" s="2992"/>
    </row>
    <row r="173" spans="1:7">
      <c r="A173" s="2985" t="s">
        <v>29</v>
      </c>
      <c r="B173" s="2974" t="s">
        <v>3180</v>
      </c>
      <c r="C173" s="2991"/>
      <c r="D173" s="2991"/>
      <c r="E173" s="2991"/>
      <c r="F173" s="2975">
        <v>0.05</v>
      </c>
      <c r="G173" s="2987"/>
    </row>
    <row r="174" spans="1:7">
      <c r="A174" s="2985" t="s">
        <v>29</v>
      </c>
      <c r="B174" s="2974" t="s">
        <v>3181</v>
      </c>
      <c r="C174" s="2991"/>
      <c r="D174" s="2991"/>
      <c r="E174" s="2991"/>
      <c r="F174" s="2975">
        <v>0.05</v>
      </c>
      <c r="G174" s="2987"/>
    </row>
    <row r="175" spans="1:7">
      <c r="A175" s="2985" t="s">
        <v>29</v>
      </c>
      <c r="B175" s="2974" t="s">
        <v>3182</v>
      </c>
      <c r="C175" s="2991"/>
      <c r="D175" s="2991"/>
      <c r="E175" s="2991"/>
      <c r="F175" s="2975">
        <v>0.05</v>
      </c>
      <c r="G175" s="2987"/>
    </row>
    <row r="176" spans="1:7">
      <c r="A176" s="2985" t="s">
        <v>29</v>
      </c>
      <c r="B176" s="2974" t="s">
        <v>3183</v>
      </c>
      <c r="C176" s="2991"/>
      <c r="D176" s="2991"/>
      <c r="E176" s="2991"/>
      <c r="F176" s="2975">
        <v>0.05</v>
      </c>
      <c r="G176" s="2987"/>
    </row>
    <row r="177" spans="1:7">
      <c r="A177" s="2985" t="s">
        <v>29</v>
      </c>
      <c r="B177" s="2974" t="s">
        <v>3184</v>
      </c>
      <c r="C177" s="2986"/>
      <c r="D177" s="2986"/>
      <c r="E177" s="2986"/>
      <c r="F177" s="2975">
        <v>0.05</v>
      </c>
      <c r="G177" s="2992"/>
    </row>
    <row r="178" spans="1:7">
      <c r="A178" s="2985" t="s">
        <v>29</v>
      </c>
      <c r="B178" s="2974" t="s">
        <v>3185</v>
      </c>
      <c r="C178" s="2986"/>
      <c r="D178" s="2986"/>
      <c r="E178" s="2986"/>
      <c r="F178" s="2975">
        <v>0.05</v>
      </c>
      <c r="G178" s="2992"/>
    </row>
    <row r="179" spans="1:7">
      <c r="A179" s="2985" t="s">
        <v>29</v>
      </c>
      <c r="B179" s="2974" t="s">
        <v>3186</v>
      </c>
      <c r="C179" s="2986"/>
      <c r="D179" s="2986"/>
      <c r="E179" s="2986"/>
      <c r="F179" s="2975">
        <v>0.05</v>
      </c>
      <c r="G179" s="2992"/>
    </row>
    <row r="180" spans="1:7">
      <c r="A180" s="2985" t="s">
        <v>29</v>
      </c>
      <c r="B180" s="2974" t="s">
        <v>3187</v>
      </c>
      <c r="C180" s="2986"/>
      <c r="D180" s="2986"/>
      <c r="E180" s="2986"/>
      <c r="F180" s="2975">
        <v>0.05</v>
      </c>
      <c r="G180" s="2992"/>
    </row>
    <row r="181" spans="1:7">
      <c r="A181" s="2985" t="s">
        <v>29</v>
      </c>
      <c r="B181" s="2974" t="s">
        <v>3188</v>
      </c>
      <c r="C181" s="2986"/>
      <c r="D181" s="2986"/>
      <c r="E181" s="2986"/>
      <c r="F181" s="2975">
        <v>0.05</v>
      </c>
      <c r="G181" s="2992"/>
    </row>
    <row r="182" spans="1:7">
      <c r="A182" s="2985" t="s">
        <v>29</v>
      </c>
      <c r="B182" s="2974" t="s">
        <v>3189</v>
      </c>
      <c r="C182" s="2986"/>
      <c r="D182" s="2986"/>
      <c r="E182" s="2986"/>
      <c r="F182" s="2975">
        <v>0.05</v>
      </c>
      <c r="G182" s="2992"/>
    </row>
    <row r="183" spans="1:7">
      <c r="A183" s="2985" t="s">
        <v>29</v>
      </c>
      <c r="B183" s="2974" t="s">
        <v>3190</v>
      </c>
      <c r="C183" s="2986"/>
      <c r="D183" s="2986"/>
      <c r="E183" s="2986"/>
      <c r="F183" s="2975">
        <v>0.05</v>
      </c>
      <c r="G183" s="2992"/>
    </row>
    <row r="184" spans="1:7">
      <c r="A184" s="2985" t="s">
        <v>29</v>
      </c>
      <c r="B184" s="2974" t="s">
        <v>3191</v>
      </c>
      <c r="C184" s="2986"/>
      <c r="D184" s="2986"/>
      <c r="E184" s="2986"/>
      <c r="F184" s="2975">
        <v>0.05</v>
      </c>
      <c r="G184" s="2992"/>
    </row>
    <row r="185" spans="1:7">
      <c r="A185" s="2985" t="s">
        <v>29</v>
      </c>
      <c r="B185" s="2974" t="s">
        <v>3192</v>
      </c>
      <c r="C185" s="2986"/>
      <c r="D185" s="2986"/>
      <c r="E185" s="2986"/>
      <c r="F185" s="2975">
        <v>0.05</v>
      </c>
      <c r="G185" s="2992"/>
    </row>
    <row r="186" spans="1:7">
      <c r="A186" s="2985" t="s">
        <v>29</v>
      </c>
      <c r="B186" s="2974" t="s">
        <v>3193</v>
      </c>
      <c r="C186" s="2986"/>
      <c r="D186" s="2986"/>
      <c r="E186" s="2986"/>
      <c r="F186" s="2975">
        <v>0.05</v>
      </c>
      <c r="G186" s="2992"/>
    </row>
    <row r="187" spans="1:7">
      <c r="A187" s="2985" t="s">
        <v>29</v>
      </c>
      <c r="B187" s="2974" t="s">
        <v>3194</v>
      </c>
      <c r="C187" s="2986"/>
      <c r="D187" s="2986"/>
      <c r="E187" s="2986"/>
      <c r="F187" s="2975">
        <v>0.05</v>
      </c>
      <c r="G187" s="2992"/>
    </row>
    <row r="188" spans="1:7">
      <c r="A188" s="2985" t="s">
        <v>29</v>
      </c>
      <c r="B188" s="2974" t="s">
        <v>3195</v>
      </c>
      <c r="C188" s="2986"/>
      <c r="D188" s="2986"/>
      <c r="E188" s="2986"/>
      <c r="F188" s="2975">
        <v>0.05</v>
      </c>
      <c r="G188" s="2992"/>
    </row>
    <row r="189" spans="1:7" ht="14.25" thickBot="1">
      <c r="A189" s="2988" t="s">
        <v>29</v>
      </c>
      <c r="B189" s="2978" t="s">
        <v>3196</v>
      </c>
      <c r="C189" s="2980"/>
      <c r="D189" s="2980"/>
      <c r="E189" s="2980"/>
      <c r="F189" s="2979">
        <v>0.05</v>
      </c>
      <c r="G189" s="2993"/>
    </row>
    <row r="190" spans="1:7">
      <c r="A190" s="2984" t="s">
        <v>304</v>
      </c>
      <c r="B190" s="2970" t="s">
        <v>2852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2888</v>
      </c>
      <c r="C199" s="2975">
        <v>0.13</v>
      </c>
      <c r="D199" s="2975">
        <v>0.13</v>
      </c>
      <c r="E199" s="2975">
        <v>0.13</v>
      </c>
      <c r="F199" s="2975">
        <v>0.13</v>
      </c>
      <c r="G199" s="2976">
        <v>0.13</v>
      </c>
    </row>
    <row r="200" spans="1:7">
      <c r="A200" s="2985" t="s">
        <v>304</v>
      </c>
      <c r="B200" s="2974" t="s">
        <v>2891</v>
      </c>
      <c r="C200" s="2991"/>
      <c r="D200" s="2991"/>
      <c r="E200" s="2991"/>
      <c r="F200" s="2975">
        <v>0.13</v>
      </c>
      <c r="G200" s="2987"/>
    </row>
    <row r="201" spans="1:7">
      <c r="A201" s="2985" t="s">
        <v>304</v>
      </c>
      <c r="B201" s="2974" t="s">
        <v>2896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2899</v>
      </c>
      <c r="C203" s="2975">
        <v>0.129</v>
      </c>
      <c r="D203" s="2975">
        <v>0.129</v>
      </c>
      <c r="E203" s="2975">
        <v>0.13</v>
      </c>
      <c r="F203" s="2975">
        <v>0.13</v>
      </c>
      <c r="G203" s="2976">
        <v>0.13</v>
      </c>
    </row>
    <row r="204" spans="1:7">
      <c r="A204" s="2985" t="s">
        <v>304</v>
      </c>
      <c r="B204" s="2974" t="s">
        <v>2902</v>
      </c>
      <c r="C204" s="2975">
        <v>0.129</v>
      </c>
      <c r="D204" s="2975">
        <v>0.129</v>
      </c>
      <c r="E204" s="2975">
        <v>0.123</v>
      </c>
      <c r="F204" s="2975">
        <v>0.13</v>
      </c>
      <c r="G204" s="2976">
        <v>0.13</v>
      </c>
    </row>
    <row r="205" spans="1:7">
      <c r="A205" s="2985" t="s">
        <v>304</v>
      </c>
      <c r="B205" s="2974" t="s">
        <v>2904</v>
      </c>
      <c r="C205" s="2975">
        <v>0.13</v>
      </c>
      <c r="D205" s="2975">
        <v>0.13</v>
      </c>
      <c r="E205" s="2975">
        <v>0.13</v>
      </c>
      <c r="F205" s="2975">
        <v>0.13</v>
      </c>
      <c r="G205" s="2976">
        <v>0.13</v>
      </c>
    </row>
    <row r="206" spans="1:7">
      <c r="A206" s="2985" t="s">
        <v>304</v>
      </c>
      <c r="B206" s="2974" t="s">
        <v>2907</v>
      </c>
      <c r="C206" s="2975">
        <v>0.13</v>
      </c>
      <c r="D206" s="2975">
        <v>0.13</v>
      </c>
      <c r="E206" s="2975">
        <v>0.13</v>
      </c>
      <c r="F206" s="2975">
        <v>0.128</v>
      </c>
      <c r="G206" s="2976">
        <v>0.13</v>
      </c>
    </row>
    <row r="207" spans="1:7">
      <c r="A207" s="2985" t="s">
        <v>304</v>
      </c>
      <c r="B207" s="2974" t="s">
        <v>2909</v>
      </c>
      <c r="C207" s="2975">
        <v>0.13</v>
      </c>
      <c r="D207" s="2975">
        <v>0.13</v>
      </c>
      <c r="E207" s="2975">
        <v>0.13</v>
      </c>
      <c r="F207" s="2975">
        <v>0.13</v>
      </c>
      <c r="G207" s="2976">
        <v>0.13</v>
      </c>
    </row>
    <row r="208" spans="1:7">
      <c r="A208" s="2985" t="s">
        <v>304</v>
      </c>
      <c r="B208" s="2974" t="s">
        <v>2912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2919</v>
      </c>
      <c r="C210" s="2975">
        <v>0.121</v>
      </c>
      <c r="D210" s="2975">
        <v>0.121</v>
      </c>
      <c r="E210" s="2975">
        <v>0.125</v>
      </c>
      <c r="F210" s="2975">
        <v>0.13</v>
      </c>
      <c r="G210" s="2976">
        <v>0.123</v>
      </c>
    </row>
    <row r="211" spans="1:7">
      <c r="A211" s="2985" t="s">
        <v>304</v>
      </c>
      <c r="B211" s="2974" t="s">
        <v>2922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2934</v>
      </c>
      <c r="C214" s="2975">
        <v>0.128</v>
      </c>
      <c r="D214" s="2975">
        <v>0.128</v>
      </c>
      <c r="E214" s="2975">
        <v>0.13</v>
      </c>
      <c r="F214" s="2975">
        <v>0.13</v>
      </c>
      <c r="G214" s="2976">
        <v>0.13</v>
      </c>
    </row>
    <row r="215" spans="1:7">
      <c r="A215" s="2985" t="s">
        <v>304</v>
      </c>
      <c r="B215" s="2974" t="s">
        <v>2938</v>
      </c>
      <c r="C215" s="2975">
        <v>0.13</v>
      </c>
      <c r="D215" s="2975">
        <v>0.13</v>
      </c>
      <c r="E215" s="2975">
        <v>0.13</v>
      </c>
      <c r="F215" s="2975">
        <v>0.129</v>
      </c>
      <c r="G215" s="2976">
        <v>0.13</v>
      </c>
    </row>
    <row r="216" spans="1:7">
      <c r="A216" s="2985" t="s">
        <v>304</v>
      </c>
      <c r="B216" s="2974" t="s">
        <v>2945</v>
      </c>
      <c r="C216" s="2975">
        <v>0.13</v>
      </c>
      <c r="D216" s="2975">
        <v>0.13</v>
      </c>
      <c r="E216" s="2975">
        <v>0.13</v>
      </c>
      <c r="F216" s="2975">
        <v>0.13</v>
      </c>
      <c r="G216" s="2976">
        <v>0.13</v>
      </c>
    </row>
    <row r="217" spans="1:7">
      <c r="A217" s="2985" t="s">
        <v>304</v>
      </c>
      <c r="B217" s="2974" t="s">
        <v>2952</v>
      </c>
      <c r="C217" s="2975">
        <v>0.129</v>
      </c>
      <c r="D217" s="2975">
        <v>0.129</v>
      </c>
      <c r="E217" s="2975">
        <v>0.13</v>
      </c>
      <c r="F217" s="2975">
        <v>0.13</v>
      </c>
      <c r="G217" s="2976">
        <v>0.13</v>
      </c>
    </row>
    <row r="218" spans="1:7">
      <c r="A218" s="2985" t="s">
        <v>304</v>
      </c>
      <c r="B218" s="2974" t="s">
        <v>2958</v>
      </c>
      <c r="C218" s="2986"/>
      <c r="D218" s="2986"/>
      <c r="E218" s="2986"/>
      <c r="F218" s="2975">
        <v>0.05</v>
      </c>
      <c r="G218" s="2992"/>
    </row>
    <row r="219" spans="1:7">
      <c r="A219" s="2985" t="s">
        <v>304</v>
      </c>
      <c r="B219" s="2974" t="s">
        <v>2965</v>
      </c>
      <c r="C219" s="2986"/>
      <c r="D219" s="2986"/>
      <c r="E219" s="2986"/>
      <c r="F219" s="2975">
        <v>0.05</v>
      </c>
      <c r="G219" s="2992"/>
    </row>
    <row r="220" spans="1:7">
      <c r="A220" s="2985" t="s">
        <v>304</v>
      </c>
      <c r="B220" s="2974" t="s">
        <v>2971</v>
      </c>
      <c r="C220" s="2986"/>
      <c r="D220" s="2986"/>
      <c r="E220" s="2986"/>
      <c r="F220" s="2975">
        <v>0.05</v>
      </c>
      <c r="G220" s="2992"/>
    </row>
    <row r="221" spans="1:7">
      <c r="A221" s="2985" t="s">
        <v>304</v>
      </c>
      <c r="B221" s="2974" t="s">
        <v>2976</v>
      </c>
      <c r="C221" s="2986"/>
      <c r="D221" s="2986"/>
      <c r="E221" s="2986"/>
      <c r="F221" s="2975">
        <v>0.05</v>
      </c>
      <c r="G221" s="2992"/>
    </row>
    <row r="222" spans="1:7">
      <c r="A222" s="2985" t="s">
        <v>304</v>
      </c>
      <c r="B222" s="2974" t="s">
        <v>2980</v>
      </c>
      <c r="C222" s="2986"/>
      <c r="D222" s="2986"/>
      <c r="E222" s="2986"/>
      <c r="F222" s="2975">
        <v>0.05</v>
      </c>
      <c r="G222" s="2992"/>
    </row>
    <row r="223" spans="1:7">
      <c r="A223" s="2985" t="s">
        <v>304</v>
      </c>
      <c r="B223" s="2974" t="s">
        <v>2985</v>
      </c>
      <c r="C223" s="2986"/>
      <c r="D223" s="2986"/>
      <c r="E223" s="2986"/>
      <c r="F223" s="2975">
        <v>0.05</v>
      </c>
      <c r="G223" s="2992"/>
    </row>
    <row r="224" spans="1:7">
      <c r="A224" s="2985" t="s">
        <v>304</v>
      </c>
      <c r="B224" s="2974" t="s">
        <v>2990</v>
      </c>
      <c r="C224" s="2986"/>
      <c r="D224" s="2986"/>
      <c r="E224" s="2986"/>
      <c r="F224" s="2975">
        <v>0.05</v>
      </c>
      <c r="G224" s="2992"/>
    </row>
    <row r="225" spans="1:7">
      <c r="A225" s="2985" t="s">
        <v>304</v>
      </c>
      <c r="B225" s="2974" t="s">
        <v>2995</v>
      </c>
      <c r="C225" s="2986"/>
      <c r="D225" s="2986"/>
      <c r="E225" s="2986"/>
      <c r="F225" s="2975">
        <v>0.05</v>
      </c>
      <c r="G225" s="2992"/>
    </row>
    <row r="226" spans="1:7">
      <c r="A226" s="2985" t="s">
        <v>304</v>
      </c>
      <c r="B226" s="2974" t="s">
        <v>3197</v>
      </c>
      <c r="C226" s="2986"/>
      <c r="D226" s="2986"/>
      <c r="E226" s="2986"/>
      <c r="F226" s="2975">
        <v>0.05</v>
      </c>
      <c r="G226" s="2992"/>
    </row>
    <row r="227" spans="1:7">
      <c r="A227" s="2985" t="s">
        <v>304</v>
      </c>
      <c r="B227" s="2974" t="s">
        <v>3198</v>
      </c>
      <c r="C227" s="2986"/>
      <c r="D227" s="2986"/>
      <c r="E227" s="2986"/>
      <c r="F227" s="2975">
        <v>0.05</v>
      </c>
      <c r="G227" s="2992"/>
    </row>
    <row r="228" spans="1:7">
      <c r="A228" s="2985" t="s">
        <v>304</v>
      </c>
      <c r="B228" s="2974" t="s">
        <v>3199</v>
      </c>
      <c r="C228" s="2986"/>
      <c r="D228" s="2986"/>
      <c r="E228" s="2986"/>
      <c r="F228" s="2975">
        <v>0.05</v>
      </c>
      <c r="G228" s="2992"/>
    </row>
    <row r="229" spans="1:7">
      <c r="A229" s="2985" t="s">
        <v>304</v>
      </c>
      <c r="B229" s="2974" t="s">
        <v>3200</v>
      </c>
      <c r="C229" s="2986"/>
      <c r="D229" s="2986"/>
      <c r="E229" s="2986"/>
      <c r="F229" s="2975">
        <v>0.05</v>
      </c>
      <c r="G229" s="2992"/>
    </row>
    <row r="230" spans="1:7">
      <c r="A230" s="2985" t="s">
        <v>304</v>
      </c>
      <c r="B230" s="2974" t="s">
        <v>3201</v>
      </c>
      <c r="C230" s="2986"/>
      <c r="D230" s="2986"/>
      <c r="E230" s="2986"/>
      <c r="F230" s="2975">
        <v>0.05</v>
      </c>
      <c r="G230" s="2992"/>
    </row>
    <row r="231" spans="1:7">
      <c r="A231" s="2985" t="s">
        <v>304</v>
      </c>
      <c r="B231" s="2974" t="s">
        <v>3202</v>
      </c>
      <c r="C231" s="2986"/>
      <c r="D231" s="2986"/>
      <c r="E231" s="2986"/>
      <c r="F231" s="2975">
        <v>0.05</v>
      </c>
      <c r="G231" s="2992"/>
    </row>
    <row r="232" spans="1:7">
      <c r="A232" s="2985" t="s">
        <v>304</v>
      </c>
      <c r="B232" s="2974" t="s">
        <v>3203</v>
      </c>
      <c r="C232" s="2986"/>
      <c r="D232" s="2986"/>
      <c r="E232" s="2986"/>
      <c r="F232" s="2975">
        <v>0.05</v>
      </c>
      <c r="G232" s="2992"/>
    </row>
    <row r="233" spans="1:7" ht="14.25" thickBot="1">
      <c r="A233" s="2988" t="s">
        <v>304</v>
      </c>
      <c r="B233" s="2978" t="s">
        <v>3204</v>
      </c>
      <c r="C233" s="2980"/>
      <c r="D233" s="2980"/>
      <c r="E233" s="2980"/>
      <c r="F233" s="2979">
        <v>0.05</v>
      </c>
      <c r="G233" s="2993"/>
    </row>
    <row r="234" spans="1:7">
      <c r="A234" s="2984" t="s">
        <v>305</v>
      </c>
      <c r="B234" s="2970" t="s">
        <v>2853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2873</v>
      </c>
      <c r="C238" s="2975">
        <v>0.14899999999999999</v>
      </c>
      <c r="D238" s="2975">
        <v>0.14899999999999999</v>
      </c>
      <c r="E238" s="2975">
        <v>0.15</v>
      </c>
      <c r="F238" s="2975">
        <v>0.15</v>
      </c>
      <c r="G238" s="2976">
        <v>0.15</v>
      </c>
    </row>
    <row r="239" spans="1:7">
      <c r="A239" s="2985" t="s">
        <v>305</v>
      </c>
      <c r="B239" s="2974" t="s">
        <v>2877</v>
      </c>
      <c r="C239" s="2975">
        <v>0.15</v>
      </c>
      <c r="D239" s="2975">
        <v>0.15</v>
      </c>
      <c r="E239" s="2975">
        <v>0.15</v>
      </c>
      <c r="F239" s="2975">
        <v>0.15</v>
      </c>
      <c r="G239" s="2976">
        <v>0.15</v>
      </c>
    </row>
    <row r="240" spans="1:7">
      <c r="A240" s="2985" t="s">
        <v>305</v>
      </c>
      <c r="B240" s="2974" t="s">
        <v>2882</v>
      </c>
      <c r="C240" s="2975">
        <v>0.15</v>
      </c>
      <c r="D240" s="2975">
        <v>0.15</v>
      </c>
      <c r="E240" s="2975">
        <v>0.15</v>
      </c>
      <c r="F240" s="2975">
        <v>0.15</v>
      </c>
      <c r="G240" s="2976">
        <v>0.15</v>
      </c>
    </row>
    <row r="241" spans="1:7">
      <c r="A241" s="2985" t="s">
        <v>305</v>
      </c>
      <c r="B241" s="2974" t="s">
        <v>2886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2935</v>
      </c>
      <c r="C258" s="2975">
        <v>0.14299999999999999</v>
      </c>
      <c r="D258" s="2975">
        <v>0.14299999999999999</v>
      </c>
      <c r="E258" s="2975">
        <v>0.15</v>
      </c>
      <c r="F258" s="2975">
        <v>0.14799999999999999</v>
      </c>
      <c r="G258" s="2976">
        <v>0.14599999999999999</v>
      </c>
    </row>
    <row r="259" spans="1:7">
      <c r="A259" s="2985" t="s">
        <v>305</v>
      </c>
      <c r="B259" s="2974" t="s">
        <v>2939</v>
      </c>
      <c r="C259" s="2975">
        <v>0.14399999999999999</v>
      </c>
      <c r="D259" s="2975">
        <v>0.14399999999999999</v>
      </c>
      <c r="E259" s="2975">
        <v>0.14899999999999999</v>
      </c>
      <c r="F259" s="2975">
        <v>0.14699999999999999</v>
      </c>
      <c r="G259" s="2976">
        <v>0.14599999999999999</v>
      </c>
    </row>
    <row r="260" spans="1:7">
      <c r="A260" s="2985" t="s">
        <v>305</v>
      </c>
      <c r="B260" s="2974" t="s">
        <v>2946</v>
      </c>
      <c r="C260" s="2975">
        <v>0.109</v>
      </c>
      <c r="D260" s="2975">
        <v>0.111</v>
      </c>
      <c r="E260" s="2975">
        <v>0.13100000000000001</v>
      </c>
      <c r="F260" s="2975">
        <v>0.126</v>
      </c>
      <c r="G260" s="2976">
        <v>0.11899999999999999</v>
      </c>
    </row>
    <row r="261" spans="1:7">
      <c r="A261" s="2985" t="s">
        <v>305</v>
      </c>
      <c r="B261" s="2974" t="s">
        <v>2953</v>
      </c>
      <c r="C261" s="2975">
        <v>0.1</v>
      </c>
      <c r="D261" s="2975">
        <v>0.1</v>
      </c>
      <c r="E261" s="2975">
        <v>0.11799999999999999</v>
      </c>
      <c r="F261" s="2975">
        <v>0.108</v>
      </c>
      <c r="G261" s="2976">
        <v>0.107</v>
      </c>
    </row>
    <row r="262" spans="1:7">
      <c r="A262" s="2985" t="s">
        <v>305</v>
      </c>
      <c r="B262" s="2974" t="s">
        <v>2959</v>
      </c>
      <c r="C262" s="2975">
        <v>0.1</v>
      </c>
      <c r="D262" s="2975">
        <v>0.1</v>
      </c>
      <c r="E262" s="2975">
        <v>0.1</v>
      </c>
      <c r="F262" s="2975">
        <v>0.14099999999999999</v>
      </c>
      <c r="G262" s="2976">
        <v>0.1</v>
      </c>
    </row>
    <row r="263" spans="1:7">
      <c r="A263" s="2985" t="s">
        <v>305</v>
      </c>
      <c r="B263" s="2974" t="s">
        <v>2966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2977</v>
      </c>
      <c r="C265" s="2986"/>
      <c r="D265" s="2986"/>
      <c r="E265" s="2986"/>
      <c r="F265" s="2975">
        <v>0.05</v>
      </c>
      <c r="G265" s="2992"/>
    </row>
    <row r="266" spans="1:7">
      <c r="A266" s="2985" t="s">
        <v>305</v>
      </c>
      <c r="B266" s="2974" t="s">
        <v>2981</v>
      </c>
      <c r="C266" s="2986"/>
      <c r="D266" s="2986"/>
      <c r="E266" s="2986"/>
      <c r="F266" s="2975">
        <v>0.05</v>
      </c>
      <c r="G266" s="2992"/>
    </row>
    <row r="267" spans="1:7">
      <c r="A267" s="2985" t="s">
        <v>305</v>
      </c>
      <c r="B267" s="2974" t="s">
        <v>2986</v>
      </c>
      <c r="C267" s="2986"/>
      <c r="D267" s="2986"/>
      <c r="E267" s="2986"/>
      <c r="F267" s="2975">
        <v>0.05</v>
      </c>
      <c r="G267" s="2992"/>
    </row>
    <row r="268" spans="1:7">
      <c r="A268" s="2985" t="s">
        <v>305</v>
      </c>
      <c r="B268" s="2974" t="s">
        <v>2991</v>
      </c>
      <c r="C268" s="2986"/>
      <c r="D268" s="2986"/>
      <c r="E268" s="2986"/>
      <c r="F268" s="2975">
        <v>0.05</v>
      </c>
      <c r="G268" s="2992"/>
    </row>
    <row r="269" spans="1:7">
      <c r="A269" s="2985" t="s">
        <v>305</v>
      </c>
      <c r="B269" s="2974" t="s">
        <v>2996</v>
      </c>
      <c r="C269" s="2986"/>
      <c r="D269" s="2986"/>
      <c r="E269" s="2986"/>
      <c r="F269" s="2975">
        <v>0.05</v>
      </c>
      <c r="G269" s="2992"/>
    </row>
    <row r="270" spans="1:7">
      <c r="A270" s="2985" t="s">
        <v>305</v>
      </c>
      <c r="B270" s="2974" t="s">
        <v>3001</v>
      </c>
      <c r="C270" s="2986"/>
      <c r="D270" s="2986"/>
      <c r="E270" s="2986"/>
      <c r="F270" s="2975">
        <v>0.05</v>
      </c>
      <c r="G270" s="2992"/>
    </row>
    <row r="271" spans="1:7">
      <c r="A271" s="2985" t="s">
        <v>305</v>
      </c>
      <c r="B271" s="2974" t="s">
        <v>3205</v>
      </c>
      <c r="C271" s="2986"/>
      <c r="D271" s="2986"/>
      <c r="E271" s="2986"/>
      <c r="F271" s="2975">
        <v>0.05</v>
      </c>
      <c r="G271" s="2992"/>
    </row>
    <row r="272" spans="1:7">
      <c r="A272" s="2985" t="s">
        <v>305</v>
      </c>
      <c r="B272" s="2974" t="s">
        <v>3206</v>
      </c>
      <c r="C272" s="2986"/>
      <c r="D272" s="2986"/>
      <c r="E272" s="2986"/>
      <c r="F272" s="2975">
        <v>0.05</v>
      </c>
      <c r="G272" s="2992"/>
    </row>
    <row r="273" spans="1:7">
      <c r="A273" s="2985" t="s">
        <v>305</v>
      </c>
      <c r="B273" s="2974" t="s">
        <v>3207</v>
      </c>
      <c r="C273" s="2986"/>
      <c r="D273" s="2986"/>
      <c r="E273" s="2986"/>
      <c r="F273" s="2975">
        <v>0.05</v>
      </c>
      <c r="G273" s="2992"/>
    </row>
    <row r="274" spans="1:7">
      <c r="A274" s="2985" t="s">
        <v>305</v>
      </c>
      <c r="B274" s="2974" t="s">
        <v>3208</v>
      </c>
      <c r="C274" s="2986"/>
      <c r="D274" s="2986"/>
      <c r="E274" s="2986"/>
      <c r="F274" s="2975">
        <v>0.05</v>
      </c>
      <c r="G274" s="2992"/>
    </row>
    <row r="275" spans="1:7">
      <c r="A275" s="2985" t="s">
        <v>305</v>
      </c>
      <c r="B275" s="2974" t="s">
        <v>3209</v>
      </c>
      <c r="C275" s="2986"/>
      <c r="D275" s="2986"/>
      <c r="E275" s="2986"/>
      <c r="F275" s="2975">
        <v>0.05</v>
      </c>
      <c r="G275" s="2992"/>
    </row>
    <row r="276" spans="1:7" ht="14.25" thickBot="1">
      <c r="A276" s="2988" t="s">
        <v>305</v>
      </c>
      <c r="B276" s="2978" t="s">
        <v>3210</v>
      </c>
      <c r="C276" s="2980"/>
      <c r="D276" s="2980"/>
      <c r="E276" s="2980"/>
      <c r="F276" s="2979">
        <v>0.05</v>
      </c>
      <c r="G276" s="2993"/>
    </row>
    <row r="277" spans="1:7">
      <c r="A277" s="2984" t="s">
        <v>306</v>
      </c>
      <c r="B277" s="2970" t="s">
        <v>2854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2866</v>
      </c>
      <c r="C279" s="2975">
        <v>0.15</v>
      </c>
      <c r="D279" s="2975">
        <v>0.15</v>
      </c>
      <c r="E279" s="2975">
        <v>0.15</v>
      </c>
      <c r="F279" s="2975">
        <v>0.15</v>
      </c>
      <c r="G279" s="2976">
        <v>0.15</v>
      </c>
    </row>
    <row r="280" spans="1:7">
      <c r="A280" s="2985" t="s">
        <v>306</v>
      </c>
      <c r="B280" s="2974" t="s">
        <v>2870</v>
      </c>
      <c r="C280" s="2975">
        <v>0.15</v>
      </c>
      <c r="D280" s="2975">
        <v>0.15</v>
      </c>
      <c r="E280" s="2975">
        <v>0.15</v>
      </c>
      <c r="F280" s="2975">
        <v>0.15</v>
      </c>
      <c r="G280" s="2976">
        <v>0.15</v>
      </c>
    </row>
    <row r="281" spans="1:7">
      <c r="A281" s="2985" t="s">
        <v>306</v>
      </c>
      <c r="B281" s="2974" t="s">
        <v>2874</v>
      </c>
      <c r="C281" s="2975">
        <v>0.15</v>
      </c>
      <c r="D281" s="2975">
        <v>0.15</v>
      </c>
      <c r="E281" s="2975">
        <v>0.15</v>
      </c>
      <c r="F281" s="2975">
        <v>0.15</v>
      </c>
      <c r="G281" s="2976">
        <v>0.15</v>
      </c>
    </row>
    <row r="282" spans="1:7">
      <c r="A282" s="2985" t="s">
        <v>306</v>
      </c>
      <c r="B282" s="2974" t="s">
        <v>2878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2908</v>
      </c>
      <c r="C293" s="2975">
        <v>0.15</v>
      </c>
      <c r="D293" s="2975">
        <v>0.15</v>
      </c>
      <c r="E293" s="2975">
        <v>0.15</v>
      </c>
      <c r="F293" s="2975">
        <v>0.14499999999999999</v>
      </c>
      <c r="G293" s="2976">
        <v>0.15</v>
      </c>
    </row>
    <row r="294" spans="1:7">
      <c r="A294" s="2985" t="s">
        <v>306</v>
      </c>
      <c r="B294" s="2974" t="s">
        <v>2910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2940</v>
      </c>
      <c r="C302" s="2975">
        <v>0.15</v>
      </c>
      <c r="D302" s="2975">
        <v>0.15</v>
      </c>
      <c r="E302" s="2975">
        <v>0.15</v>
      </c>
      <c r="F302" s="2975">
        <v>0.14699999999999999</v>
      </c>
      <c r="G302" s="2976">
        <v>0.15</v>
      </c>
    </row>
    <row r="303" spans="1:7">
      <c r="A303" s="2985" t="s">
        <v>306</v>
      </c>
      <c r="B303" s="2974" t="s">
        <v>2947</v>
      </c>
      <c r="C303" s="2975">
        <v>0.15</v>
      </c>
      <c r="D303" s="2975">
        <v>0.15</v>
      </c>
      <c r="E303" s="2975">
        <v>0.15</v>
      </c>
      <c r="F303" s="2975">
        <v>0.14199999999999999</v>
      </c>
      <c r="G303" s="2976">
        <v>0.15</v>
      </c>
    </row>
    <row r="304" spans="1:7">
      <c r="A304" s="2985" t="s">
        <v>306</v>
      </c>
      <c r="B304" s="2974" t="s">
        <v>2954</v>
      </c>
      <c r="C304" s="2975">
        <v>0.15</v>
      </c>
      <c r="D304" s="2975">
        <v>0.15</v>
      </c>
      <c r="E304" s="2975">
        <v>0.15</v>
      </c>
      <c r="F304" s="2975">
        <v>0.14499999999999999</v>
      </c>
      <c r="G304" s="2976">
        <v>0.15</v>
      </c>
    </row>
    <row r="305" spans="1:7">
      <c r="A305" s="2985" t="s">
        <v>306</v>
      </c>
      <c r="B305" s="2974" t="s">
        <v>2960</v>
      </c>
      <c r="C305" s="2975">
        <v>0.15</v>
      </c>
      <c r="D305" s="2975">
        <v>0.15</v>
      </c>
      <c r="E305" s="2975">
        <v>0.15</v>
      </c>
      <c r="F305" s="2975">
        <v>0.111</v>
      </c>
      <c r="G305" s="2976">
        <v>0.15</v>
      </c>
    </row>
    <row r="306" spans="1:7">
      <c r="A306" s="2985" t="s">
        <v>306</v>
      </c>
      <c r="B306" s="2974" t="s">
        <v>2967</v>
      </c>
      <c r="C306" s="2975">
        <v>0.15</v>
      </c>
      <c r="D306" s="2975">
        <v>0.15</v>
      </c>
      <c r="E306" s="2975">
        <v>0.15</v>
      </c>
      <c r="F306" s="2975">
        <v>0.126</v>
      </c>
      <c r="G306" s="2976">
        <v>0.15</v>
      </c>
    </row>
    <row r="307" spans="1:7">
      <c r="A307" s="2985" t="s">
        <v>306</v>
      </c>
      <c r="B307" s="2974" t="s">
        <v>2972</v>
      </c>
      <c r="C307" s="2975">
        <v>0.15</v>
      </c>
      <c r="D307" s="2975">
        <v>0.15</v>
      </c>
      <c r="E307" s="2975">
        <v>0.15</v>
      </c>
      <c r="F307" s="2975">
        <v>0.12</v>
      </c>
      <c r="G307" s="2976">
        <v>0.15</v>
      </c>
    </row>
    <row r="308" spans="1:7">
      <c r="A308" s="2985" t="s">
        <v>306</v>
      </c>
      <c r="B308" s="2974" t="s">
        <v>2978</v>
      </c>
      <c r="C308" s="2975">
        <v>0.15</v>
      </c>
      <c r="D308" s="2975">
        <v>0.15</v>
      </c>
      <c r="E308" s="2975">
        <v>0.15</v>
      </c>
      <c r="F308" s="2975">
        <v>0.13</v>
      </c>
      <c r="G308" s="2976">
        <v>0.15</v>
      </c>
    </row>
    <row r="309" spans="1:7">
      <c r="A309" s="2985" t="s">
        <v>306</v>
      </c>
      <c r="B309" s="2974" t="s">
        <v>2982</v>
      </c>
      <c r="C309" s="2975">
        <v>0.15</v>
      </c>
      <c r="D309" s="2975">
        <v>0.15</v>
      </c>
      <c r="E309" s="2975">
        <v>0.15</v>
      </c>
      <c r="F309" s="2975">
        <v>0.14099999999999999</v>
      </c>
      <c r="G309" s="2976">
        <v>0.15</v>
      </c>
    </row>
    <row r="310" spans="1:7">
      <c r="A310" s="2985" t="s">
        <v>306</v>
      </c>
      <c r="B310" s="2974" t="s">
        <v>2987</v>
      </c>
      <c r="C310" s="2975">
        <v>0.15</v>
      </c>
      <c r="D310" s="2975">
        <v>0.15</v>
      </c>
      <c r="E310" s="2975">
        <v>0.15</v>
      </c>
      <c r="F310" s="2975">
        <v>0.15</v>
      </c>
      <c r="G310" s="2976">
        <v>0.15</v>
      </c>
    </row>
    <row r="311" spans="1:7">
      <c r="A311" s="2985" t="s">
        <v>306</v>
      </c>
      <c r="B311" s="2974" t="s">
        <v>2992</v>
      </c>
      <c r="C311" s="2975">
        <v>0.13200000000000001</v>
      </c>
      <c r="D311" s="2975">
        <v>0.13300000000000001</v>
      </c>
      <c r="E311" s="2975">
        <v>0.14499999999999999</v>
      </c>
      <c r="F311" s="2975">
        <v>0.14199999999999999</v>
      </c>
      <c r="G311" s="2976">
        <v>0.14000000000000001</v>
      </c>
    </row>
    <row r="312" spans="1:7">
      <c r="A312" s="2985" t="s">
        <v>306</v>
      </c>
      <c r="B312" s="2974" t="s">
        <v>2997</v>
      </c>
      <c r="C312" s="2975">
        <v>0.13800000000000001</v>
      </c>
      <c r="D312" s="2975">
        <v>0.14000000000000001</v>
      </c>
      <c r="E312" s="2975">
        <v>0.14599999999999999</v>
      </c>
      <c r="F312" s="2975">
        <v>0.14899999999999999</v>
      </c>
      <c r="G312" s="2976">
        <v>0.14199999999999999</v>
      </c>
    </row>
    <row r="313" spans="1:7">
      <c r="A313" s="2985" t="s">
        <v>306</v>
      </c>
      <c r="B313" s="2974" t="s">
        <v>3002</v>
      </c>
      <c r="C313" s="2975">
        <v>0.125</v>
      </c>
      <c r="D313" s="2975">
        <v>0.127</v>
      </c>
      <c r="E313" s="2975">
        <v>0.14399999999999999</v>
      </c>
      <c r="F313" s="2975">
        <v>0.115</v>
      </c>
      <c r="G313" s="2976">
        <v>0.13600000000000001</v>
      </c>
    </row>
    <row r="314" spans="1:7">
      <c r="A314" s="2985" t="s">
        <v>306</v>
      </c>
      <c r="B314" s="2974" t="s">
        <v>3211</v>
      </c>
      <c r="C314" s="2991"/>
      <c r="D314" s="2991"/>
      <c r="E314" s="2991"/>
      <c r="F314" s="2975">
        <v>0.05</v>
      </c>
      <c r="G314" s="2992"/>
    </row>
    <row r="315" spans="1:7">
      <c r="A315" s="2985" t="s">
        <v>306</v>
      </c>
      <c r="B315" s="2974" t="s">
        <v>3212</v>
      </c>
      <c r="C315" s="2991"/>
      <c r="D315" s="2991"/>
      <c r="E315" s="2991"/>
      <c r="F315" s="2975">
        <v>0.05</v>
      </c>
      <c r="G315" s="2992"/>
    </row>
    <row r="316" spans="1:7">
      <c r="A316" s="2985" t="s">
        <v>306</v>
      </c>
      <c r="B316" s="2974" t="s">
        <v>3213</v>
      </c>
      <c r="C316" s="2986"/>
      <c r="D316" s="2986"/>
      <c r="E316" s="2986"/>
      <c r="F316" s="2975">
        <v>0.05</v>
      </c>
      <c r="G316" s="2992"/>
    </row>
    <row r="317" spans="1:7">
      <c r="A317" s="2985" t="s">
        <v>306</v>
      </c>
      <c r="B317" s="2974" t="s">
        <v>3214</v>
      </c>
      <c r="C317" s="2986"/>
      <c r="D317" s="2986"/>
      <c r="E317" s="2986"/>
      <c r="F317" s="2975">
        <v>0.05</v>
      </c>
      <c r="G317" s="2992"/>
    </row>
    <row r="318" spans="1:7">
      <c r="A318" s="2985" t="s">
        <v>306</v>
      </c>
      <c r="B318" s="2974" t="s">
        <v>3215</v>
      </c>
      <c r="C318" s="2986"/>
      <c r="D318" s="2986"/>
      <c r="E318" s="2986"/>
      <c r="F318" s="2975">
        <v>0.05</v>
      </c>
      <c r="G318" s="2992"/>
    </row>
    <row r="319" spans="1:7">
      <c r="A319" s="2985" t="s">
        <v>306</v>
      </c>
      <c r="B319" s="2974" t="s">
        <v>3216</v>
      </c>
      <c r="C319" s="2986"/>
      <c r="D319" s="2986"/>
      <c r="E319" s="2986"/>
      <c r="F319" s="2975">
        <v>0.05</v>
      </c>
      <c r="G319" s="2992"/>
    </row>
    <row r="320" spans="1:7">
      <c r="A320" s="2985" t="s">
        <v>306</v>
      </c>
      <c r="B320" s="2974" t="s">
        <v>3217</v>
      </c>
      <c r="C320" s="2986"/>
      <c r="D320" s="2986"/>
      <c r="E320" s="2986"/>
      <c r="F320" s="2975">
        <v>0.05</v>
      </c>
      <c r="G320" s="2992"/>
    </row>
    <row r="321" spans="1:7">
      <c r="A321" s="2985" t="s">
        <v>306</v>
      </c>
      <c r="B321" s="2974" t="s">
        <v>3218</v>
      </c>
      <c r="C321" s="2986"/>
      <c r="D321" s="2986"/>
      <c r="E321" s="2986"/>
      <c r="F321" s="2975">
        <v>0.05</v>
      </c>
      <c r="G321" s="2992"/>
    </row>
    <row r="322" spans="1:7">
      <c r="A322" s="2985" t="s">
        <v>306</v>
      </c>
      <c r="B322" s="2974" t="s">
        <v>3219</v>
      </c>
      <c r="C322" s="2986"/>
      <c r="D322" s="2986"/>
      <c r="E322" s="2986"/>
      <c r="F322" s="2975">
        <v>0.05</v>
      </c>
      <c r="G322" s="2992"/>
    </row>
    <row r="323" spans="1:7">
      <c r="A323" s="2985" t="s">
        <v>306</v>
      </c>
      <c r="B323" s="2974" t="s">
        <v>3220</v>
      </c>
      <c r="C323" s="2986"/>
      <c r="D323" s="2986"/>
      <c r="E323" s="2986"/>
      <c r="F323" s="2975">
        <v>0.05</v>
      </c>
      <c r="G323" s="2992"/>
    </row>
    <row r="324" spans="1:7">
      <c r="A324" s="2985" t="s">
        <v>306</v>
      </c>
      <c r="B324" s="2974" t="s">
        <v>3221</v>
      </c>
      <c r="C324" s="2986"/>
      <c r="D324" s="2986"/>
      <c r="E324" s="2986"/>
      <c r="F324" s="2975">
        <v>0.05</v>
      </c>
      <c r="G324" s="2992"/>
    </row>
    <row r="325" spans="1:7">
      <c r="A325" s="2985" t="s">
        <v>306</v>
      </c>
      <c r="B325" s="2974" t="s">
        <v>3222</v>
      </c>
      <c r="C325" s="2986"/>
      <c r="D325" s="2986"/>
      <c r="E325" s="2986"/>
      <c r="F325" s="2975">
        <v>0.05</v>
      </c>
      <c r="G325" s="2992"/>
    </row>
    <row r="326" spans="1:7" ht="14.25" thickBot="1">
      <c r="A326" s="2988" t="s">
        <v>306</v>
      </c>
      <c r="B326" s="2978" t="s">
        <v>3223</v>
      </c>
      <c r="C326" s="2980"/>
      <c r="D326" s="2980"/>
      <c r="E326" s="2980"/>
      <c r="F326" s="2979">
        <v>0.05</v>
      </c>
      <c r="G326" s="2993"/>
    </row>
    <row r="327" spans="1:7">
      <c r="A327" s="2984" t="s">
        <v>307</v>
      </c>
      <c r="B327" s="2970" t="s">
        <v>2855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2867</v>
      </c>
      <c r="C329" s="2975">
        <v>0.15</v>
      </c>
      <c r="D329" s="2975">
        <v>0.15</v>
      </c>
      <c r="E329" s="2975">
        <v>0.15</v>
      </c>
      <c r="F329" s="2975">
        <v>0.15</v>
      </c>
      <c r="G329" s="2976">
        <v>0.15</v>
      </c>
    </row>
    <row r="330" spans="1:7">
      <c r="A330" s="2985" t="s">
        <v>307</v>
      </c>
      <c r="B330" s="2974" t="s">
        <v>2871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2879</v>
      </c>
      <c r="C332" s="2975">
        <v>0.15</v>
      </c>
      <c r="D332" s="2975">
        <v>0.15</v>
      </c>
      <c r="E332" s="2975">
        <v>0.15</v>
      </c>
      <c r="F332" s="2975">
        <v>0.15</v>
      </c>
      <c r="G332" s="2976">
        <v>0.15</v>
      </c>
    </row>
    <row r="333" spans="1:7">
      <c r="A333" s="2985" t="s">
        <v>307</v>
      </c>
      <c r="B333" s="2974" t="s">
        <v>2883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2889</v>
      </c>
      <c r="C336" s="2975">
        <v>0.15</v>
      </c>
      <c r="D336" s="2975">
        <v>0.15</v>
      </c>
      <c r="E336" s="2975">
        <v>0.15</v>
      </c>
      <c r="F336" s="2975">
        <v>0.14199999999999999</v>
      </c>
      <c r="G336" s="2976">
        <v>0.15</v>
      </c>
    </row>
    <row r="337" spans="1:7">
      <c r="A337" s="2985" t="s">
        <v>307</v>
      </c>
      <c r="B337" s="2974" t="s">
        <v>2894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2914</v>
      </c>
      <c r="C345" s="2975">
        <v>0.15</v>
      </c>
      <c r="D345" s="2975">
        <v>0.15</v>
      </c>
      <c r="E345" s="2975">
        <v>0.15</v>
      </c>
      <c r="F345" s="2975">
        <v>0.13800000000000001</v>
      </c>
      <c r="G345" s="2976">
        <v>0.15</v>
      </c>
    </row>
    <row r="346" spans="1:7">
      <c r="A346" s="2985" t="s">
        <v>307</v>
      </c>
      <c r="B346" s="2974" t="s">
        <v>2916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2923</v>
      </c>
      <c r="C348" s="2975">
        <v>0.15</v>
      </c>
      <c r="D348" s="2975">
        <v>0.15</v>
      </c>
      <c r="E348" s="2975">
        <v>0.15</v>
      </c>
      <c r="F348" s="2975">
        <v>0.14399999999999999</v>
      </c>
      <c r="G348" s="2976">
        <v>0.15</v>
      </c>
    </row>
    <row r="349" spans="1:7">
      <c r="A349" s="2985" t="s">
        <v>307</v>
      </c>
      <c r="B349" s="2974" t="s">
        <v>2928</v>
      </c>
      <c r="C349" s="2975">
        <v>0.15</v>
      </c>
      <c r="D349" s="2975">
        <v>0.15</v>
      </c>
      <c r="E349" s="2975">
        <v>0.15</v>
      </c>
      <c r="F349" s="2975">
        <v>0.15</v>
      </c>
      <c r="G349" s="2976">
        <v>0.15</v>
      </c>
    </row>
    <row r="350" spans="1:7">
      <c r="A350" s="2985" t="s">
        <v>307</v>
      </c>
      <c r="B350" s="2974" t="s">
        <v>2931</v>
      </c>
      <c r="C350" s="2975">
        <v>0.15</v>
      </c>
      <c r="D350" s="2975">
        <v>0.15</v>
      </c>
      <c r="E350" s="2975">
        <v>0.15</v>
      </c>
      <c r="F350" s="2975">
        <v>0.14699999999999999</v>
      </c>
      <c r="G350" s="2976">
        <v>0.15</v>
      </c>
    </row>
    <row r="351" spans="1:7">
      <c r="A351" s="2985" t="s">
        <v>307</v>
      </c>
      <c r="B351" s="2974" t="s">
        <v>2936</v>
      </c>
      <c r="C351" s="2975">
        <v>0.15</v>
      </c>
      <c r="D351" s="2975">
        <v>0.15</v>
      </c>
      <c r="E351" s="2975">
        <v>0.15</v>
      </c>
      <c r="F351" s="2975">
        <v>0.13</v>
      </c>
      <c r="G351" s="2976">
        <v>0.15</v>
      </c>
    </row>
    <row r="352" spans="1:7">
      <c r="A352" s="2985" t="s">
        <v>307</v>
      </c>
      <c r="B352" s="2974" t="s">
        <v>2941</v>
      </c>
      <c r="C352" s="2975">
        <v>0.15</v>
      </c>
      <c r="D352" s="2975">
        <v>0.15</v>
      </c>
      <c r="E352" s="2975">
        <v>0.15</v>
      </c>
      <c r="F352" s="2975">
        <v>0.14599999999999999</v>
      </c>
      <c r="G352" s="2976">
        <v>0.15</v>
      </c>
    </row>
    <row r="353" spans="1:7">
      <c r="A353" s="2985" t="s">
        <v>307</v>
      </c>
      <c r="B353" s="2974" t="s">
        <v>2948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2961</v>
      </c>
      <c r="C355" s="2975">
        <v>0.15</v>
      </c>
      <c r="D355" s="2975">
        <v>0.15</v>
      </c>
      <c r="E355" s="2975">
        <v>0.15</v>
      </c>
      <c r="F355" s="2975">
        <v>0.15</v>
      </c>
      <c r="G355" s="2976">
        <v>0.15</v>
      </c>
    </row>
    <row r="356" spans="1:7">
      <c r="A356" s="2985" t="s">
        <v>307</v>
      </c>
      <c r="B356" s="2974" t="s">
        <v>2968</v>
      </c>
      <c r="C356" s="2975">
        <v>0.15</v>
      </c>
      <c r="D356" s="2975">
        <v>0.15</v>
      </c>
      <c r="E356" s="2975">
        <v>0.15</v>
      </c>
      <c r="F356" s="2975">
        <v>0.15</v>
      </c>
      <c r="G356" s="2976">
        <v>0.15</v>
      </c>
    </row>
    <row r="357" spans="1:7" ht="14.25" thickBot="1">
      <c r="A357" s="2988" t="s">
        <v>307</v>
      </c>
      <c r="B357" s="2978" t="s">
        <v>2973</v>
      </c>
      <c r="C357" s="2979">
        <v>0.126</v>
      </c>
      <c r="D357" s="2979">
        <v>0.127</v>
      </c>
      <c r="E357" s="2979">
        <v>0.14299999999999999</v>
      </c>
      <c r="F357" s="2979">
        <v>0.125</v>
      </c>
      <c r="G357" s="2981">
        <v>0.129</v>
      </c>
    </row>
    <row r="358" spans="1:7">
      <c r="A358" s="2984" t="s">
        <v>2842</v>
      </c>
      <c r="B358" s="2970" t="s">
        <v>2856</v>
      </c>
      <c r="C358" s="2971">
        <v>0.15</v>
      </c>
      <c r="D358" s="2971">
        <v>0.15</v>
      </c>
      <c r="E358" s="2971">
        <v>0.15</v>
      </c>
      <c r="F358" s="2971">
        <v>0.15</v>
      </c>
      <c r="G358" s="2972">
        <v>0.15</v>
      </c>
    </row>
    <row r="359" spans="1:7">
      <c r="A359" s="2985" t="s">
        <v>2842</v>
      </c>
      <c r="B359" s="2974" t="s">
        <v>2862</v>
      </c>
      <c r="C359" s="2975">
        <v>0.1</v>
      </c>
      <c r="D359" s="2975">
        <v>0.1</v>
      </c>
      <c r="E359" s="2975">
        <v>0.1</v>
      </c>
      <c r="F359" s="2975">
        <v>0.1</v>
      </c>
      <c r="G359" s="2976">
        <v>0.1</v>
      </c>
    </row>
    <row r="360" spans="1:7">
      <c r="A360" s="2985" t="s">
        <v>2842</v>
      </c>
      <c r="B360" s="2974" t="s">
        <v>2868</v>
      </c>
      <c r="C360" s="2975">
        <v>0.15</v>
      </c>
      <c r="D360" s="2975">
        <v>0.15</v>
      </c>
      <c r="E360" s="2975">
        <v>0.15</v>
      </c>
      <c r="F360" s="2975">
        <v>0.14899999999999999</v>
      </c>
      <c r="G360" s="2976">
        <v>0.15</v>
      </c>
    </row>
    <row r="361" spans="1:7">
      <c r="A361" s="2985" t="s">
        <v>2842</v>
      </c>
      <c r="B361" s="2974" t="s">
        <v>153</v>
      </c>
      <c r="C361" s="2975">
        <v>0.15</v>
      </c>
      <c r="D361" s="2975">
        <v>0.15</v>
      </c>
      <c r="E361" s="2975">
        <v>0.15</v>
      </c>
      <c r="F361" s="2975">
        <v>0.115</v>
      </c>
      <c r="G361" s="2976">
        <v>0.15</v>
      </c>
    </row>
    <row r="362" spans="1:7">
      <c r="A362" s="2985" t="s">
        <v>2842</v>
      </c>
      <c r="B362" s="2974" t="s">
        <v>2875</v>
      </c>
      <c r="C362" s="2975">
        <v>0.15</v>
      </c>
      <c r="D362" s="2975">
        <v>0.15</v>
      </c>
      <c r="E362" s="2975">
        <v>0.15</v>
      </c>
      <c r="F362" s="2975">
        <v>0.106</v>
      </c>
      <c r="G362" s="2976">
        <v>0.15</v>
      </c>
    </row>
    <row r="363" spans="1:7">
      <c r="A363" s="2985" t="s">
        <v>2842</v>
      </c>
      <c r="B363" s="2974" t="s">
        <v>2880</v>
      </c>
      <c r="C363" s="2975">
        <v>0.15</v>
      </c>
      <c r="D363" s="2975">
        <v>0.15</v>
      </c>
      <c r="E363" s="2975">
        <v>0.15</v>
      </c>
      <c r="F363" s="2975">
        <v>0.14699999999999999</v>
      </c>
      <c r="G363" s="2976">
        <v>0.15</v>
      </c>
    </row>
    <row r="364" spans="1:7">
      <c r="A364" s="2985" t="s">
        <v>2842</v>
      </c>
      <c r="B364" s="2974" t="s">
        <v>2884</v>
      </c>
      <c r="C364" s="2975">
        <v>0.15</v>
      </c>
      <c r="D364" s="2975">
        <v>0.15</v>
      </c>
      <c r="E364" s="2975">
        <v>0.15</v>
      </c>
      <c r="F364" s="2975">
        <v>0.14799999999999999</v>
      </c>
      <c r="G364" s="2976">
        <v>0.15</v>
      </c>
    </row>
    <row r="365" spans="1:7">
      <c r="A365" s="2985" t="s">
        <v>2842</v>
      </c>
      <c r="B365" s="2974" t="s">
        <v>200</v>
      </c>
      <c r="C365" s="2975">
        <v>0.15</v>
      </c>
      <c r="D365" s="2975">
        <v>0.15</v>
      </c>
      <c r="E365" s="2975">
        <v>0.15</v>
      </c>
      <c r="F365" s="2975">
        <v>0.15</v>
      </c>
      <c r="G365" s="2976">
        <v>0.15</v>
      </c>
    </row>
    <row r="366" spans="1:7">
      <c r="A366" s="2985" t="s">
        <v>2842</v>
      </c>
      <c r="B366" s="2974" t="s">
        <v>2887</v>
      </c>
      <c r="C366" s="2975">
        <v>0.15</v>
      </c>
      <c r="D366" s="2975">
        <v>0.15</v>
      </c>
      <c r="E366" s="2975">
        <v>0.15</v>
      </c>
      <c r="F366" s="2975">
        <v>0.15</v>
      </c>
      <c r="G366" s="2976">
        <v>0.15</v>
      </c>
    </row>
    <row r="367" spans="1:7">
      <c r="A367" s="2985" t="s">
        <v>2842</v>
      </c>
      <c r="B367" s="2974" t="s">
        <v>2890</v>
      </c>
      <c r="C367" s="2975">
        <v>0.15</v>
      </c>
      <c r="D367" s="2975">
        <v>0.15</v>
      </c>
      <c r="E367" s="2975">
        <v>0.15</v>
      </c>
      <c r="F367" s="2975">
        <v>0.14699999999999999</v>
      </c>
      <c r="G367" s="2976">
        <v>0.15</v>
      </c>
    </row>
    <row r="368" spans="1:7">
      <c r="A368" s="2985" t="s">
        <v>2842</v>
      </c>
      <c r="B368" s="2974" t="s">
        <v>2895</v>
      </c>
      <c r="C368" s="2975">
        <v>0.15</v>
      </c>
      <c r="D368" s="2975">
        <v>0.15</v>
      </c>
      <c r="E368" s="2975">
        <v>0.15</v>
      </c>
      <c r="F368" s="2975">
        <v>0.13600000000000001</v>
      </c>
      <c r="G368" s="2976">
        <v>0.15</v>
      </c>
    </row>
    <row r="369" spans="1:7">
      <c r="A369" s="2985" t="s">
        <v>2842</v>
      </c>
      <c r="B369" s="2974" t="s">
        <v>214</v>
      </c>
      <c r="C369" s="2975">
        <v>0.15</v>
      </c>
      <c r="D369" s="2975">
        <v>0.15</v>
      </c>
      <c r="E369" s="2975">
        <v>0.15</v>
      </c>
      <c r="F369" s="2975">
        <v>0.14399999999999999</v>
      </c>
      <c r="G369" s="2976">
        <v>0.15</v>
      </c>
    </row>
    <row r="370" spans="1:7">
      <c r="A370" s="2985" t="s">
        <v>2842</v>
      </c>
      <c r="B370" s="2974" t="s">
        <v>221</v>
      </c>
      <c r="C370" s="2975">
        <v>0.15</v>
      </c>
      <c r="D370" s="2975">
        <v>0.15</v>
      </c>
      <c r="E370" s="2975">
        <v>0.15</v>
      </c>
      <c r="F370" s="2975">
        <v>0.14599999999999999</v>
      </c>
      <c r="G370" s="2976">
        <v>0.15</v>
      </c>
    </row>
    <row r="371" spans="1:7">
      <c r="A371" s="2985" t="s">
        <v>2842</v>
      </c>
      <c r="B371" s="2974" t="s">
        <v>229</v>
      </c>
      <c r="C371" s="2975">
        <v>0.15</v>
      </c>
      <c r="D371" s="2975">
        <v>0.15</v>
      </c>
      <c r="E371" s="2975">
        <v>0.15</v>
      </c>
      <c r="F371" s="2975">
        <v>0.12</v>
      </c>
      <c r="G371" s="2976">
        <v>0.15</v>
      </c>
    </row>
    <row r="372" spans="1:7">
      <c r="A372" s="2985" t="s">
        <v>2842</v>
      </c>
      <c r="B372" s="2974" t="s">
        <v>2903</v>
      </c>
      <c r="C372" s="2975">
        <v>0.15</v>
      </c>
      <c r="D372" s="2975">
        <v>0.15</v>
      </c>
      <c r="E372" s="2975">
        <v>0.15</v>
      </c>
      <c r="F372" s="2975">
        <v>0.14299999999999999</v>
      </c>
      <c r="G372" s="2976">
        <v>0.15</v>
      </c>
    </row>
    <row r="373" spans="1:7">
      <c r="A373" s="2985" t="s">
        <v>2842</v>
      </c>
      <c r="B373" s="2974" t="s">
        <v>258</v>
      </c>
      <c r="C373" s="2975">
        <v>0.15</v>
      </c>
      <c r="D373" s="2975">
        <v>0.15</v>
      </c>
      <c r="E373" s="2975">
        <v>0.15</v>
      </c>
      <c r="F373" s="2975">
        <v>0.14599999999999999</v>
      </c>
      <c r="G373" s="2976">
        <v>0.15</v>
      </c>
    </row>
    <row r="374" spans="1:7">
      <c r="A374" s="2985" t="s">
        <v>2842</v>
      </c>
      <c r="B374" s="2974" t="s">
        <v>266</v>
      </c>
      <c r="C374" s="2975">
        <v>0.15</v>
      </c>
      <c r="D374" s="2975">
        <v>0.15</v>
      </c>
      <c r="E374" s="2975">
        <v>0.15</v>
      </c>
      <c r="F374" s="2975">
        <v>0.14399999999999999</v>
      </c>
      <c r="G374" s="2976">
        <v>0.15</v>
      </c>
    </row>
    <row r="375" spans="1:7">
      <c r="A375" s="2985" t="s">
        <v>2842</v>
      </c>
      <c r="B375" s="2974" t="s">
        <v>2911</v>
      </c>
      <c r="C375" s="2975">
        <v>0.15</v>
      </c>
      <c r="D375" s="2975">
        <v>0.15</v>
      </c>
      <c r="E375" s="2975">
        <v>0.15</v>
      </c>
      <c r="F375" s="2975">
        <v>0.13</v>
      </c>
      <c r="G375" s="2976">
        <v>0.15</v>
      </c>
    </row>
    <row r="376" spans="1:7">
      <c r="A376" s="2985" t="s">
        <v>2842</v>
      </c>
      <c r="B376" s="2974" t="s">
        <v>277</v>
      </c>
      <c r="C376" s="2975">
        <v>0.15</v>
      </c>
      <c r="D376" s="2975">
        <v>0.15</v>
      </c>
      <c r="E376" s="2975">
        <v>0.15</v>
      </c>
      <c r="F376" s="2975">
        <v>0.14199999999999999</v>
      </c>
      <c r="G376" s="2976">
        <v>0.15</v>
      </c>
    </row>
    <row r="377" spans="1:7" ht="14.25" thickBot="1">
      <c r="A377" s="2988" t="s">
        <v>2842</v>
      </c>
      <c r="B377" s="2978" t="s">
        <v>2917</v>
      </c>
      <c r="C377" s="2979">
        <v>0.15</v>
      </c>
      <c r="D377" s="2979">
        <v>0.15</v>
      </c>
      <c r="E377" s="2979">
        <v>0.15</v>
      </c>
      <c r="F377" s="2979">
        <v>0.14000000000000001</v>
      </c>
      <c r="G377" s="2981">
        <v>0.15</v>
      </c>
    </row>
    <row r="378" spans="1:7">
      <c r="A378" s="2984" t="s">
        <v>2843</v>
      </c>
      <c r="B378" s="2970" t="s">
        <v>2857</v>
      </c>
      <c r="C378" s="2971">
        <v>0.15</v>
      </c>
      <c r="D378" s="2971">
        <v>0.15</v>
      </c>
      <c r="E378" s="2971">
        <v>0.15</v>
      </c>
      <c r="F378" s="2971">
        <v>0.107</v>
      </c>
      <c r="G378" s="2972">
        <v>0.15</v>
      </c>
    </row>
    <row r="379" spans="1:7">
      <c r="A379" s="2985" t="s">
        <v>2843</v>
      </c>
      <c r="B379" s="2974" t="s">
        <v>2863</v>
      </c>
      <c r="C379" s="2975">
        <v>0.15</v>
      </c>
      <c r="D379" s="2975">
        <v>0.15</v>
      </c>
      <c r="E379" s="2975">
        <v>0.15</v>
      </c>
      <c r="F379" s="2975">
        <v>0.115</v>
      </c>
      <c r="G379" s="2976">
        <v>0.14899999999999999</v>
      </c>
    </row>
    <row r="380" spans="1:7">
      <c r="A380" s="2985" t="s">
        <v>2843</v>
      </c>
      <c r="B380" s="2974" t="s">
        <v>2869</v>
      </c>
      <c r="C380" s="2975">
        <v>0.15</v>
      </c>
      <c r="D380" s="2975">
        <v>0.15</v>
      </c>
      <c r="E380" s="2975">
        <v>0.15</v>
      </c>
      <c r="F380" s="2975">
        <v>0.1</v>
      </c>
      <c r="G380" s="2976">
        <v>0.14799999999999999</v>
      </c>
    </row>
    <row r="381" spans="1:7">
      <c r="A381" s="2985" t="s">
        <v>2843</v>
      </c>
      <c r="B381" s="2974" t="s">
        <v>2872</v>
      </c>
      <c r="C381" s="2975">
        <v>0.15</v>
      </c>
      <c r="D381" s="2975">
        <v>0.15</v>
      </c>
      <c r="E381" s="2975">
        <v>0.15</v>
      </c>
      <c r="F381" s="2975">
        <v>0.126</v>
      </c>
      <c r="G381" s="2976">
        <v>0.15</v>
      </c>
    </row>
    <row r="382" spans="1:7">
      <c r="A382" s="2985" t="s">
        <v>2843</v>
      </c>
      <c r="B382" s="2974" t="s">
        <v>2876</v>
      </c>
      <c r="C382" s="2975">
        <v>0.15</v>
      </c>
      <c r="D382" s="2975">
        <v>0.15</v>
      </c>
      <c r="E382" s="2975">
        <v>0.15</v>
      </c>
      <c r="F382" s="2975">
        <v>0.15</v>
      </c>
      <c r="G382" s="2976">
        <v>0.15</v>
      </c>
    </row>
    <row r="383" spans="1:7">
      <c r="A383" s="2985" t="s">
        <v>2843</v>
      </c>
      <c r="B383" s="2974" t="s">
        <v>2881</v>
      </c>
      <c r="C383" s="2975">
        <v>0.15</v>
      </c>
      <c r="D383" s="2975">
        <v>0.15</v>
      </c>
      <c r="E383" s="2975">
        <v>0.15</v>
      </c>
      <c r="F383" s="2975">
        <v>0.14699999999999999</v>
      </c>
      <c r="G383" s="2976">
        <v>0.15</v>
      </c>
    </row>
    <row r="384" spans="1:7" ht="14.25" thickBot="1">
      <c r="A384" s="2995" t="s">
        <v>2843</v>
      </c>
      <c r="B384" s="2996" t="s">
        <v>2885</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0"/>
  </cols>
  <sheetData>
    <row r="1" spans="1:6">
      <c r="A1" s="3548" t="s">
        <v>3224</v>
      </c>
      <c r="B1" s="3548"/>
      <c r="C1" s="3548"/>
      <c r="D1" s="3548"/>
      <c r="E1" s="3548"/>
      <c r="F1" s="3549"/>
    </row>
    <row r="2" spans="1:6">
      <c r="A2" s="2999" t="s">
        <v>3225</v>
      </c>
    </row>
    <row r="3" spans="1:6">
      <c r="A3" s="2999" t="s">
        <v>3226</v>
      </c>
      <c r="F3" s="3000" t="s">
        <v>3227</v>
      </c>
    </row>
    <row r="4" spans="1:6">
      <c r="A4" s="3001" t="s">
        <v>672</v>
      </c>
      <c r="B4" s="3001" t="s">
        <v>673</v>
      </c>
      <c r="C4" s="3001" t="s">
        <v>21</v>
      </c>
      <c r="D4" s="3001" t="s">
        <v>674</v>
      </c>
      <c r="E4" s="3001" t="s">
        <v>3</v>
      </c>
      <c r="F4" s="3001" t="s">
        <v>3228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4">
        <f>基准地价修正!G23</f>
        <v>45463</v>
      </c>
      <c r="B1" s="2926" t="s">
        <v>3374</v>
      </c>
      <c r="C1" s="2927"/>
      <c r="D1" s="2927"/>
      <c r="E1" s="2927"/>
      <c r="F1" s="2927"/>
      <c r="G1" s="2927"/>
      <c r="H1" s="2927"/>
      <c r="I1" s="2927"/>
      <c r="J1" s="2893"/>
      <c r="K1" s="2927" t="s">
        <v>454</v>
      </c>
      <c r="L1" s="2927"/>
      <c r="M1" s="2927"/>
      <c r="N1" s="2927"/>
      <c r="O1" s="2927"/>
      <c r="P1" s="2927"/>
      <c r="Q1" s="2893"/>
      <c r="R1" s="3550" t="s">
        <v>456</v>
      </c>
      <c r="S1" s="3551"/>
      <c r="T1" s="3551"/>
      <c r="U1" s="3551"/>
      <c r="V1" s="3551"/>
      <c r="W1" s="3551"/>
      <c r="X1" s="2893"/>
      <c r="Y1" s="3550" t="s">
        <v>457</v>
      </c>
      <c r="Z1" s="3551"/>
      <c r="AA1" s="3551"/>
      <c r="AB1" s="3551"/>
      <c r="AC1" s="3551"/>
      <c r="AD1" s="3551"/>
    </row>
    <row r="2" spans="1:30" s="2006" customFormat="1" ht="14.25" thickBot="1">
      <c r="B2" s="2878"/>
      <c r="C2" s="2879"/>
      <c r="D2" s="2007" t="s">
        <v>2802</v>
      </c>
      <c r="E2" s="2008" t="s">
        <v>2803</v>
      </c>
      <c r="F2" s="2008" t="s">
        <v>2804</v>
      </c>
      <c r="G2" s="2008" t="s">
        <v>2805</v>
      </c>
      <c r="H2" s="2008" t="s">
        <v>2806</v>
      </c>
      <c r="I2" s="2008" t="s">
        <v>2623</v>
      </c>
      <c r="J2" s="2880"/>
      <c r="K2" s="2007" t="s">
        <v>2802</v>
      </c>
      <c r="L2" s="2008" t="s">
        <v>2803</v>
      </c>
      <c r="M2" s="2008" t="s">
        <v>2804</v>
      </c>
      <c r="N2" s="2008" t="s">
        <v>2805</v>
      </c>
      <c r="O2" s="2008" t="s">
        <v>2807</v>
      </c>
      <c r="P2" s="2008" t="s">
        <v>2623</v>
      </c>
      <c r="Q2" s="2880"/>
      <c r="R2" s="2007" t="s">
        <v>2802</v>
      </c>
      <c r="S2" s="2008" t="s">
        <v>2803</v>
      </c>
      <c r="T2" s="2008" t="s">
        <v>2804</v>
      </c>
      <c r="U2" s="2008" t="s">
        <v>2808</v>
      </c>
      <c r="V2" s="2008" t="s">
        <v>2809</v>
      </c>
      <c r="W2" s="2008" t="s">
        <v>2623</v>
      </c>
      <c r="X2" s="2880"/>
      <c r="Y2" s="2007" t="s">
        <v>2802</v>
      </c>
      <c r="Z2" s="2008" t="s">
        <v>2803</v>
      </c>
      <c r="AA2" s="2008" t="s">
        <v>2804</v>
      </c>
      <c r="AB2" s="2008" t="s">
        <v>2810</v>
      </c>
      <c r="AC2" s="2008" t="s">
        <v>2809</v>
      </c>
      <c r="AD2" s="2008" t="s">
        <v>2623</v>
      </c>
    </row>
    <row r="3" spans="1:30" s="2883" customFormat="1" ht="12.75">
      <c r="A3" s="2881" t="s">
        <v>2811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5" customFormat="1" ht="12.75">
      <c r="B4" s="2021"/>
      <c r="J4" s="2893"/>
      <c r="K4" s="2894"/>
      <c r="L4" s="2895"/>
      <c r="M4" s="2895"/>
      <c r="N4" s="2895"/>
      <c r="O4" s="2895"/>
      <c r="P4" s="2895"/>
      <c r="Q4" s="2893"/>
      <c r="R4" s="2023"/>
      <c r="S4" s="2896"/>
      <c r="T4" s="2897"/>
      <c r="U4" s="2023"/>
      <c r="V4" s="2898"/>
      <c r="W4" s="2023"/>
      <c r="X4" s="2893"/>
      <c r="Y4" s="2024"/>
      <c r="Z4" s="2899"/>
      <c r="AA4" s="2900"/>
      <c r="AB4" s="2024"/>
      <c r="AC4" s="2901"/>
      <c r="AD4" s="2024"/>
    </row>
    <row r="5" spans="1:30" s="2041" customFormat="1" ht="12.75">
      <c r="A5" s="2036" t="s">
        <v>3370</v>
      </c>
      <c r="B5" s="2027">
        <v>2025</v>
      </c>
      <c r="C5" s="2038">
        <v>1</v>
      </c>
      <c r="D5" s="2003">
        <v>0</v>
      </c>
      <c r="E5" s="2003">
        <v>0</v>
      </c>
      <c r="F5" s="2003">
        <v>0</v>
      </c>
      <c r="G5" s="2003">
        <v>0</v>
      </c>
      <c r="H5" s="2003">
        <v>0</v>
      </c>
      <c r="I5" s="2004">
        <f t="shared" ref="I5" si="4">F5</f>
        <v>0</v>
      </c>
      <c r="J5" s="2903"/>
      <c r="K5" s="2039">
        <f t="shared" ref="K5" si="5">D5/100</f>
        <v>0</v>
      </c>
      <c r="L5" s="2024">
        <f t="shared" ref="L5" si="6">E5/100</f>
        <v>0</v>
      </c>
      <c r="M5" s="2024">
        <f t="shared" ref="M5" si="7">F5/100</f>
        <v>0</v>
      </c>
      <c r="N5" s="2024">
        <f t="shared" ref="N5" si="8">G5/100</f>
        <v>0</v>
      </c>
      <c r="O5" s="2024">
        <f t="shared" ref="O5" si="9">H5/100</f>
        <v>0</v>
      </c>
      <c r="P5" s="2024">
        <f>M5</f>
        <v>0</v>
      </c>
      <c r="Q5" s="2903"/>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903"/>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13" customFormat="1" ht="12.75">
      <c r="A6" s="2904" t="s">
        <v>3379</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1" customFormat="1" ht="12.75">
      <c r="A7" s="2036" t="s">
        <v>3378</v>
      </c>
      <c r="B7" s="2027">
        <v>2024</v>
      </c>
      <c r="C7" s="2038">
        <v>3</v>
      </c>
      <c r="D7" s="2003">
        <v>-1.19</v>
      </c>
      <c r="E7" s="2003">
        <v>-0.47</v>
      </c>
      <c r="F7" s="2003">
        <v>-0.28999999999999998</v>
      </c>
      <c r="G7" s="2003">
        <v>-0.74</v>
      </c>
      <c r="H7" s="2003">
        <v>-0.21</v>
      </c>
      <c r="I7" s="2004">
        <f t="shared" ref="I7" si="26">F7</f>
        <v>-0.28999999999999998</v>
      </c>
      <c r="J7" s="2903"/>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903"/>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903"/>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902" t="s">
        <v>3371</v>
      </c>
      <c r="B8" s="2027">
        <v>2024</v>
      </c>
      <c r="C8" s="2038">
        <v>2</v>
      </c>
      <c r="D8" s="2003">
        <v>-0.59</v>
      </c>
      <c r="E8" s="2003">
        <v>-0.21</v>
      </c>
      <c r="F8" s="2003">
        <v>-1.38</v>
      </c>
      <c r="G8" s="2003">
        <v>-1.24</v>
      </c>
      <c r="H8" s="2914">
        <v>0.34</v>
      </c>
      <c r="I8" s="2004">
        <f t="shared" ref="I8:I21" si="37">F8</f>
        <v>-1.38</v>
      </c>
      <c r="J8" s="2903"/>
      <c r="K8" s="2039">
        <f t="shared" ref="K8:O21" si="38">D8/100</f>
        <v>-5.8999999999999999E-3</v>
      </c>
      <c r="L8" s="2024">
        <f t="shared" si="38"/>
        <v>-2.0999999999999999E-3</v>
      </c>
      <c r="M8" s="2024">
        <f t="shared" si="38"/>
        <v>-1.38E-2</v>
      </c>
      <c r="N8" s="2024">
        <f t="shared" si="38"/>
        <v>-1.24E-2</v>
      </c>
      <c r="O8" s="2024">
        <f t="shared" si="38"/>
        <v>3.4000000000000002E-3</v>
      </c>
      <c r="P8" s="2024">
        <f>M8</f>
        <v>-1.38E-2</v>
      </c>
      <c r="Q8" s="2903"/>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903"/>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902" t="s">
        <v>3367</v>
      </c>
      <c r="B9" s="2027">
        <v>2024</v>
      </c>
      <c r="C9" s="2038">
        <v>1</v>
      </c>
      <c r="D9" s="2003">
        <v>0.08</v>
      </c>
      <c r="E9" s="2003">
        <v>0.46</v>
      </c>
      <c r="F9" s="2003">
        <v>-0.16</v>
      </c>
      <c r="G9" s="2003">
        <v>0.26</v>
      </c>
      <c r="H9" s="2914">
        <v>0.59</v>
      </c>
      <c r="I9" s="2004">
        <v>0</v>
      </c>
      <c r="J9" s="2903"/>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903"/>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903"/>
      <c r="Y9" s="2024"/>
      <c r="Z9" s="2024"/>
      <c r="AA9" s="2024"/>
      <c r="AB9" s="2024"/>
      <c r="AC9" s="2024"/>
      <c r="AD9" s="2024"/>
    </row>
    <row r="10" spans="1:30" s="2041" customFormat="1" ht="12.75">
      <c r="A10" s="2902" t="s">
        <v>3363</v>
      </c>
      <c r="B10" s="2027">
        <v>2023</v>
      </c>
      <c r="C10" s="2038">
        <v>4</v>
      </c>
      <c r="D10" s="2003">
        <v>0.19</v>
      </c>
      <c r="E10" s="2003">
        <v>0.24</v>
      </c>
      <c r="F10" s="2003">
        <v>-0.16</v>
      </c>
      <c r="G10" s="2003">
        <v>0.17</v>
      </c>
      <c r="H10" s="2914">
        <v>0.61</v>
      </c>
      <c r="I10" s="2004">
        <f>F10</f>
        <v>-0.16</v>
      </c>
      <c r="J10" s="2903"/>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903"/>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903"/>
      <c r="Y10" s="2024"/>
      <c r="Z10" s="2024"/>
      <c r="AA10" s="2024"/>
      <c r="AB10" s="2024"/>
      <c r="AC10" s="2024"/>
      <c r="AD10" s="2024"/>
    </row>
    <row r="11" spans="1:30" s="2041" customFormat="1" ht="12.75">
      <c r="A11" s="2902" t="s">
        <v>3362</v>
      </c>
      <c r="B11" s="2027">
        <v>2023</v>
      </c>
      <c r="C11" s="2038">
        <v>3</v>
      </c>
      <c r="D11" s="2003">
        <v>0.25</v>
      </c>
      <c r="E11" s="2003">
        <v>0.5</v>
      </c>
      <c r="F11" s="2003">
        <v>0.31</v>
      </c>
      <c r="G11" s="2003">
        <v>0.21</v>
      </c>
      <c r="H11" s="2914">
        <v>0.43</v>
      </c>
      <c r="I11" s="2004">
        <f t="shared" si="37"/>
        <v>0.31</v>
      </c>
      <c r="J11" s="2903"/>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903"/>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903"/>
      <c r="Y11" s="2024"/>
      <c r="Z11" s="2024"/>
      <c r="AA11" s="2024"/>
      <c r="AB11" s="2024"/>
      <c r="AC11" s="2024"/>
      <c r="AD11" s="2024"/>
    </row>
    <row r="12" spans="1:30" s="2041" customFormat="1" ht="12.75">
      <c r="A12" s="2902" t="s">
        <v>3360</v>
      </c>
      <c r="B12" s="2027">
        <v>2023</v>
      </c>
      <c r="C12" s="2038">
        <v>2</v>
      </c>
      <c r="D12" s="2003">
        <v>0.91</v>
      </c>
      <c r="E12" s="2003">
        <v>0.66</v>
      </c>
      <c r="F12" s="2003">
        <v>0.47</v>
      </c>
      <c r="G12" s="2003">
        <v>0.96</v>
      </c>
      <c r="H12" s="2914">
        <v>0.71</v>
      </c>
      <c r="I12" s="2004">
        <f t="shared" si="37"/>
        <v>0.47</v>
      </c>
      <c r="J12" s="2903"/>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903"/>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903"/>
      <c r="Y12" s="2024"/>
      <c r="Z12" s="2024"/>
      <c r="AA12" s="2024"/>
      <c r="AB12" s="2024"/>
      <c r="AC12" s="2024"/>
      <c r="AD12" s="2024"/>
    </row>
    <row r="13" spans="1:30" s="2041" customFormat="1" ht="12.75">
      <c r="A13" s="2902" t="s">
        <v>3359</v>
      </c>
      <c r="B13" s="2027">
        <v>2023</v>
      </c>
      <c r="C13" s="2038">
        <v>1</v>
      </c>
      <c r="D13" s="2003">
        <v>0.89</v>
      </c>
      <c r="E13" s="2003">
        <v>0.74</v>
      </c>
      <c r="F13" s="2003">
        <v>0.56999999999999995</v>
      </c>
      <c r="G13" s="2003">
        <v>0.92</v>
      </c>
      <c r="H13" s="2914">
        <v>0.5</v>
      </c>
      <c r="I13" s="2004">
        <f t="shared" si="37"/>
        <v>0.56999999999999995</v>
      </c>
      <c r="J13" s="2903"/>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903"/>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903"/>
      <c r="Y13" s="2024"/>
      <c r="Z13" s="2024"/>
      <c r="AA13" s="2024"/>
      <c r="AB13" s="2024"/>
      <c r="AC13" s="2024"/>
      <c r="AD13" s="2024"/>
    </row>
    <row r="14" spans="1:30" s="2041" customFormat="1" ht="12.75">
      <c r="A14" s="2902" t="s">
        <v>3358</v>
      </c>
      <c r="B14" s="2027">
        <v>2022</v>
      </c>
      <c r="C14" s="2038">
        <v>4</v>
      </c>
      <c r="D14" s="2003">
        <v>0.62</v>
      </c>
      <c r="E14" s="2003">
        <v>0.2</v>
      </c>
      <c r="F14" s="2003">
        <v>0.11</v>
      </c>
      <c r="G14" s="2003">
        <v>0.69</v>
      </c>
      <c r="H14" s="2914">
        <v>0.53</v>
      </c>
      <c r="I14" s="2004">
        <f t="shared" si="37"/>
        <v>0.11</v>
      </c>
      <c r="J14" s="2903"/>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903"/>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903"/>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902" t="s">
        <v>3356</v>
      </c>
      <c r="B15" s="2027">
        <v>2022</v>
      </c>
      <c r="C15" s="2038">
        <v>3</v>
      </c>
      <c r="D15" s="2003">
        <v>0.66</v>
      </c>
      <c r="E15" s="2003">
        <v>0.32</v>
      </c>
      <c r="F15" s="2003">
        <v>0.23</v>
      </c>
      <c r="G15" s="2003">
        <v>0.72</v>
      </c>
      <c r="H15" s="2914">
        <v>0.63</v>
      </c>
      <c r="I15" s="2004">
        <f t="shared" si="37"/>
        <v>0.23</v>
      </c>
      <c r="J15" s="2903"/>
      <c r="K15" s="2039">
        <f t="shared" si="38"/>
        <v>6.6E-3</v>
      </c>
      <c r="L15" s="2024">
        <f t="shared" si="38"/>
        <v>3.2000000000000002E-3</v>
      </c>
      <c r="M15" s="2024">
        <f t="shared" si="38"/>
        <v>2.3E-3</v>
      </c>
      <c r="N15" s="2024">
        <f t="shared" si="38"/>
        <v>7.1999999999999998E-3</v>
      </c>
      <c r="O15" s="2024">
        <f t="shared" si="38"/>
        <v>6.3E-3</v>
      </c>
      <c r="P15" s="2024">
        <f t="shared" si="58"/>
        <v>2.3E-3</v>
      </c>
      <c r="Q15" s="2903"/>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903"/>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902" t="s">
        <v>3347</v>
      </c>
      <c r="B16" s="2027">
        <v>2022</v>
      </c>
      <c r="C16" s="2038">
        <v>2</v>
      </c>
      <c r="D16" s="2003">
        <v>0.93</v>
      </c>
      <c r="E16" s="2003">
        <v>0.15</v>
      </c>
      <c r="F16" s="2003">
        <v>0.01</v>
      </c>
      <c r="G16" s="2003">
        <v>1.05</v>
      </c>
      <c r="H16" s="2914">
        <v>1.08</v>
      </c>
      <c r="I16" s="2004">
        <f t="shared" si="37"/>
        <v>0.01</v>
      </c>
      <c r="J16" s="2903"/>
      <c r="K16" s="2039">
        <f t="shared" si="38"/>
        <v>9.300000000000001E-3</v>
      </c>
      <c r="L16" s="2024">
        <f t="shared" si="38"/>
        <v>1.5E-3</v>
      </c>
      <c r="M16" s="2024">
        <f t="shared" si="38"/>
        <v>1E-4</v>
      </c>
      <c r="N16" s="2024">
        <f t="shared" si="38"/>
        <v>1.0500000000000001E-2</v>
      </c>
      <c r="O16" s="2024">
        <f t="shared" si="38"/>
        <v>1.0800000000000001E-2</v>
      </c>
      <c r="P16" s="2024">
        <f t="shared" si="58"/>
        <v>1E-4</v>
      </c>
      <c r="Q16" s="2903"/>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903"/>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902" t="s">
        <v>2812</v>
      </c>
      <c r="B17" s="2027">
        <v>2022</v>
      </c>
      <c r="C17" s="2038">
        <v>1</v>
      </c>
      <c r="D17" s="2003">
        <v>0.89</v>
      </c>
      <c r="E17" s="2003">
        <v>0.44</v>
      </c>
      <c r="F17" s="2003">
        <v>0.37</v>
      </c>
      <c r="G17" s="2003">
        <v>0.96</v>
      </c>
      <c r="H17" s="2914">
        <v>0.64</v>
      </c>
      <c r="I17" s="2004">
        <f t="shared" si="37"/>
        <v>0.37</v>
      </c>
      <c r="J17" s="2903"/>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903"/>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903"/>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902" t="s">
        <v>2813</v>
      </c>
      <c r="B18" s="2027">
        <v>2021</v>
      </c>
      <c r="C18" s="2038">
        <v>4</v>
      </c>
      <c r="D18" s="2003">
        <v>1.03</v>
      </c>
      <c r="E18" s="2003">
        <v>0.24</v>
      </c>
      <c r="F18" s="2003">
        <v>7.0000000000000007E-2</v>
      </c>
      <c r="G18" s="2003">
        <v>1.17</v>
      </c>
      <c r="H18" s="2914">
        <v>0.55000000000000004</v>
      </c>
      <c r="I18" s="2004">
        <f t="shared" si="37"/>
        <v>7.0000000000000007E-2</v>
      </c>
      <c r="J18" s="2903"/>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903"/>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903"/>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902" t="s">
        <v>2814</v>
      </c>
      <c r="B19" s="2027">
        <v>2021</v>
      </c>
      <c r="C19" s="2038">
        <v>3</v>
      </c>
      <c r="D19" s="2003">
        <v>0.47</v>
      </c>
      <c r="E19" s="2003">
        <v>0.41</v>
      </c>
      <c r="F19" s="2003">
        <v>0.24</v>
      </c>
      <c r="G19" s="2003">
        <v>0.48</v>
      </c>
      <c r="H19" s="2914">
        <v>0.48</v>
      </c>
      <c r="I19" s="2004">
        <f t="shared" si="37"/>
        <v>0.24</v>
      </c>
      <c r="J19" s="2903"/>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903"/>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903"/>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902" t="s">
        <v>2815</v>
      </c>
      <c r="B20" s="2027">
        <v>2021</v>
      </c>
      <c r="C20" s="2038">
        <v>2</v>
      </c>
      <c r="D20" s="2003">
        <v>0.92</v>
      </c>
      <c r="E20" s="2003">
        <v>0.72</v>
      </c>
      <c r="F20" s="2003">
        <v>0.41</v>
      </c>
      <c r="G20" s="2003">
        <v>0.95</v>
      </c>
      <c r="H20" s="2914">
        <v>1.01</v>
      </c>
      <c r="I20" s="2004">
        <f t="shared" si="37"/>
        <v>0.41</v>
      </c>
      <c r="J20" s="2903"/>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903"/>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903"/>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5" customFormat="1" thickBot="1">
      <c r="A21" s="2915" t="s">
        <v>2816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3377</v>
      </c>
    </row>
    <row r="24" spans="1:30">
      <c r="I24" s="1403" t="s">
        <v>2817</v>
      </c>
    </row>
    <row r="26" spans="1:30" s="2005" customFormat="1" ht="12.75">
      <c r="B26" s="2926" t="s">
        <v>3375</v>
      </c>
      <c r="C26" s="2927"/>
      <c r="D26" s="2927"/>
      <c r="E26" s="2927"/>
      <c r="F26" s="2927"/>
      <c r="G26" s="2927"/>
      <c r="H26" s="2927"/>
      <c r="I26" s="2927"/>
      <c r="J26" s="2893"/>
      <c r="K26" s="2927" t="s">
        <v>2818</v>
      </c>
      <c r="L26" s="2927"/>
      <c r="M26" s="2927"/>
      <c r="N26" s="2927"/>
      <c r="O26" s="2927"/>
      <c r="P26" s="2927"/>
      <c r="Q26" s="2893"/>
      <c r="R26" s="3550" t="s">
        <v>2819</v>
      </c>
      <c r="S26" s="3551"/>
      <c r="T26" s="3551"/>
      <c r="U26" s="3551"/>
      <c r="V26" s="3551"/>
      <c r="W26" s="3551"/>
      <c r="X26" s="2893"/>
      <c r="Y26" s="3550" t="s">
        <v>2820</v>
      </c>
      <c r="Z26" s="3551"/>
      <c r="AA26" s="3551"/>
      <c r="AB26" s="3551"/>
      <c r="AC26" s="3551"/>
      <c r="AD26" s="3551"/>
    </row>
    <row r="27" spans="1:30" s="2006" customFormat="1" ht="14.25" thickBot="1">
      <c r="B27" s="2878"/>
      <c r="C27" s="2879"/>
      <c r="D27" s="2007" t="s">
        <v>2821</v>
      </c>
      <c r="E27" s="2008" t="s">
        <v>2822</v>
      </c>
      <c r="F27" s="2008" t="s">
        <v>2823</v>
      </c>
      <c r="G27" s="2008" t="s">
        <v>2824</v>
      </c>
      <c r="H27" s="2008"/>
      <c r="I27" s="2008" t="s">
        <v>2825</v>
      </c>
      <c r="J27" s="2880"/>
      <c r="K27" s="2007" t="s">
        <v>2821</v>
      </c>
      <c r="L27" s="2008" t="s">
        <v>2822</v>
      </c>
      <c r="M27" s="2008" t="s">
        <v>2823</v>
      </c>
      <c r="N27" s="2008" t="s">
        <v>2824</v>
      </c>
      <c r="O27" s="2008"/>
      <c r="P27" s="2008" t="s">
        <v>2825</v>
      </c>
      <c r="Q27" s="2880"/>
      <c r="R27" s="2007" t="s">
        <v>2821</v>
      </c>
      <c r="S27" s="2008" t="s">
        <v>2822</v>
      </c>
      <c r="T27" s="2008" t="s">
        <v>2823</v>
      </c>
      <c r="U27" s="2008" t="s">
        <v>2824</v>
      </c>
      <c r="V27" s="2008"/>
      <c r="W27" s="2008" t="s">
        <v>2825</v>
      </c>
      <c r="X27" s="2880"/>
      <c r="Y27" s="2007" t="s">
        <v>2821</v>
      </c>
      <c r="Z27" s="2008" t="s">
        <v>2822</v>
      </c>
      <c r="AA27" s="2008" t="s">
        <v>2823</v>
      </c>
      <c r="AB27" s="2008" t="s">
        <v>2824</v>
      </c>
      <c r="AC27" s="2008"/>
      <c r="AD27" s="2008" t="s">
        <v>2825</v>
      </c>
    </row>
    <row r="28" spans="1:30" s="2883" customFormat="1" ht="12.75">
      <c r="A28" s="2881" t="s">
        <v>2826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5" customFormat="1" ht="12.75">
      <c r="B29" s="2021"/>
      <c r="J29" s="2893"/>
      <c r="K29" s="2894"/>
      <c r="L29" s="2895"/>
      <c r="M29" s="2895"/>
      <c r="N29" s="2895"/>
      <c r="O29" s="2895"/>
      <c r="P29" s="2895"/>
      <c r="Q29" s="2893"/>
      <c r="R29" s="2023"/>
      <c r="S29" s="2896"/>
      <c r="T29" s="2897"/>
      <c r="U29" s="2023"/>
      <c r="V29" s="2898"/>
      <c r="W29" s="2023"/>
      <c r="X29" s="2893"/>
      <c r="Y29" s="2024"/>
      <c r="Z29" s="2899"/>
      <c r="AA29" s="2900"/>
      <c r="AB29" s="2024"/>
      <c r="AC29" s="2901"/>
      <c r="AD29" s="2024"/>
    </row>
    <row r="30" spans="1:30" s="2041" customFormat="1" ht="12.75">
      <c r="A30" s="2036" t="s">
        <v>3370</v>
      </c>
      <c r="B30" s="2027">
        <v>2025</v>
      </c>
      <c r="C30" s="2038">
        <v>1</v>
      </c>
      <c r="D30" s="2003"/>
      <c r="E30" s="2003">
        <v>0</v>
      </c>
      <c r="F30" s="2003">
        <v>0</v>
      </c>
      <c r="G30" s="2003">
        <v>0</v>
      </c>
      <c r="H30" s="2003"/>
      <c r="I30" s="2004">
        <f t="shared" ref="I30" si="69">F30</f>
        <v>0</v>
      </c>
      <c r="J30" s="2903"/>
      <c r="K30" s="2039"/>
      <c r="L30" s="2024">
        <f t="shared" ref="L30" si="70">E30/100</f>
        <v>0</v>
      </c>
      <c r="M30" s="2024">
        <f t="shared" ref="M30" si="71">F30/100</f>
        <v>0</v>
      </c>
      <c r="N30" s="2024">
        <f t="shared" ref="N30" si="72">G30/100</f>
        <v>0</v>
      </c>
      <c r="O30" s="2024"/>
      <c r="P30" s="2024">
        <f>M30</f>
        <v>0</v>
      </c>
      <c r="Q30" s="2903"/>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903"/>
      <c r="Y30" s="2024"/>
      <c r="Z30" s="2899">
        <f t="shared" ref="Z30" si="73">IF(E30=0,0,ROUND(AVERAGE(E30:E43)/100,4))</f>
        <v>0</v>
      </c>
      <c r="AA30" s="2899">
        <f t="shared" ref="AA30" si="74">IF(F30=0,0,ROUND(AVERAGE(F30:F43)/100,4))</f>
        <v>0</v>
      </c>
      <c r="AB30" s="2899">
        <f t="shared" ref="AB30" si="75">IF(G30=0,0,ROUND(AVERAGE(G30:G43)/100,4))</f>
        <v>0</v>
      </c>
      <c r="AC30" s="2901"/>
      <c r="AD30" s="2024">
        <f>IF(I30=0,0,ROUND(AVERAGE(I30:I43)/100,4))</f>
        <v>0</v>
      </c>
    </row>
    <row r="31" spans="1:30" s="2913" customFormat="1" ht="12.75">
      <c r="A31" s="2904" t="s">
        <v>3372</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1" customFormat="1" ht="12.75">
      <c r="A32" s="2036" t="s">
        <v>3365</v>
      </c>
      <c r="B32" s="2027">
        <v>2024</v>
      </c>
      <c r="C32" s="2038">
        <v>3</v>
      </c>
      <c r="D32" s="2003"/>
      <c r="E32" s="2003">
        <v>-0.66</v>
      </c>
      <c r="F32" s="2003">
        <v>-0.52</v>
      </c>
      <c r="G32" s="2003">
        <v>-2.87</v>
      </c>
      <c r="H32" s="2003"/>
      <c r="I32" s="2004">
        <f t="shared" ref="I32" si="83">F32</f>
        <v>-0.52</v>
      </c>
      <c r="J32" s="2903"/>
      <c r="K32" s="2039"/>
      <c r="L32" s="2024">
        <f t="shared" ref="L32" si="84">E32/100</f>
        <v>-6.6E-3</v>
      </c>
      <c r="M32" s="2024">
        <f t="shared" ref="M32" si="85">F32/100</f>
        <v>-5.1999999999999998E-3</v>
      </c>
      <c r="N32" s="2024">
        <f t="shared" ref="N32" si="86">G32/100</f>
        <v>-2.87E-2</v>
      </c>
      <c r="O32" s="2024"/>
      <c r="P32" s="2024">
        <f>M32</f>
        <v>-5.1999999999999998E-3</v>
      </c>
      <c r="Q32" s="2903"/>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903"/>
      <c r="Y32" s="2024"/>
      <c r="Z32" s="2899">
        <f t="shared" ref="Z32:AB33" si="87">IF(E32=0,0,ROUND(AVERAGE(E32:E45)/100,4))</f>
        <v>2.5999999999999999E-3</v>
      </c>
      <c r="AA32" s="2899">
        <f t="shared" si="87"/>
        <v>1.6999999999999999E-3</v>
      </c>
      <c r="AB32" s="2899">
        <f t="shared" si="87"/>
        <v>3.3999999999999998E-3</v>
      </c>
      <c r="AC32" s="2901"/>
      <c r="AD32" s="2024">
        <f>IF(I32=0,0,ROUND(AVERAGE(I32:I45)/100,4))</f>
        <v>1.6999999999999999E-3</v>
      </c>
    </row>
    <row r="33" spans="1:30" s="2041" customFormat="1" ht="12.75">
      <c r="A33" s="2902" t="s">
        <v>3373</v>
      </c>
      <c r="B33" s="2027">
        <v>2024</v>
      </c>
      <c r="C33" s="2038">
        <v>2</v>
      </c>
      <c r="D33" s="2003"/>
      <c r="E33" s="2003">
        <v>-0.31</v>
      </c>
      <c r="F33" s="2003">
        <v>-0.39</v>
      </c>
      <c r="G33" s="2003">
        <v>1.23</v>
      </c>
      <c r="H33" s="2914"/>
      <c r="I33" s="2004">
        <f t="shared" ref="I33:I46" si="88">F33</f>
        <v>-0.39</v>
      </c>
      <c r="J33" s="2903"/>
      <c r="K33" s="2039"/>
      <c r="L33" s="2024">
        <f t="shared" ref="L33:N46" si="89">E33/100</f>
        <v>-3.0999999999999999E-3</v>
      </c>
      <c r="M33" s="2024">
        <f t="shared" si="89"/>
        <v>-3.9000000000000003E-3</v>
      </c>
      <c r="N33" s="2024">
        <f t="shared" si="89"/>
        <v>1.23E-2</v>
      </c>
      <c r="O33" s="2024"/>
      <c r="P33" s="2024">
        <f>M33</f>
        <v>-3.9000000000000003E-3</v>
      </c>
      <c r="Q33" s="2903"/>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903"/>
      <c r="Y33" s="2024"/>
      <c r="Z33" s="2899">
        <f t="shared" si="87"/>
        <v>3.3E-3</v>
      </c>
      <c r="AA33" s="2900">
        <f t="shared" si="87"/>
        <v>2.3999999999999998E-3</v>
      </c>
      <c r="AB33" s="2024">
        <f t="shared" si="87"/>
        <v>6.1999999999999998E-3</v>
      </c>
      <c r="AC33" s="2901"/>
      <c r="AD33" s="2024">
        <f>IF(I33=0,0,ROUND(AVERAGE(I33:I46)/100,4))</f>
        <v>2.3999999999999998E-3</v>
      </c>
    </row>
    <row r="34" spans="1:30" s="2041" customFormat="1" ht="12.75">
      <c r="A34" s="2902" t="s">
        <v>3366</v>
      </c>
      <c r="B34" s="2027">
        <v>2024</v>
      </c>
      <c r="C34" s="2038">
        <v>1</v>
      </c>
      <c r="D34" s="2003"/>
      <c r="E34" s="2003">
        <v>0.25</v>
      </c>
      <c r="F34" s="2003">
        <v>0.4</v>
      </c>
      <c r="G34" s="2003">
        <v>-0.63</v>
      </c>
      <c r="H34" s="2914"/>
      <c r="I34" s="2004">
        <f t="shared" ref="I34:I35" si="90">F34</f>
        <v>0.4</v>
      </c>
      <c r="J34" s="2903"/>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903"/>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903"/>
      <c r="Y34" s="2024"/>
      <c r="Z34" s="2899"/>
      <c r="AA34" s="2900"/>
      <c r="AB34" s="2024"/>
      <c r="AC34" s="2901"/>
      <c r="AD34" s="2024"/>
    </row>
    <row r="35" spans="1:30" s="2041" customFormat="1" ht="12.75">
      <c r="A35" s="2902" t="s">
        <v>3364</v>
      </c>
      <c r="B35" s="2027">
        <v>2023</v>
      </c>
      <c r="C35" s="2038">
        <v>4</v>
      </c>
      <c r="D35" s="2003"/>
      <c r="E35" s="2003">
        <v>7.0000000000000007E-2</v>
      </c>
      <c r="F35" s="2003">
        <v>0.09</v>
      </c>
      <c r="G35" s="2003">
        <v>0.03</v>
      </c>
      <c r="H35" s="2914"/>
      <c r="I35" s="2004">
        <f t="shared" si="90"/>
        <v>0.09</v>
      </c>
      <c r="J35" s="2903"/>
      <c r="K35" s="2039"/>
      <c r="L35" s="2024">
        <f t="shared" si="89"/>
        <v>7.000000000000001E-4</v>
      </c>
      <c r="M35" s="2024">
        <f t="shared" si="89"/>
        <v>8.9999999999999998E-4</v>
      </c>
      <c r="N35" s="2024">
        <f t="shared" si="89"/>
        <v>2.9999999999999997E-4</v>
      </c>
      <c r="O35" s="2024"/>
      <c r="P35" s="2024">
        <f t="shared" ref="P35" si="96">M35</f>
        <v>8.9999999999999998E-4</v>
      </c>
      <c r="Q35" s="2903"/>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903"/>
      <c r="Y35" s="2024"/>
      <c r="Z35" s="2899"/>
      <c r="AA35" s="2900"/>
      <c r="AB35" s="2024"/>
      <c r="AC35" s="2901"/>
      <c r="AD35" s="2024"/>
    </row>
    <row r="36" spans="1:30" s="2041" customFormat="1" ht="12.75">
      <c r="A36" s="2902" t="s">
        <v>3362</v>
      </c>
      <c r="B36" s="2027">
        <v>2023</v>
      </c>
      <c r="C36" s="2038">
        <v>3</v>
      </c>
      <c r="D36" s="2003"/>
      <c r="E36" s="2003">
        <v>0.35</v>
      </c>
      <c r="F36" s="2003">
        <v>0.17</v>
      </c>
      <c r="G36" s="2003">
        <v>0.52</v>
      </c>
      <c r="H36" s="2914"/>
      <c r="I36" s="2004">
        <f t="shared" si="88"/>
        <v>0.17</v>
      </c>
      <c r="J36" s="2903"/>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903"/>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903"/>
      <c r="Y36" s="2024"/>
      <c r="Z36" s="2899"/>
      <c r="AA36" s="2900"/>
      <c r="AB36" s="2024"/>
      <c r="AC36" s="2901"/>
      <c r="AD36" s="2024"/>
    </row>
    <row r="37" spans="1:30" s="2041" customFormat="1" ht="12.75">
      <c r="A37" s="2902" t="s">
        <v>3361</v>
      </c>
      <c r="B37" s="2027">
        <v>2023</v>
      </c>
      <c r="C37" s="2038">
        <v>2</v>
      </c>
      <c r="D37" s="2003"/>
      <c r="E37" s="2003">
        <v>0.5</v>
      </c>
      <c r="F37" s="2003">
        <v>0.45</v>
      </c>
      <c r="G37" s="2003">
        <v>0.89</v>
      </c>
      <c r="H37" s="2914"/>
      <c r="I37" s="2004">
        <f t="shared" si="88"/>
        <v>0.45</v>
      </c>
      <c r="J37" s="2903"/>
      <c r="K37" s="2039"/>
      <c r="L37" s="2024">
        <f t="shared" si="98"/>
        <v>5.0000000000000001E-3</v>
      </c>
      <c r="M37" s="2024">
        <f t="shared" si="99"/>
        <v>4.5000000000000005E-3</v>
      </c>
      <c r="N37" s="2024">
        <f t="shared" si="100"/>
        <v>8.8999999999999999E-3</v>
      </c>
      <c r="O37" s="2024"/>
      <c r="P37" s="2024">
        <f t="shared" si="101"/>
        <v>4.5000000000000005E-3</v>
      </c>
      <c r="Q37" s="2903"/>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903"/>
      <c r="Y37" s="2024"/>
      <c r="Z37" s="2899"/>
      <c r="AA37" s="2900"/>
      <c r="AB37" s="2024"/>
      <c r="AC37" s="2901"/>
      <c r="AD37" s="2024"/>
    </row>
    <row r="38" spans="1:30" s="2041" customFormat="1" ht="12.75">
      <c r="A38" s="2902" t="s">
        <v>3359</v>
      </c>
      <c r="B38" s="2027">
        <v>2023</v>
      </c>
      <c r="C38" s="2038">
        <v>1</v>
      </c>
      <c r="D38" s="2003"/>
      <c r="E38" s="2003">
        <v>0.55000000000000004</v>
      </c>
      <c r="F38" s="2003">
        <v>0.59</v>
      </c>
      <c r="G38" s="2003">
        <v>0.64</v>
      </c>
      <c r="H38" s="2914"/>
      <c r="I38" s="2004">
        <f t="shared" si="88"/>
        <v>0.59</v>
      </c>
      <c r="J38" s="2903"/>
      <c r="K38" s="2039"/>
      <c r="L38" s="2024">
        <f t="shared" si="98"/>
        <v>5.5000000000000005E-3</v>
      </c>
      <c r="M38" s="2024">
        <f t="shared" si="99"/>
        <v>5.8999999999999999E-3</v>
      </c>
      <c r="N38" s="2024">
        <f t="shared" si="100"/>
        <v>6.4000000000000003E-3</v>
      </c>
      <c r="O38" s="2024"/>
      <c r="P38" s="2024">
        <f t="shared" si="101"/>
        <v>5.8999999999999999E-3</v>
      </c>
      <c r="Q38" s="2903"/>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903"/>
      <c r="Y38" s="2024"/>
      <c r="Z38" s="2899"/>
      <c r="AA38" s="2900"/>
      <c r="AB38" s="2024"/>
      <c r="AC38" s="2901"/>
      <c r="AD38" s="2024"/>
    </row>
    <row r="39" spans="1:30" s="2041" customFormat="1" ht="12.75">
      <c r="A39" s="2902" t="s">
        <v>3358</v>
      </c>
      <c r="B39" s="2027">
        <v>2022</v>
      </c>
      <c r="C39" s="2038">
        <v>4</v>
      </c>
      <c r="D39" s="2003"/>
      <c r="E39" s="2003">
        <v>0.45</v>
      </c>
      <c r="F39" s="2003">
        <v>0.2</v>
      </c>
      <c r="G39" s="2003">
        <v>0.38</v>
      </c>
      <c r="H39" s="2914"/>
      <c r="I39" s="2004">
        <f t="shared" si="88"/>
        <v>0.2</v>
      </c>
      <c r="J39" s="2903"/>
      <c r="K39" s="2039"/>
      <c r="L39" s="2024">
        <f t="shared" si="89"/>
        <v>4.5000000000000005E-3</v>
      </c>
      <c r="M39" s="2024">
        <f t="shared" si="89"/>
        <v>2E-3</v>
      </c>
      <c r="N39" s="2024">
        <f t="shared" si="89"/>
        <v>3.8E-3</v>
      </c>
      <c r="O39" s="2024"/>
      <c r="P39" s="2024">
        <f t="shared" ref="P39:P46" si="103">M39</f>
        <v>2E-3</v>
      </c>
      <c r="Q39" s="2903"/>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903"/>
      <c r="Y39" s="2024"/>
      <c r="Z39" s="2899">
        <f t="shared" ref="Z39:AD46" si="105">IF(E39=0,0,ROUND(AVERAGE(E39:E47)/100,4))</f>
        <v>4.0000000000000001E-3</v>
      </c>
      <c r="AA39" s="2900">
        <f t="shared" si="105"/>
        <v>2.5999999999999999E-3</v>
      </c>
      <c r="AB39" s="2024">
        <f t="shared" si="105"/>
        <v>7.4000000000000003E-3</v>
      </c>
      <c r="AC39" s="2901"/>
      <c r="AD39" s="2024">
        <f t="shared" si="105"/>
        <v>2.5999999999999999E-3</v>
      </c>
    </row>
    <row r="40" spans="1:30" s="2041" customFormat="1" ht="12.75">
      <c r="A40" s="2902" t="s">
        <v>3357</v>
      </c>
      <c r="B40" s="2027">
        <v>2022</v>
      </c>
      <c r="C40" s="2038">
        <v>3</v>
      </c>
      <c r="D40" s="2003"/>
      <c r="E40" s="2003">
        <v>0.3</v>
      </c>
      <c r="F40" s="2003">
        <v>0.28999999999999998</v>
      </c>
      <c r="G40" s="2003">
        <v>0.83</v>
      </c>
      <c r="H40" s="2914"/>
      <c r="I40" s="2004">
        <f t="shared" si="88"/>
        <v>0.28999999999999998</v>
      </c>
      <c r="J40" s="2903"/>
      <c r="K40" s="2039"/>
      <c r="L40" s="2024">
        <f t="shared" si="89"/>
        <v>3.0000000000000001E-3</v>
      </c>
      <c r="M40" s="2024">
        <f t="shared" si="89"/>
        <v>2.8999999999999998E-3</v>
      </c>
      <c r="N40" s="2024">
        <f t="shared" si="89"/>
        <v>8.3000000000000001E-3</v>
      </c>
      <c r="O40" s="2024"/>
      <c r="P40" s="2024">
        <f t="shared" si="103"/>
        <v>2.8999999999999998E-3</v>
      </c>
      <c r="Q40" s="2903"/>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903"/>
      <c r="Y40" s="2024"/>
      <c r="Z40" s="2899">
        <f t="shared" si="105"/>
        <v>3.8999999999999998E-3</v>
      </c>
      <c r="AA40" s="2900">
        <f t="shared" si="105"/>
        <v>2.7000000000000001E-3</v>
      </c>
      <c r="AB40" s="2024">
        <f t="shared" si="105"/>
        <v>7.9000000000000008E-3</v>
      </c>
      <c r="AC40" s="2901"/>
      <c r="AD40" s="2024">
        <f t="shared" si="105"/>
        <v>2.7000000000000001E-3</v>
      </c>
    </row>
    <row r="41" spans="1:30" s="2041" customFormat="1" ht="12.75">
      <c r="A41" s="2902" t="s">
        <v>3347</v>
      </c>
      <c r="B41" s="2027">
        <v>2022</v>
      </c>
      <c r="C41" s="2038">
        <v>2</v>
      </c>
      <c r="D41" s="2003"/>
      <c r="E41" s="2003">
        <v>-0.11</v>
      </c>
      <c r="F41" s="2003">
        <v>-0.13</v>
      </c>
      <c r="G41" s="2003">
        <v>0.53</v>
      </c>
      <c r="H41" s="2914"/>
      <c r="I41" s="2004">
        <f t="shared" si="88"/>
        <v>-0.13</v>
      </c>
      <c r="J41" s="2903"/>
      <c r="K41" s="2039"/>
      <c r="L41" s="2024">
        <f t="shared" si="89"/>
        <v>-1.1000000000000001E-3</v>
      </c>
      <c r="M41" s="2024">
        <f t="shared" si="89"/>
        <v>-1.2999999999999999E-3</v>
      </c>
      <c r="N41" s="2024">
        <f t="shared" si="89"/>
        <v>5.3E-3</v>
      </c>
      <c r="O41" s="2024"/>
      <c r="P41" s="2024">
        <f t="shared" si="103"/>
        <v>-1.2999999999999999E-3</v>
      </c>
      <c r="Q41" s="2903"/>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903"/>
      <c r="Y41" s="2024"/>
      <c r="Z41" s="2899">
        <f t="shared" si="105"/>
        <v>4.1000000000000003E-3</v>
      </c>
      <c r="AA41" s="2900">
        <f t="shared" si="105"/>
        <v>2.7000000000000001E-3</v>
      </c>
      <c r="AB41" s="2024">
        <f t="shared" si="105"/>
        <v>7.9000000000000008E-3</v>
      </c>
      <c r="AC41" s="2901"/>
      <c r="AD41" s="2024">
        <f t="shared" si="105"/>
        <v>2.7000000000000001E-3</v>
      </c>
    </row>
    <row r="42" spans="1:30" s="2041" customFormat="1" ht="12.75">
      <c r="A42" s="2902" t="s">
        <v>2827</v>
      </c>
      <c r="B42" s="2027">
        <v>2022</v>
      </c>
      <c r="C42" s="2038">
        <v>1</v>
      </c>
      <c r="D42" s="2003"/>
      <c r="E42" s="2003">
        <v>0.6</v>
      </c>
      <c r="F42" s="2003">
        <v>0.45</v>
      </c>
      <c r="G42" s="2003">
        <v>0.53</v>
      </c>
      <c r="H42" s="2914"/>
      <c r="I42" s="2004">
        <f t="shared" si="88"/>
        <v>0.45</v>
      </c>
      <c r="J42" s="2903"/>
      <c r="K42" s="2039"/>
      <c r="L42" s="2024">
        <f t="shared" si="89"/>
        <v>6.0000000000000001E-3</v>
      </c>
      <c r="M42" s="2024">
        <f t="shared" si="89"/>
        <v>4.5000000000000005E-3</v>
      </c>
      <c r="N42" s="2024">
        <f t="shared" si="89"/>
        <v>5.3E-3</v>
      </c>
      <c r="O42" s="2024"/>
      <c r="P42" s="2024">
        <f t="shared" si="103"/>
        <v>4.5000000000000005E-3</v>
      </c>
      <c r="Q42" s="2903"/>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903"/>
      <c r="Y42" s="2024"/>
      <c r="Z42" s="2899">
        <f t="shared" si="105"/>
        <v>5.1000000000000004E-3</v>
      </c>
      <c r="AA42" s="2900">
        <f t="shared" si="105"/>
        <v>3.5000000000000001E-3</v>
      </c>
      <c r="AB42" s="2024">
        <f t="shared" si="105"/>
        <v>8.3999999999999995E-3</v>
      </c>
      <c r="AC42" s="2901"/>
      <c r="AD42" s="2024">
        <f t="shared" si="105"/>
        <v>3.5000000000000001E-3</v>
      </c>
    </row>
    <row r="43" spans="1:30" s="2041" customFormat="1" ht="12.75">
      <c r="A43" s="2902" t="s">
        <v>2828</v>
      </c>
      <c r="B43" s="2027">
        <v>2021</v>
      </c>
      <c r="C43" s="2038">
        <v>4</v>
      </c>
      <c r="D43" s="2003"/>
      <c r="E43" s="2003">
        <v>0.57999999999999996</v>
      </c>
      <c r="F43" s="2003">
        <v>0.08</v>
      </c>
      <c r="G43" s="2003">
        <v>0.68</v>
      </c>
      <c r="H43" s="2914"/>
      <c r="I43" s="2004">
        <f t="shared" si="88"/>
        <v>0.08</v>
      </c>
      <c r="J43" s="2903"/>
      <c r="K43" s="2039"/>
      <c r="L43" s="2024">
        <f t="shared" si="89"/>
        <v>5.7999999999999996E-3</v>
      </c>
      <c r="M43" s="2024">
        <f t="shared" si="89"/>
        <v>8.0000000000000004E-4</v>
      </c>
      <c r="N43" s="2024">
        <f t="shared" si="89"/>
        <v>6.8000000000000005E-3</v>
      </c>
      <c r="O43" s="2024"/>
      <c r="P43" s="2024">
        <f t="shared" si="103"/>
        <v>8.0000000000000004E-4</v>
      </c>
      <c r="Q43" s="2903"/>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903"/>
      <c r="Y43" s="2024"/>
      <c r="Z43" s="2899">
        <f t="shared" si="105"/>
        <v>4.8999999999999998E-3</v>
      </c>
      <c r="AA43" s="2900">
        <f t="shared" si="105"/>
        <v>3.3E-3</v>
      </c>
      <c r="AB43" s="2024">
        <f t="shared" si="105"/>
        <v>9.1999999999999998E-3</v>
      </c>
      <c r="AC43" s="2901"/>
      <c r="AD43" s="2024">
        <f t="shared" si="105"/>
        <v>3.3E-3</v>
      </c>
    </row>
    <row r="44" spans="1:30" s="2041" customFormat="1" ht="12.75">
      <c r="A44" s="2902" t="s">
        <v>2829</v>
      </c>
      <c r="B44" s="2027">
        <v>2021</v>
      </c>
      <c r="C44" s="2038">
        <v>3</v>
      </c>
      <c r="D44" s="2003"/>
      <c r="E44" s="2003">
        <v>0.47</v>
      </c>
      <c r="F44" s="2003">
        <v>0.28000000000000003</v>
      </c>
      <c r="G44" s="2003">
        <v>0.91</v>
      </c>
      <c r="H44" s="2914"/>
      <c r="I44" s="2004">
        <f t="shared" si="88"/>
        <v>0.28000000000000003</v>
      </c>
      <c r="J44" s="2903"/>
      <c r="K44" s="2039"/>
      <c r="L44" s="2024">
        <f t="shared" si="89"/>
        <v>4.6999999999999993E-3</v>
      </c>
      <c r="M44" s="2024">
        <f t="shared" si="89"/>
        <v>2.8000000000000004E-3</v>
      </c>
      <c r="N44" s="2024">
        <f t="shared" si="89"/>
        <v>9.1000000000000004E-3</v>
      </c>
      <c r="O44" s="2024"/>
      <c r="P44" s="2024">
        <f t="shared" si="103"/>
        <v>2.8000000000000004E-3</v>
      </c>
      <c r="Q44" s="2903"/>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903"/>
      <c r="Y44" s="2024"/>
      <c r="Z44" s="2899">
        <f t="shared" si="105"/>
        <v>4.5999999999999999E-3</v>
      </c>
      <c r="AA44" s="2900">
        <f t="shared" si="105"/>
        <v>4.1000000000000003E-3</v>
      </c>
      <c r="AB44" s="2024">
        <f t="shared" si="105"/>
        <v>0.01</v>
      </c>
      <c r="AC44" s="2901"/>
      <c r="AD44" s="2024">
        <f t="shared" si="105"/>
        <v>4.1000000000000003E-3</v>
      </c>
    </row>
    <row r="45" spans="1:30" s="2041" customFormat="1" ht="12.75">
      <c r="A45" s="2902" t="s">
        <v>2830</v>
      </c>
      <c r="B45" s="2027">
        <v>2021</v>
      </c>
      <c r="C45" s="2038">
        <v>2</v>
      </c>
      <c r="D45" s="2003"/>
      <c r="E45" s="2003">
        <v>0.55000000000000004</v>
      </c>
      <c r="F45" s="2003">
        <v>0.46</v>
      </c>
      <c r="G45" s="2003">
        <v>1.1000000000000001</v>
      </c>
      <c r="H45" s="2914"/>
      <c r="I45" s="2004">
        <f t="shared" si="88"/>
        <v>0.46</v>
      </c>
      <c r="J45" s="2903"/>
      <c r="K45" s="2039"/>
      <c r="L45" s="2024">
        <f t="shared" si="89"/>
        <v>5.5000000000000005E-3</v>
      </c>
      <c r="M45" s="2024">
        <f t="shared" si="89"/>
        <v>4.5999999999999999E-3</v>
      </c>
      <c r="N45" s="2024">
        <f t="shared" si="89"/>
        <v>1.1000000000000001E-2</v>
      </c>
      <c r="O45" s="2024"/>
      <c r="P45" s="2024">
        <f t="shared" si="103"/>
        <v>4.5999999999999999E-3</v>
      </c>
      <c r="Q45" s="2903"/>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903"/>
      <c r="Y45" s="2024"/>
      <c r="Z45" s="2899">
        <f t="shared" si="105"/>
        <v>4.4999999999999997E-3</v>
      </c>
      <c r="AA45" s="2900">
        <f t="shared" si="105"/>
        <v>4.7000000000000002E-3</v>
      </c>
      <c r="AB45" s="2024">
        <f t="shared" si="105"/>
        <v>1.04E-2</v>
      </c>
      <c r="AC45" s="2901"/>
      <c r="AD45" s="2024">
        <f t="shared" si="105"/>
        <v>4.7000000000000002E-3</v>
      </c>
    </row>
    <row r="46" spans="1:30" s="2925" customFormat="1" thickBot="1">
      <c r="A46" s="2915" t="s">
        <v>2816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55" t="s">
        <v>452</v>
      </c>
      <c r="C1" s="3555"/>
      <c r="D1" s="3555"/>
      <c r="E1" s="3555"/>
      <c r="F1" s="3555"/>
      <c r="G1" s="3551" t="s">
        <v>453</v>
      </c>
      <c r="H1" s="3551"/>
      <c r="I1" s="3551"/>
      <c r="J1" s="3551"/>
      <c r="K1" s="3551"/>
      <c r="L1" s="3551"/>
      <c r="N1" s="3551" t="s">
        <v>454</v>
      </c>
      <c r="O1" s="3551"/>
      <c r="P1" s="3551"/>
      <c r="Q1" s="3551"/>
      <c r="S1" s="3551" t="s">
        <v>455</v>
      </c>
      <c r="T1" s="3551"/>
      <c r="U1" s="3551"/>
      <c r="V1" s="3551"/>
      <c r="X1" s="3550" t="s">
        <v>456</v>
      </c>
      <c r="Y1" s="3551"/>
      <c r="Z1" s="3551"/>
      <c r="AA1" s="3551"/>
      <c r="AB1" s="3551"/>
      <c r="AD1" s="3550" t="s">
        <v>457</v>
      </c>
      <c r="AE1" s="3551"/>
      <c r="AF1" s="3551"/>
      <c r="AG1" s="3551"/>
      <c r="AH1" s="3551"/>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2113</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3355</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3352</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2114</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3353</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3354</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2428</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2305</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2304</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2303</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2300</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2299</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2129</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2127</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2126</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2125</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2123</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2122</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2124</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53">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2120</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53"/>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2119</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53"/>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2112</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60"/>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2110</v>
      </c>
      <c r="B25" s="2045">
        <v>439</v>
      </c>
      <c r="C25" s="2045">
        <v>327</v>
      </c>
      <c r="D25" s="2045">
        <f>C25</f>
        <v>327</v>
      </c>
      <c r="E25" s="2045">
        <v>627</v>
      </c>
      <c r="F25" s="2046">
        <v>283</v>
      </c>
      <c r="G25" s="3556">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2111</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53"/>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53"/>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60"/>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56">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53"/>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53"/>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54"/>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52">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53"/>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53"/>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54"/>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52">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53"/>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53"/>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54"/>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57">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58"/>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58"/>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59"/>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52">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53"/>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53"/>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54"/>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52">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53">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53">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54">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52">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53">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53">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54">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52">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53">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53">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54">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52">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53">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53">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54">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52">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53">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53">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54">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52">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53">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53">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54">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52">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53">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53">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54">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52">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53">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53">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54">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52">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53">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53">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54">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52">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53">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53">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54">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D15" sqref="D15"/>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45463</v>
      </c>
      <c r="D1" s="1215" t="s">
        <v>603</v>
      </c>
      <c r="E1" s="1210">
        <f>'数据-取费表'!B22</f>
        <v>2.5</v>
      </c>
      <c r="F1" s="1215" t="s">
        <v>604</v>
      </c>
      <c r="G1" s="1211">
        <f ca="1">INDIRECT("d"&amp;$K$1)/100</f>
        <v>3.4500000000000003E-2</v>
      </c>
      <c r="H1" s="1215" t="s">
        <v>634</v>
      </c>
      <c r="I1" s="1211">
        <f ca="1">F4/100</f>
        <v>1.4999999999999999E-2</v>
      </c>
      <c r="J1" s="1216">
        <f>IF(C1&gt;C13,0,MATCH(C1,C$13:C$114,-1))+IF(SUMIF(C13:C114,C1,D13:D114)=0,13,12)</f>
        <v>15</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3.45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3.45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3.45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3.45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3.95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2">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3"/>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2301</v>
      </c>
      <c r="C26" s="1205">
        <v>43697</v>
      </c>
      <c r="D26" s="2571">
        <v>4.25</v>
      </c>
      <c r="E26" s="2571">
        <v>4.25</v>
      </c>
      <c r="F26" s="2571">
        <v>4.25</v>
      </c>
      <c r="G26" s="2571">
        <v>4.25</v>
      </c>
      <c r="H26" s="2571">
        <v>4.8499999999999996</v>
      </c>
      <c r="I26" s="2571"/>
      <c r="J26" s="2571"/>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4"/>
      <c r="C27" s="2575">
        <v>42301</v>
      </c>
      <c r="D27" s="2576">
        <v>4.3499999999999996</v>
      </c>
      <c r="E27" s="2576">
        <v>4.3499999999999996</v>
      </c>
      <c r="F27" s="2576">
        <v>4.75</v>
      </c>
      <c r="G27" s="2576">
        <v>4.75</v>
      </c>
      <c r="H27" s="2576">
        <v>4.9000000000000004</v>
      </c>
      <c r="I27" s="2576"/>
      <c r="J27" s="2576"/>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7" t="s">
        <v>949</v>
      </c>
      <c r="B1" s="3237"/>
      <c r="C1" s="3237"/>
      <c r="D1" s="3237"/>
    </row>
    <row r="2" spans="1:4" ht="18">
      <c r="A2" s="3238" t="s">
        <v>933</v>
      </c>
      <c r="B2" s="3238"/>
      <c r="C2" s="3238"/>
      <c r="D2" s="3238"/>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38" t="s">
        <v>939</v>
      </c>
      <c r="B6" s="3238"/>
      <c r="C6" s="3238"/>
      <c r="D6" s="3238"/>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39" t="s">
        <v>942</v>
      </c>
      <c r="B11" s="3240"/>
      <c r="C11" s="3240"/>
      <c r="D11" s="3240"/>
    </row>
    <row r="12" spans="1:4" ht="15.75">
      <c r="A12" s="32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40" t="str">
        <f>IF(项目基本情况!B8="抵押","4.本次评估估价师所知悉的法定优先受偿款情况说明如下：","——")</f>
        <v>4.本次评估估价师所知悉的法定优先受偿款情况说明如下：</v>
      </c>
      <c r="B14" s="3241"/>
      <c r="C14" s="3241"/>
      <c r="D14" s="3241"/>
    </row>
    <row r="15" spans="1:4" ht="42" customHeight="1">
      <c r="A15" s="32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0"/>
      <c r="C15" s="3240"/>
      <c r="D15" s="3240"/>
    </row>
    <row r="16" spans="1:4" ht="30" customHeight="1">
      <c r="A16" s="3243" t="s">
        <v>943</v>
      </c>
      <c r="B16" s="3243"/>
      <c r="C16" s="3243"/>
      <c r="D16" s="3243"/>
    </row>
    <row r="17" spans="1:4" ht="144" customHeight="1">
      <c r="A17" s="3243" t="s">
        <v>944</v>
      </c>
      <c r="B17" s="3243"/>
      <c r="C17" s="3243"/>
      <c r="D17" s="3243"/>
    </row>
    <row r="18" spans="1:4" ht="15.75" customHeight="1">
      <c r="A18" s="3240" t="str">
        <f>IF(项目基本情况!B8="抵押",结果表!K120,"——")</f>
        <v>故，本次评估不存在估价师知悉的法定优先受偿款</v>
      </c>
      <c r="B18" s="3240"/>
      <c r="C18" s="3240"/>
      <c r="D18" s="3240"/>
    </row>
    <row r="19" spans="1:4" ht="46.5" customHeight="1">
      <c r="A19" s="32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0"/>
      <c r="C19" s="3240"/>
      <c r="D19" s="3240"/>
    </row>
    <row r="20" spans="1:4" ht="57.75" customHeight="1">
      <c r="A20" s="32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0"/>
      <c r="C20" s="3240"/>
      <c r="D20" s="3240"/>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4"/>
      <c r="C21" s="3244"/>
      <c r="D21" s="3244"/>
    </row>
    <row r="22" spans="1:4" ht="18.75" customHeight="1">
      <c r="A22" s="3245" t="s">
        <v>945</v>
      </c>
      <c r="B22" s="3245"/>
      <c r="C22" s="3245"/>
      <c r="D22" s="3245"/>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242">
        <v>42551</v>
      </c>
      <c r="D31" s="324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51" t="s">
        <v>956</v>
      </c>
      <c r="B15" s="3246" t="s">
        <v>109</v>
      </c>
      <c r="C15" s="3247"/>
    </row>
    <row r="16" spans="1:7" ht="13.5">
      <c r="A16" s="3252"/>
      <c r="B16" s="3246" t="s">
        <v>42</v>
      </c>
      <c r="C16" s="3247"/>
    </row>
    <row r="17" spans="1:3" ht="13.5">
      <c r="A17" s="3252"/>
      <c r="B17" s="3249" t="s">
        <v>957</v>
      </c>
      <c r="C17" s="1427" t="s">
        <v>956</v>
      </c>
    </row>
    <row r="18" spans="1:3" ht="13.5">
      <c r="A18" s="3252"/>
      <c r="B18" s="3249"/>
      <c r="C18" s="1427" t="s">
        <v>958</v>
      </c>
    </row>
    <row r="19" spans="1:3" ht="13.5">
      <c r="A19" s="3252"/>
      <c r="B19" s="3249"/>
      <c r="C19" s="1427" t="s">
        <v>959</v>
      </c>
    </row>
    <row r="20" spans="1:3" ht="13.5">
      <c r="A20" s="3253"/>
      <c r="B20" s="3248" t="s">
        <v>960</v>
      </c>
      <c r="C20" s="3247"/>
    </row>
    <row r="21" spans="1:3" ht="13.5">
      <c r="A21" s="1428" t="s">
        <v>961</v>
      </c>
      <c r="B21" s="1429"/>
      <c r="C21" s="1430"/>
    </row>
    <row r="22" spans="1:3" ht="13.5">
      <c r="A22" s="3250" t="s">
        <v>962</v>
      </c>
      <c r="B22" s="3248" t="s">
        <v>963</v>
      </c>
      <c r="C22" s="3247"/>
    </row>
    <row r="23" spans="1:3" ht="13.5">
      <c r="A23" s="3250"/>
      <c r="B23" s="3248" t="s">
        <v>964</v>
      </c>
      <c r="C23" s="3247"/>
    </row>
    <row r="24" spans="1:3" ht="13.5">
      <c r="A24" s="3250"/>
      <c r="B24" s="3248" t="s">
        <v>965</v>
      </c>
      <c r="C24" s="3247"/>
    </row>
    <row r="25" spans="1:3" ht="13.5">
      <c r="A25" s="3250"/>
      <c r="B25" s="3249" t="s">
        <v>966</v>
      </c>
      <c r="C25" s="1427" t="s">
        <v>967</v>
      </c>
    </row>
    <row r="26" spans="1:3" ht="13.5">
      <c r="A26" s="3250"/>
      <c r="B26" s="3249"/>
      <c r="C26" s="1427" t="s">
        <v>968</v>
      </c>
    </row>
    <row r="27" spans="1:3" ht="13.5">
      <c r="A27" s="3250"/>
      <c r="B27" s="3249"/>
      <c r="C27" s="1427" t="s">
        <v>969</v>
      </c>
    </row>
    <row r="28" spans="1:3" ht="13.5">
      <c r="A28" s="3250"/>
      <c r="B28" s="3249"/>
      <c r="C28" s="1427" t="s">
        <v>970</v>
      </c>
    </row>
    <row r="29" spans="1:3" ht="13.5">
      <c r="A29" s="3250"/>
      <c r="B29" s="3249"/>
      <c r="C29" s="1427" t="s">
        <v>971</v>
      </c>
    </row>
    <row r="30" spans="1:3" ht="13.5">
      <c r="A30" s="3250"/>
      <c r="B30" s="3249"/>
      <c r="C30" s="1427" t="s">
        <v>972</v>
      </c>
    </row>
    <row r="31" spans="1:3" ht="13.5">
      <c r="A31" s="3250"/>
      <c r="B31" s="3249"/>
      <c r="C31" s="1427" t="s">
        <v>973</v>
      </c>
    </row>
    <row r="32" spans="1:3" ht="13.5">
      <c r="A32" s="3250"/>
      <c r="B32" s="3249"/>
      <c r="C32" s="1427" t="s">
        <v>974</v>
      </c>
    </row>
    <row r="33" spans="1:3" ht="13.5">
      <c r="A33" s="3250"/>
      <c r="B33" s="3249"/>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2138</v>
      </c>
      <c r="B2" s="2153">
        <f ca="1">TODAY()</f>
        <v>45635</v>
      </c>
      <c r="C2" s="2154" t="s">
        <v>2139</v>
      </c>
      <c r="D2" s="2154"/>
      <c r="E2" s="2154"/>
      <c r="F2" s="2150"/>
      <c r="G2" s="2150"/>
      <c r="H2" s="2150"/>
    </row>
    <row r="3" spans="1:8" ht="24" customHeight="1">
      <c r="A3" s="2155" t="s">
        <v>2140</v>
      </c>
      <c r="B3" s="1217" t="s">
        <v>2141</v>
      </c>
      <c r="C3" s="1217" t="s">
        <v>2142</v>
      </c>
      <c r="D3" s="2156" t="s">
        <v>2143</v>
      </c>
      <c r="E3" s="2157" t="s">
        <v>2144</v>
      </c>
      <c r="F3" s="1217" t="s">
        <v>2145</v>
      </c>
      <c r="G3" s="1217" t="s">
        <v>2142</v>
      </c>
      <c r="H3" s="2156" t="s">
        <v>2146</v>
      </c>
    </row>
    <row r="4" spans="1:8" ht="24" customHeight="1">
      <c r="A4" s="1217" t="s">
        <v>2147</v>
      </c>
      <c r="B4" s="1217">
        <f ca="1">IF(C4&lt;B2,"已过期",1119970066)</f>
        <v>1119970066</v>
      </c>
      <c r="C4" s="2158">
        <v>45937</v>
      </c>
      <c r="D4" s="2159" t="str">
        <f ca="1">A4&amp;"（注册号："&amp;B4&amp;"）"</f>
        <v>梁津（注册号：1119970066）</v>
      </c>
      <c r="E4" s="2160" t="s">
        <v>2147</v>
      </c>
      <c r="F4" s="1217">
        <f ca="1">IF(G4&lt;B2,"已过期",96010014)</f>
        <v>96010014</v>
      </c>
      <c r="G4" s="2161">
        <v>47118</v>
      </c>
      <c r="H4" s="2162" t="str">
        <f ca="1">E4&amp;"（注册号："&amp;F4&amp;"）"</f>
        <v>梁津（注册号：96010014）</v>
      </c>
    </row>
    <row r="5" spans="1:8" ht="24" customHeight="1">
      <c r="A5" s="1217" t="s">
        <v>2148</v>
      </c>
      <c r="B5" s="1217">
        <f ca="1">IF(C5&lt;B2,"已过期",1119970111)</f>
        <v>1119970111</v>
      </c>
      <c r="C5" s="2158">
        <v>45937</v>
      </c>
      <c r="D5" s="2159" t="str">
        <f t="shared" ref="D5:D15" ca="1" si="0">A5&amp;"（注册号："&amp;B5&amp;"）"</f>
        <v>叶凌（注册号：1119970111）</v>
      </c>
      <c r="E5" s="2160" t="s">
        <v>2148</v>
      </c>
      <c r="F5" s="1217">
        <f ca="1">IF(G5&lt;B2,"已过期",94010078)</f>
        <v>94010078</v>
      </c>
      <c r="G5" s="2161">
        <v>46387</v>
      </c>
      <c r="H5" s="2162" t="str">
        <f t="shared" ref="H5:H16" ca="1" si="1">E5&amp;"（注册号："&amp;F5&amp;"）"</f>
        <v>叶凌（注册号：94010078）</v>
      </c>
    </row>
    <row r="6" spans="1:8" ht="24" customHeight="1">
      <c r="A6" s="1217" t="s">
        <v>2149</v>
      </c>
      <c r="B6" s="1217" t="str">
        <f ca="1">IF(C6&lt;B2,"已过期",1120050019)</f>
        <v>已过期</v>
      </c>
      <c r="C6" s="2158">
        <v>45410</v>
      </c>
      <c r="D6" s="2159" t="str">
        <f t="shared" ca="1" si="0"/>
        <v>王鹏（注册号：已过期）</v>
      </c>
      <c r="E6" s="2160" t="s">
        <v>2149</v>
      </c>
      <c r="F6" s="1217">
        <f ca="1">IF(G6&lt;B2,"已过期",2002110030)</f>
        <v>2002110030</v>
      </c>
      <c r="G6" s="2161">
        <v>46387</v>
      </c>
      <c r="H6" s="2162" t="str">
        <f t="shared" ca="1" si="1"/>
        <v>王鹏（注册号：2002110030）</v>
      </c>
    </row>
    <row r="7" spans="1:8" ht="24" customHeight="1">
      <c r="A7" s="1217" t="s">
        <v>2150</v>
      </c>
      <c r="B7" s="1217">
        <f ca="1">IF(C7&lt;B2,"已过期",1120000080)</f>
        <v>1120000080</v>
      </c>
      <c r="C7" s="2158">
        <v>45937</v>
      </c>
      <c r="D7" s="2159" t="str">
        <f t="shared" ca="1" si="0"/>
        <v>欧红伟（注册号：1120000080）</v>
      </c>
      <c r="E7" s="2160" t="s">
        <v>2150</v>
      </c>
      <c r="F7" s="1217">
        <f ca="1">IF(G7&lt;B2,"已过期",2000110082)</f>
        <v>2000110082</v>
      </c>
      <c r="G7" s="2161">
        <v>46387</v>
      </c>
      <c r="H7" s="2162" t="str">
        <f t="shared" ca="1" si="1"/>
        <v>欧红伟（注册号：2000110082）</v>
      </c>
    </row>
    <row r="8" spans="1:8" ht="24" customHeight="1">
      <c r="A8" s="1217" t="s">
        <v>2151</v>
      </c>
      <c r="B8" s="1217">
        <f ca="1">IF(C8&lt;B2,"已过期",1419970001)</f>
        <v>1419970001</v>
      </c>
      <c r="C8" s="2158">
        <v>45937</v>
      </c>
      <c r="D8" s="2159" t="str">
        <f t="shared" ca="1" si="0"/>
        <v>吴薇（注册号：1419970001）</v>
      </c>
      <c r="E8" s="2160" t="s">
        <v>2151</v>
      </c>
      <c r="F8" s="1217">
        <f ca="1">IF(G8&lt;B2,"已过期",2002110125)</f>
        <v>2002110125</v>
      </c>
      <c r="G8" s="2161">
        <v>47118</v>
      </c>
      <c r="H8" s="2162" t="str">
        <f t="shared" ca="1" si="1"/>
        <v>吴薇（注册号：2002110125）</v>
      </c>
    </row>
    <row r="9" spans="1:8" ht="24" customHeight="1">
      <c r="A9" s="1217" t="s">
        <v>2152</v>
      </c>
      <c r="B9" s="1217" t="str">
        <f ca="1">IF(C9&lt;B2,"已过期",1120060040)</f>
        <v>已过期</v>
      </c>
      <c r="C9" s="2163">
        <v>45592</v>
      </c>
      <c r="D9" s="2159" t="str">
        <f t="shared" ca="1" si="0"/>
        <v>陈颖（注册号：已过期）</v>
      </c>
      <c r="E9" s="2160" t="s">
        <v>2152</v>
      </c>
      <c r="F9" s="1217">
        <f ca="1">IF(G9&lt;B2,"已过期",2004110096)</f>
        <v>2004110096</v>
      </c>
      <c r="G9" s="2161">
        <v>47118</v>
      </c>
      <c r="H9" s="2162" t="str">
        <f t="shared" ca="1" si="1"/>
        <v>陈颖（注册号：2004110096）</v>
      </c>
    </row>
    <row r="10" spans="1:8" ht="24" customHeight="1">
      <c r="A10" s="1217" t="s">
        <v>2153</v>
      </c>
      <c r="B10" s="1217">
        <f ca="1">IF(C10&lt;B2,"已过期",1120100036)</f>
        <v>1120100036</v>
      </c>
      <c r="C10" s="2163">
        <v>45752</v>
      </c>
      <c r="D10" s="2159" t="str">
        <f t="shared" ca="1" si="0"/>
        <v>崔锴（注册号：1120100036）</v>
      </c>
      <c r="E10" s="2160" t="s">
        <v>2153</v>
      </c>
      <c r="F10" s="1217">
        <f ca="1">IF(G10&lt;B2,"已过期",2010110070)</f>
        <v>2010110070</v>
      </c>
      <c r="G10" s="2161">
        <v>47907</v>
      </c>
      <c r="H10" s="2162" t="str">
        <f t="shared" ca="1" si="1"/>
        <v>崔锴（注册号：2010110070）</v>
      </c>
    </row>
    <row r="11" spans="1:8" ht="24" customHeight="1">
      <c r="A11" s="1217" t="s">
        <v>2154</v>
      </c>
      <c r="B11" s="1217">
        <f ca="1">IF(C11&lt;B2,"已过期",1120070131)</f>
        <v>1120070131</v>
      </c>
      <c r="C11" s="2158">
        <v>45937</v>
      </c>
      <c r="D11" s="2159" t="str">
        <f t="shared" ca="1" si="0"/>
        <v>郑燚（注册号：1120070131）</v>
      </c>
      <c r="E11" s="2160" t="s">
        <v>2154</v>
      </c>
      <c r="F11" s="1217">
        <f ca="1">IF(G11&lt;B2,"已过期",2014110011)</f>
        <v>2014110011</v>
      </c>
      <c r="G11" s="2161">
        <v>49302</v>
      </c>
      <c r="H11" s="2162" t="str">
        <f t="shared" ca="1" si="1"/>
        <v>郑燚（注册号：2014110011）</v>
      </c>
    </row>
    <row r="12" spans="1:8" ht="24" customHeight="1">
      <c r="A12" s="1217" t="s">
        <v>2155</v>
      </c>
      <c r="B12" s="1217">
        <f ca="1">IF(C12&lt;B2,"已过期",1120040230)</f>
        <v>1120040230</v>
      </c>
      <c r="C12" s="2163">
        <v>45937</v>
      </c>
      <c r="D12" s="2159" t="str">
        <f t="shared" ca="1" si="0"/>
        <v>苏海（注册号：1120040230）</v>
      </c>
      <c r="E12" s="2160" t="s">
        <v>2155</v>
      </c>
      <c r="F12" s="1217">
        <f ca="1">IF(G12&lt;B2,"已过期",98030020)</f>
        <v>98030020</v>
      </c>
      <c r="G12" s="2161">
        <v>47118</v>
      </c>
      <c r="H12" s="2162" t="str">
        <f t="shared" ca="1" si="1"/>
        <v>苏海（注册号：98030020）</v>
      </c>
    </row>
    <row r="13" spans="1:8" ht="24" customHeight="1">
      <c r="A13" s="1217" t="s">
        <v>2156</v>
      </c>
      <c r="B13" s="1217" t="str">
        <f ca="1">IF(C13&lt;B2,"已过期",1120020033)</f>
        <v>已过期</v>
      </c>
      <c r="C13" s="2158">
        <v>45375</v>
      </c>
      <c r="D13" s="2159" t="str">
        <f t="shared" ca="1" si="0"/>
        <v>刘敬东（注册号：已过期）</v>
      </c>
      <c r="E13" s="2160" t="s">
        <v>2156</v>
      </c>
      <c r="F13" s="1217">
        <f ca="1">IF(G13&lt;B2,"已过期",2000110137)</f>
        <v>2000110137</v>
      </c>
      <c r="G13" s="2161">
        <v>46387</v>
      </c>
      <c r="H13" s="2162" t="str">
        <f t="shared" ca="1" si="1"/>
        <v>刘敬东（注册号：2000110137）</v>
      </c>
    </row>
    <row r="14" spans="1:8" ht="24" customHeight="1">
      <c r="A14" s="1217" t="s">
        <v>2157</v>
      </c>
      <c r="B14" s="1217" t="str">
        <f ca="1">IF(C14&lt;B2,"已过期",1119980106)</f>
        <v>已过期</v>
      </c>
      <c r="C14" s="2163">
        <v>44969</v>
      </c>
      <c r="D14" s="2159" t="str">
        <f t="shared" ca="1" si="0"/>
        <v>刘俊财（注册号：已过期）</v>
      </c>
      <c r="E14" s="2160" t="s">
        <v>2157</v>
      </c>
      <c r="F14" s="1217">
        <f ca="1">IF(G14&lt;B2,"已过期",96010063)</f>
        <v>96010063</v>
      </c>
      <c r="G14" s="2161">
        <v>47483</v>
      </c>
      <c r="H14" s="2162" t="str">
        <f t="shared" ca="1" si="1"/>
        <v>刘俊财（注册号：96010063）</v>
      </c>
    </row>
    <row r="15" spans="1:8" ht="24" customHeight="1">
      <c r="A15" s="1217" t="s">
        <v>2429</v>
      </c>
      <c r="B15" s="1217">
        <v>1120210056</v>
      </c>
      <c r="C15" s="2163">
        <v>45410</v>
      </c>
      <c r="D15" s="2159" t="str">
        <f t="shared" si="0"/>
        <v>宁小鳗（注册号：1120210056）</v>
      </c>
      <c r="E15" s="2160" t="s">
        <v>2158</v>
      </c>
      <c r="F15" s="1217">
        <f ca="1">IF(G15&lt;B2,"已过期",2011110090)</f>
        <v>2011110090</v>
      </c>
      <c r="G15" s="2161">
        <v>48302</v>
      </c>
      <c r="H15" s="2162" t="str">
        <f t="shared" ca="1" si="1"/>
        <v>赵雯（注册号：2011110090）</v>
      </c>
    </row>
    <row r="16" spans="1:8" ht="24" customHeight="1">
      <c r="A16" s="1217"/>
      <c r="B16" s="1217"/>
      <c r="C16" s="1217"/>
      <c r="D16" s="2159" t="str">
        <f>A16&amp;"（注册号："&amp;B16&amp;"）"</f>
        <v>（注册号：）</v>
      </c>
      <c r="E16" s="2160"/>
      <c r="F16" s="1217"/>
      <c r="G16" s="1217"/>
      <c r="H16" s="2164" t="str">
        <f t="shared" si="1"/>
        <v>（注册号：）</v>
      </c>
    </row>
    <row r="17" spans="1:8" ht="24" customHeight="1">
      <c r="A17" s="3254" t="s">
        <v>2159</v>
      </c>
      <c r="B17" s="3254"/>
      <c r="C17" s="3254"/>
      <c r="D17" s="3254"/>
      <c r="E17" s="3254"/>
      <c r="F17" s="3254"/>
      <c r="G17" s="3254"/>
      <c r="H17" s="3254"/>
    </row>
    <row r="18" spans="1:8" ht="24" customHeight="1">
      <c r="A18" s="3255" t="s">
        <v>2160</v>
      </c>
      <c r="B18" s="3255"/>
      <c r="C18" s="3255"/>
      <c r="D18" s="2156"/>
      <c r="E18" s="3256" t="s">
        <v>2161</v>
      </c>
      <c r="F18" s="3255"/>
      <c r="G18" s="3255"/>
    </row>
    <row r="19" spans="1:8" s="2166" customFormat="1" ht="24" customHeight="1">
      <c r="A19" s="2165" t="s">
        <v>2162</v>
      </c>
      <c r="B19" s="1217" t="s">
        <v>2163</v>
      </c>
      <c r="C19" s="1217" t="s">
        <v>2142</v>
      </c>
      <c r="D19" s="2156"/>
      <c r="E19" s="2160" t="s">
        <v>2162</v>
      </c>
      <c r="F19" s="1217" t="s">
        <v>2163</v>
      </c>
      <c r="G19" s="1217" t="s">
        <v>2142</v>
      </c>
    </row>
    <row r="20" spans="1:8" s="2166" customFormat="1" ht="24" customHeight="1">
      <c r="A20" s="2167" t="s">
        <v>2164</v>
      </c>
      <c r="B20" s="2167" t="s">
        <v>2165</v>
      </c>
      <c r="C20" s="2161">
        <v>45898</v>
      </c>
      <c r="D20" s="2168"/>
      <c r="E20" s="2169" t="s">
        <v>2166</v>
      </c>
      <c r="F20" s="2172" t="s">
        <v>2430</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84" priority="32" stopIfTrue="1" operator="equal">
      <formula>"已过期"</formula>
    </cfRule>
  </conditionalFormatting>
  <conditionalFormatting sqref="B4:B15">
    <cfRule type="cellIs" dxfId="183" priority="4" stopIfTrue="1" operator="equal">
      <formula>"已过期"</formula>
    </cfRule>
  </conditionalFormatting>
  <conditionalFormatting sqref="C7:C12">
    <cfRule type="expression" dxfId="182" priority="22">
      <formula>AND($C7-TODAY()&lt;30,TODAY()&lt;$C7)</formula>
    </cfRule>
    <cfRule type="cellIs" dxfId="181" priority="23" stopIfTrue="1" operator="lessThan">
      <formula>$B$2</formula>
    </cfRule>
  </conditionalFormatting>
  <conditionalFormatting sqref="C14:C15">
    <cfRule type="expression" dxfId="180" priority="7">
      <formula>AND($C14-TODAY()&lt;30,TODAY()&lt;$C14)</formula>
    </cfRule>
    <cfRule type="cellIs" dxfId="179" priority="8" stopIfTrue="1" operator="lessThan">
      <formula>$B$2</formula>
    </cfRule>
  </conditionalFormatting>
  <conditionalFormatting sqref="C4:D6 D14">
    <cfRule type="cellIs" dxfId="178" priority="50" stopIfTrue="1" operator="lessThan">
      <formula>$B$2</formula>
    </cfRule>
  </conditionalFormatting>
  <conditionalFormatting sqref="C12:D13">
    <cfRule type="expression" dxfId="177" priority="47">
      <formula>AND($C12-TODAY()&lt;30,TODAY()&lt;$C12)</formula>
    </cfRule>
  </conditionalFormatting>
  <conditionalFormatting sqref="C13:D14">
    <cfRule type="expression" dxfId="176" priority="18">
      <formula>AND($C13-TODAY()&lt;30,TODAY()&lt;$C13)</formula>
    </cfRule>
    <cfRule type="cellIs" dxfId="175" priority="19" stopIfTrue="1" operator="lessThan">
      <formula>$B$2</formula>
    </cfRule>
  </conditionalFormatting>
  <conditionalFormatting sqref="C15:D15">
    <cfRule type="expression" dxfId="174" priority="5">
      <formula>AND($C15-TODAY()&lt;30,TODAY()&lt;$C15)</formula>
    </cfRule>
    <cfRule type="cellIs" dxfId="173" priority="6" stopIfTrue="1" operator="lessThan">
      <formula>$B$2</formula>
    </cfRule>
  </conditionalFormatting>
  <conditionalFormatting sqref="C20:D20 C13:D13">
    <cfRule type="cellIs" dxfId="172" priority="54" stopIfTrue="1" operator="lessThan">
      <formula>$B$2</formula>
    </cfRule>
  </conditionalFormatting>
  <conditionalFormatting sqref="C20:D20">
    <cfRule type="expression" dxfId="171" priority="52">
      <formula>AND($C20-TODAY()&lt;30,TODAY()&lt;$C20)</formula>
    </cfRule>
  </conditionalFormatting>
  <conditionalFormatting sqref="D7:D12 D16">
    <cfRule type="expression" dxfId="170" priority="53">
      <formula>AND($C7-TODAY()&lt;30,TODAY()&lt;$C7)</formula>
    </cfRule>
  </conditionalFormatting>
  <conditionalFormatting sqref="D7:D12">
    <cfRule type="cellIs" dxfId="169" priority="48" stopIfTrue="1" operator="lessThan">
      <formula>$B$2</formula>
    </cfRule>
  </conditionalFormatting>
  <conditionalFormatting sqref="D14 C4:D6">
    <cfRule type="expression" dxfId="168" priority="49">
      <formula>AND($C4-TODAY()&lt;30,TODAY()&lt;$C4)</formula>
    </cfRule>
  </conditionalFormatting>
  <conditionalFormatting sqref="D15:D16">
    <cfRule type="expression" dxfId="167" priority="12">
      <formula>AND($C15-TODAY()&lt;30,TODAY()&lt;$C15)</formula>
    </cfRule>
    <cfRule type="cellIs" dxfId="166" priority="13" stopIfTrue="1" operator="lessThan">
      <formula>$B$2</formula>
    </cfRule>
  </conditionalFormatting>
  <conditionalFormatting sqref="E16:G16">
    <cfRule type="cellIs" dxfId="165" priority="31" stopIfTrue="1" operator="equal">
      <formula>"已过期"</formula>
    </cfRule>
  </conditionalFormatting>
  <conditionalFormatting sqref="F4:F15">
    <cfRule type="cellIs" dxfId="164" priority="9" stopIfTrue="1" operator="equal">
      <formula>"已过期"</formula>
    </cfRule>
  </conditionalFormatting>
  <conditionalFormatting sqref="G4:G15">
    <cfRule type="cellIs" dxfId="163" priority="3" stopIfTrue="1" operator="lessThan">
      <formula>$B$2</formula>
    </cfRule>
  </conditionalFormatting>
  <conditionalFormatting sqref="G20:G21">
    <cfRule type="expression" dxfId="162" priority="1" stopIfTrue="1">
      <formula>AND(#REF!-TODAY()&lt;30,TODAY()&lt;#REF!)</formula>
    </cfRule>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Sheet1</vt:lpstr>
      <vt:lpstr>Sheet2</vt:lpstr>
      <vt:lpstr>定义</vt:lpstr>
      <vt:lpstr>项目基本情况</vt:lpstr>
      <vt:lpstr>数据-基础表</vt:lpstr>
      <vt:lpstr>数据-汇总表</vt:lpstr>
      <vt:lpstr>数据-取费表</vt:lpstr>
      <vt:lpstr>估价对象房地状况</vt:lpstr>
      <vt:lpstr>系统读取表</vt:lpstr>
      <vt:lpstr>结果表</vt:lpstr>
      <vt:lpstr>土地案例</vt:lpstr>
      <vt:lpstr>成本法</vt:lpstr>
      <vt:lpstr>成本法 (元)</vt:lpstr>
      <vt:lpstr>假设开发法</vt:lpstr>
      <vt:lpstr>收益法 (元)</vt:lpstr>
      <vt:lpstr>收益法-酒店模型</vt:lpstr>
      <vt:lpstr>土地比较法-工业</vt:lpstr>
      <vt:lpstr>收益法（汇总）</vt:lpstr>
      <vt:lpstr>比较法-商业</vt:lpstr>
      <vt:lpstr>比较法-车位</vt:lpstr>
      <vt:lpstr>比较法-仓储</vt:lpstr>
      <vt:lpstr>土地比较法-住宅、综合</vt:lpstr>
      <vt:lpstr>1、2厂房收益法</vt:lpstr>
      <vt:lpstr>3、4宿舍收益法</vt:lpstr>
      <vt:lpstr>5-9实验楼收益法</vt:lpstr>
      <vt:lpstr>10、11办公收益法</vt:lpstr>
      <vt:lpstr>地下车库收益法</vt:lpstr>
      <vt:lpstr>租金比较法-工业</vt:lpstr>
      <vt:lpstr>租金比较法-住宅</vt:lpstr>
      <vt:lpstr>租金比较法-办公</vt:lpstr>
      <vt:lpstr>工业出租案例</vt:lpstr>
      <vt:lpstr>住宅出租案例</vt:lpstr>
      <vt:lpstr>办公出租案例</vt:lpstr>
      <vt:lpstr>sheet1 (2)</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'1、2厂房收益法'!Print_Area</vt:lpstr>
      <vt:lpstr>'10、11办公收益法'!Print_Area</vt:lpstr>
      <vt:lpstr>'3、4宿舍收益法'!Print_Area</vt:lpstr>
      <vt:lpstr>'5-9实验楼收益法'!Print_Area</vt:lpstr>
      <vt:lpstr>'比较法-仓储'!Print_Area</vt:lpstr>
      <vt:lpstr>'比较法-车位'!Print_Area</vt:lpstr>
      <vt:lpstr>'比较法-商业'!Print_Area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'租金比较法-办公'!Print_Area</vt:lpstr>
      <vt:lpstr>'租金比较法-工业'!Print_Area</vt:lpstr>
      <vt:lpstr>'租金比较法-住宅'!Print_Area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2024-12-09T10:59:10Z</dcterms:modified>
</cp:coreProperties>
</file>