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11430" windowHeight="750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案例" sheetId="70" r:id="rId42"/>
    <sheet name="土地案例" sheetId="71" r:id="rId43"/>
  </sheets>
  <externalReferences>
    <externalReference r:id="rId44"/>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2" i="39" l="1"/>
  <c r="C106" i="9"/>
  <c r="C15" i="66"/>
  <c r="B15" i="66"/>
  <c r="D15" i="66" l="1"/>
  <c r="G15" i="66" s="1"/>
  <c r="I15" i="66" l="1"/>
  <c r="AH19" i="1"/>
  <c r="A13" i="3"/>
  <c r="G40" i="39" l="1"/>
  <c r="D119" i="39"/>
  <c r="E119" i="39" s="1"/>
  <c r="F119" i="39" s="1"/>
  <c r="G119" i="39" s="1"/>
  <c r="H119" i="39" s="1"/>
  <c r="I119" i="39" s="1"/>
  <c r="J119" i="39" s="1"/>
  <c r="E118" i="39"/>
  <c r="F118" i="39" s="1"/>
  <c r="G118" i="39" s="1"/>
  <c r="H118" i="39" s="1"/>
  <c r="I118" i="39" s="1"/>
  <c r="J118" i="39" s="1"/>
  <c r="D118" i="39"/>
  <c r="I40" i="39"/>
  <c r="E40" i="39"/>
  <c r="I48" i="39"/>
  <c r="G48" i="39"/>
  <c r="E48" i="39"/>
  <c r="I9" i="39"/>
  <c r="G9" i="39"/>
  <c r="E9" i="39"/>
  <c r="I7" i="39"/>
  <c r="G7" i="39"/>
  <c r="E7" i="39"/>
  <c r="D72" i="39"/>
  <c r="E72" i="39" s="1"/>
  <c r="F72" i="39" s="1"/>
  <c r="G72" i="39" s="1"/>
  <c r="H72" i="39" s="1"/>
  <c r="I72" i="39" s="1"/>
  <c r="J72" i="39" s="1"/>
  <c r="K72" i="39" s="1"/>
  <c r="L72" i="39" s="1"/>
  <c r="M72" i="39" s="1"/>
  <c r="N72" i="39" s="1"/>
  <c r="L14" i="1" l="1"/>
  <c r="D103" i="21"/>
  <c r="E103" i="21" s="1"/>
  <c r="F103" i="21" s="1"/>
  <c r="G103" i="21" s="1"/>
  <c r="H103" i="21" s="1"/>
  <c r="I103" i="21" s="1"/>
  <c r="J103" i="21" s="1"/>
  <c r="K103" i="21" s="1"/>
  <c r="L103" i="21" s="1"/>
  <c r="M103" i="21" s="1"/>
  <c r="E104" i="21"/>
  <c r="F104" i="21" s="1"/>
  <c r="G104" i="21" s="1"/>
  <c r="H104" i="21" s="1"/>
  <c r="I104" i="21" s="1"/>
  <c r="J104" i="21" s="1"/>
  <c r="K104" i="21" s="1"/>
  <c r="L104" i="21" s="1"/>
  <c r="M104" i="21" s="1"/>
  <c r="D104" i="21"/>
  <c r="I29" i="35"/>
  <c r="G29" i="35"/>
  <c r="E29" i="35"/>
  <c r="C5" i="35"/>
  <c r="C7" i="39" s="1"/>
  <c r="D17" i="4"/>
  <c r="G20" i="6"/>
  <c r="F19" i="6"/>
  <c r="AT13" i="3"/>
  <c r="AD13" i="3"/>
  <c r="A3" i="3"/>
  <c r="C5" i="21" l="1"/>
  <c r="K3" i="69"/>
  <c r="O3" i="69" s="1"/>
  <c r="K2" i="69"/>
  <c r="O2" i="69" s="1"/>
  <c r="J62" i="69" l="1"/>
  <c r="I62" i="69"/>
  <c r="K61" i="69"/>
  <c r="K60" i="69"/>
  <c r="K59" i="69"/>
  <c r="K55" i="69"/>
  <c r="K54" i="69"/>
  <c r="K58" i="69"/>
  <c r="K57" i="69"/>
  <c r="K56" i="69"/>
  <c r="K52" i="69"/>
  <c r="K51" i="69"/>
  <c r="K50" i="69"/>
  <c r="K49" i="69"/>
  <c r="K48" i="69"/>
  <c r="K47" i="69"/>
  <c r="K53" i="69"/>
  <c r="K46" i="69"/>
  <c r="K45" i="69"/>
  <c r="K44" i="69"/>
  <c r="K43" i="69"/>
  <c r="K42" i="69"/>
  <c r="K41" i="69"/>
  <c r="K40" i="69"/>
  <c r="K39" i="69"/>
  <c r="K38" i="69"/>
  <c r="K37" i="69"/>
  <c r="K36" i="69"/>
  <c r="K35" i="69"/>
  <c r="K34" i="69"/>
  <c r="K33" i="69"/>
  <c r="K32" i="69"/>
  <c r="K31" i="69"/>
  <c r="K30" i="69"/>
  <c r="K29" i="69"/>
  <c r="K28" i="69"/>
  <c r="K26" i="69"/>
  <c r="K25" i="69"/>
  <c r="K24" i="69"/>
  <c r="K23" i="69"/>
  <c r="K22" i="69"/>
  <c r="K21" i="69"/>
  <c r="K20" i="69"/>
  <c r="K19" i="69"/>
  <c r="K18" i="69"/>
  <c r="K17" i="69"/>
  <c r="K16" i="69"/>
  <c r="K27" i="69"/>
  <c r="K15" i="69"/>
  <c r="K14" i="69"/>
  <c r="K13" i="69"/>
  <c r="K12" i="69"/>
  <c r="K11" i="69"/>
  <c r="K10" i="69"/>
  <c r="K9" i="69"/>
  <c r="K62" i="69" s="1"/>
  <c r="K8" i="69"/>
  <c r="C76" i="69"/>
  <c r="B76" i="69"/>
  <c r="D65" i="69"/>
  <c r="D66" i="69"/>
  <c r="D67" i="69"/>
  <c r="D68" i="69"/>
  <c r="D69" i="69"/>
  <c r="D70" i="69"/>
  <c r="D71" i="69"/>
  <c r="D72" i="69"/>
  <c r="D73" i="69"/>
  <c r="D74" i="69"/>
  <c r="D75" i="69"/>
  <c r="D64" i="69"/>
  <c r="D63" i="69"/>
  <c r="D62" i="69"/>
  <c r="D61" i="69"/>
  <c r="D60" i="69"/>
  <c r="D59" i="69"/>
  <c r="D58" i="69"/>
  <c r="D57" i="69"/>
  <c r="D56" i="69"/>
  <c r="D55" i="69"/>
  <c r="D54" i="69"/>
  <c r="D53" i="69"/>
  <c r="D52" i="69"/>
  <c r="D51" i="69"/>
  <c r="D50" i="69"/>
  <c r="D49" i="69"/>
  <c r="D48" i="69"/>
  <c r="D47" i="69"/>
  <c r="D46" i="69"/>
  <c r="D45" i="69"/>
  <c r="D44" i="69"/>
  <c r="D43" i="69"/>
  <c r="D42" i="69"/>
  <c r="D41" i="69"/>
  <c r="D38" i="69"/>
  <c r="D36" i="69"/>
  <c r="D35" i="69"/>
  <c r="D34" i="69"/>
  <c r="D33" i="69"/>
  <c r="D40" i="69"/>
  <c r="D39" i="69"/>
  <c r="D37" i="69"/>
  <c r="D32" i="69"/>
  <c r="D31" i="69"/>
  <c r="D30" i="69"/>
  <c r="D29" i="69"/>
  <c r="D28" i="69"/>
  <c r="D27" i="69"/>
  <c r="D26" i="69"/>
  <c r="D25" i="69"/>
  <c r="D24" i="69"/>
  <c r="D23" i="69"/>
  <c r="D22" i="69"/>
  <c r="D21" i="69"/>
  <c r="D20" i="69"/>
  <c r="D19" i="69"/>
  <c r="D18" i="69"/>
  <c r="D17" i="69"/>
  <c r="D16" i="69"/>
  <c r="D15" i="69"/>
  <c r="D14" i="69"/>
  <c r="D13" i="69"/>
  <c r="D12" i="69"/>
  <c r="D11" i="69"/>
  <c r="D10" i="69"/>
  <c r="D9" i="69"/>
  <c r="D8" i="69"/>
  <c r="D76" i="69"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5" l="1"/>
  <c r="F14" i="65"/>
  <c r="E14"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5" i="68" s="1"/>
  <c r="R24" i="68"/>
  <c r="R19" i="68"/>
  <c r="D29" i="68"/>
  <c r="E23" i="68"/>
  <c r="D26" i="68"/>
  <c r="D32" i="68" s="1"/>
  <c r="C29" i="68"/>
  <c r="C32" i="68" s="1"/>
  <c r="C38" i="68" s="1"/>
  <c r="C39" i="68" s="1"/>
  <c r="R35" i="68"/>
  <c r="U34" i="68" s="1"/>
  <c r="F26" i="43"/>
  <c r="R5" i="68" l="1"/>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E25" i="59" s="1"/>
  <c r="U25" i="59" s="1"/>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B53" i="63" s="1"/>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B17" i="63" s="1"/>
  <c r="Y12" i="46"/>
  <c r="AA9" i="46"/>
  <c r="AA10" i="46" s="1"/>
  <c r="AB9" i="46"/>
  <c r="AB10" i="46" s="1"/>
  <c r="AC9" i="46"/>
  <c r="AC10" i="46" s="1"/>
  <c r="AD9" i="46"/>
  <c r="AD10" i="46" s="1"/>
  <c r="AE9" i="46"/>
  <c r="AF9" i="46"/>
  <c r="AF10" i="46" s="1"/>
  <c r="AG9" i="46"/>
  <c r="AG10" i="46" s="1"/>
  <c r="AH9" i="46"/>
  <c r="AH10" i="46" s="1"/>
  <c r="AI9" i="46"/>
  <c r="AJ9" i="46"/>
  <c r="AJ10" i="46" s="1"/>
  <c r="Z9" i="46"/>
  <c r="Z10" i="46" s="1"/>
  <c r="AE10" i="46"/>
  <c r="Y10" i="46"/>
  <c r="Z12" i="46"/>
  <c r="AG12" i="46"/>
  <c r="AE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A46" i="9"/>
  <c r="K41" i="9" s="1"/>
  <c r="B8" i="63"/>
  <c r="A21" i="55"/>
  <c r="B71" i="63" s="1"/>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c r="B40" i="50"/>
  <c r="B3" i="63" s="1"/>
  <c r="B67" i="63"/>
  <c r="I19" i="46"/>
  <c r="Q29" i="59"/>
  <c r="F29" i="59" s="1"/>
  <c r="P29" i="59"/>
  <c r="E29" i="59" s="1"/>
  <c r="O29" i="59"/>
  <c r="N29" i="59"/>
  <c r="B29" i="59" s="1"/>
  <c r="D90" i="59"/>
  <c r="F89" i="59"/>
  <c r="F88" i="59" s="1"/>
  <c r="F87" i="59" s="1"/>
  <c r="E89" i="59"/>
  <c r="E88" i="59" s="1"/>
  <c r="E87" i="59" s="1"/>
  <c r="C89" i="59"/>
  <c r="D89" i="59"/>
  <c r="B89" i="59"/>
  <c r="B88" i="59" s="1"/>
  <c r="B87" i="59" s="1"/>
  <c r="D86" i="59"/>
  <c r="F85" i="59"/>
  <c r="F84" i="59" s="1"/>
  <c r="F83" i="59" s="1"/>
  <c r="E85" i="59"/>
  <c r="E84" i="59" s="1"/>
  <c r="E83" i="59" s="1"/>
  <c r="C85" i="59"/>
  <c r="D85" i="59" s="1"/>
  <c r="B85" i="59"/>
  <c r="B84" i="59" s="1"/>
  <c r="B83" i="59" s="1"/>
  <c r="D82" i="59"/>
  <c r="Q81" i="59"/>
  <c r="P81" i="59"/>
  <c r="O81" i="59"/>
  <c r="N81" i="59"/>
  <c r="F81" i="59"/>
  <c r="V81" i="59"/>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C77" i="59"/>
  <c r="T77"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B73" i="59"/>
  <c r="S73" i="59" s="1"/>
  <c r="Q72" i="59"/>
  <c r="P72" i="59"/>
  <c r="O72" i="59"/>
  <c r="N72" i="59"/>
  <c r="B72" i="59"/>
  <c r="B71" i="59" s="1"/>
  <c r="Q71" i="59"/>
  <c r="P71" i="59"/>
  <c r="O71" i="59"/>
  <c r="N71" i="59"/>
  <c r="Q70" i="59"/>
  <c r="P70" i="59"/>
  <c r="O70" i="59"/>
  <c r="N70" i="59"/>
  <c r="D70" i="59"/>
  <c r="F69" i="59"/>
  <c r="V69" i="59" s="1"/>
  <c r="E69" i="59"/>
  <c r="C69" i="59"/>
  <c r="C68" i="59" s="1"/>
  <c r="B69" i="59"/>
  <c r="N69" i="59" s="1"/>
  <c r="F68" i="59"/>
  <c r="D66" i="59"/>
  <c r="Q65" i="59"/>
  <c r="P65" i="59"/>
  <c r="O65" i="59"/>
  <c r="N65" i="59"/>
  <c r="Q64" i="59"/>
  <c r="P64" i="59"/>
  <c r="O64" i="59"/>
  <c r="N64" i="59"/>
  <c r="Q63" i="59"/>
  <c r="P63" i="59"/>
  <c r="O63" i="59"/>
  <c r="N63" i="59"/>
  <c r="Q62" i="59"/>
  <c r="F63" i="59" s="1"/>
  <c r="P62" i="59"/>
  <c r="E63" i="59" s="1"/>
  <c r="E64" i="59" s="1"/>
  <c r="E65" i="59" s="1"/>
  <c r="U65" i="59" s="1"/>
  <c r="O62" i="59"/>
  <c r="C63" i="59"/>
  <c r="C64" i="59" s="1"/>
  <c r="C65" i="59" s="1"/>
  <c r="D65"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D51" i="59" s="1"/>
  <c r="N50" i="59"/>
  <c r="B51" i="59"/>
  <c r="D50" i="59"/>
  <c r="T49" i="59"/>
  <c r="Q49" i="59"/>
  <c r="P49" i="59"/>
  <c r="O49" i="59"/>
  <c r="N49" i="59"/>
  <c r="D49" i="59"/>
  <c r="Q48" i="59"/>
  <c r="P48" i="59"/>
  <c r="O48" i="59"/>
  <c r="N48" i="59"/>
  <c r="Q47" i="59"/>
  <c r="P47" i="59"/>
  <c r="O47" i="59"/>
  <c r="C48" i="59" s="1"/>
  <c r="D48" i="59" s="1"/>
  <c r="N47" i="59"/>
  <c r="Q46" i="59"/>
  <c r="F47" i="59"/>
  <c r="F48" i="59" s="1"/>
  <c r="P46" i="59"/>
  <c r="E47"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s="1"/>
  <c r="O42" i="59"/>
  <c r="C43" i="59" s="1"/>
  <c r="N42" i="59"/>
  <c r="B43" i="59" s="1"/>
  <c r="B44" i="59" s="1"/>
  <c r="B45" i="59" s="1"/>
  <c r="S45" i="59" s="1"/>
  <c r="D42" i="59"/>
  <c r="Q41" i="59"/>
  <c r="P41" i="59"/>
  <c r="O41" i="59"/>
  <c r="N41" i="59"/>
  <c r="Q40" i="59"/>
  <c r="P40" i="59"/>
  <c r="AA37" i="59" s="1"/>
  <c r="O40" i="59"/>
  <c r="Y40" i="59" s="1"/>
  <c r="Z40" i="59" s="1"/>
  <c r="N40" i="59"/>
  <c r="Q39" i="59"/>
  <c r="P39" i="59"/>
  <c r="AA39" i="59" s="1"/>
  <c r="O39" i="59"/>
  <c r="N39" i="59"/>
  <c r="Q38" i="59"/>
  <c r="P38" i="59"/>
  <c r="O38" i="59"/>
  <c r="C39" i="59"/>
  <c r="C40"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N34" i="59"/>
  <c r="B35" i="59" s="1"/>
  <c r="B36" i="59" s="1"/>
  <c r="B37" i="59" s="1"/>
  <c r="S37" i="59" s="1"/>
  <c r="D34" i="59"/>
  <c r="Q33" i="59"/>
  <c r="P33" i="59"/>
  <c r="O33" i="59"/>
  <c r="N33" i="59"/>
  <c r="X33" i="59" s="1"/>
  <c r="Q32" i="59"/>
  <c r="P32" i="59"/>
  <c r="O32" i="59"/>
  <c r="N32" i="59"/>
  <c r="X32" i="59" s="1"/>
  <c r="Q31" i="59"/>
  <c r="P31" i="59"/>
  <c r="O31" i="59"/>
  <c r="N31" i="59"/>
  <c r="X29" i="59" s="1"/>
  <c r="Q30" i="59"/>
  <c r="P30" i="59"/>
  <c r="O30" i="59"/>
  <c r="C31" i="59"/>
  <c r="C32" i="59" s="1"/>
  <c r="N30" i="59"/>
  <c r="B31" i="59" s="1"/>
  <c r="D30" i="59"/>
  <c r="E31" i="59"/>
  <c r="E32" i="59" s="1"/>
  <c r="E33" i="59"/>
  <c r="U33" i="59" s="1"/>
  <c r="B52" i="59"/>
  <c r="B53" i="59" s="1"/>
  <c r="S53" i="59" s="1"/>
  <c r="S69" i="59"/>
  <c r="AA40" i="59"/>
  <c r="F49" i="59"/>
  <c r="V49" i="59" s="1"/>
  <c r="F56" i="59"/>
  <c r="F57" i="59" s="1"/>
  <c r="V57" i="59" s="1"/>
  <c r="F64" i="59"/>
  <c r="F65" i="59" s="1"/>
  <c r="V65" i="59" s="1"/>
  <c r="C44" i="59"/>
  <c r="C45" i="59" s="1"/>
  <c r="T45" i="59" s="1"/>
  <c r="D43" i="59"/>
  <c r="D47" i="59"/>
  <c r="C52" i="59"/>
  <c r="C53" i="59" s="1"/>
  <c r="D53" i="59" s="1"/>
  <c r="D63" i="59"/>
  <c r="D69" i="59"/>
  <c r="P69" i="59"/>
  <c r="Q69" i="59"/>
  <c r="E72" i="59"/>
  <c r="E71" i="59" s="1"/>
  <c r="C76" i="59"/>
  <c r="D76" i="59" s="1"/>
  <c r="D77" i="59"/>
  <c r="C80" i="59"/>
  <c r="D80" i="59" s="1"/>
  <c r="D81" i="59"/>
  <c r="C88" i="59"/>
  <c r="U16" i="4"/>
  <c r="S16" i="4"/>
  <c r="Q16" i="4"/>
  <c r="O16" i="4"/>
  <c r="N16" i="4" s="1"/>
  <c r="M16" i="4"/>
  <c r="K16" i="4"/>
  <c r="D64" i="59"/>
  <c r="D44" i="59"/>
  <c r="T65" i="59"/>
  <c r="O27" i="6"/>
  <c r="N27" i="6"/>
  <c r="P26" i="6"/>
  <c r="L26" i="6"/>
  <c r="P25" i="6"/>
  <c r="L25" i="6"/>
  <c r="P24" i="6"/>
  <c r="L24" i="6"/>
  <c r="P23" i="6"/>
  <c r="L23" i="6"/>
  <c r="P22" i="6"/>
  <c r="L22" i="6"/>
  <c r="P21" i="6"/>
  <c r="L21" i="6"/>
  <c r="P20" i="6"/>
  <c r="P19" i="6"/>
  <c r="Z18" i="36"/>
  <c r="Q18" i="36"/>
  <c r="C18" i="36"/>
  <c r="D66" i="36"/>
  <c r="F18" i="36"/>
  <c r="Q18" i="35"/>
  <c r="Z18" i="35" s="1"/>
  <c r="F18" i="35"/>
  <c r="C18" i="35"/>
  <c r="D68" i="35"/>
  <c r="E68" i="35"/>
  <c r="F68" i="35" s="1"/>
  <c r="G68" i="35" s="1"/>
  <c r="Q21" i="37"/>
  <c r="Z21" i="37" s="1"/>
  <c r="F21" i="37"/>
  <c r="AA21" i="37" s="1"/>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G20" i="20"/>
  <c r="C22" i="20"/>
  <c r="C31" i="39" s="1"/>
  <c r="B74" i="46"/>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J50" i="46" s="1"/>
  <c r="D83" i="46"/>
  <c r="D77" i="46"/>
  <c r="B83" i="46"/>
  <c r="B82" i="46"/>
  <c r="B71" i="46"/>
  <c r="B60" i="46"/>
  <c r="B49" i="46"/>
  <c r="M87" i="46"/>
  <c r="N87" i="46" s="1"/>
  <c r="K87" i="46"/>
  <c r="J87" i="46" s="1"/>
  <c r="D87" i="46"/>
  <c r="M86" i="46"/>
  <c r="N86" i="46" s="1"/>
  <c r="D86" i="46"/>
  <c r="K86" i="46"/>
  <c r="J86" i="46"/>
  <c r="M85" i="46"/>
  <c r="N85" i="46"/>
  <c r="D85" i="46"/>
  <c r="K85" i="46"/>
  <c r="J85" i="46" s="1"/>
  <c r="M84" i="46"/>
  <c r="N84" i="46"/>
  <c r="K84" i="46"/>
  <c r="J84" i="46" s="1"/>
  <c r="M83" i="46"/>
  <c r="N83" i="46" s="1"/>
  <c r="K83" i="46"/>
  <c r="J83" i="46" s="1"/>
  <c r="M82" i="46"/>
  <c r="N82" i="46"/>
  <c r="K82" i="46"/>
  <c r="J82" i="46" s="1"/>
  <c r="D82" i="46"/>
  <c r="M81" i="46"/>
  <c r="N81" i="46"/>
  <c r="K81" i="46"/>
  <c r="J81" i="46"/>
  <c r="M80" i="46"/>
  <c r="N80" i="46"/>
  <c r="K80" i="46"/>
  <c r="J80" i="46"/>
  <c r="M77" i="46"/>
  <c r="N77" i="46"/>
  <c r="K77" i="46"/>
  <c r="J77" i="46"/>
  <c r="M76" i="46"/>
  <c r="N76" i="46"/>
  <c r="D76" i="46"/>
  <c r="K76" i="46"/>
  <c r="J76" i="46" s="1"/>
  <c r="M75" i="46"/>
  <c r="N75" i="46"/>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c r="K64" i="46"/>
  <c r="J64" i="46"/>
  <c r="D64" i="46"/>
  <c r="M63" i="46"/>
  <c r="N63" i="46" s="1"/>
  <c r="K63" i="46"/>
  <c r="J63" i="46" s="1"/>
  <c r="D63" i="46"/>
  <c r="M62" i="46"/>
  <c r="N62" i="46" s="1"/>
  <c r="K62" i="46"/>
  <c r="J62" i="46" s="1"/>
  <c r="D62" i="46"/>
  <c r="M61" i="46"/>
  <c r="N61" i="46" s="1"/>
  <c r="K61" i="46"/>
  <c r="J61" i="46" s="1"/>
  <c r="D61" i="46"/>
  <c r="M60" i="46"/>
  <c r="N60" i="46"/>
  <c r="K60" i="46"/>
  <c r="J60" i="46"/>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c r="M49" i="46"/>
  <c r="N49" i="46" s="1"/>
  <c r="K49" i="46"/>
  <c r="J49" i="46" s="1"/>
  <c r="D49" i="46"/>
  <c r="M48" i="46"/>
  <c r="N48" i="46"/>
  <c r="K48" i="46"/>
  <c r="J48" i="46"/>
  <c r="D48" i="46"/>
  <c r="M47" i="46"/>
  <c r="N47" i="46" s="1"/>
  <c r="K47" i="46"/>
  <c r="J47" i="46" s="1"/>
  <c r="D47" i="46"/>
  <c r="D51" i="46"/>
  <c r="D55" i="46"/>
  <c r="D80" i="46"/>
  <c r="D81" i="46"/>
  <c r="N73"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A290" i="3" s="1"/>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A438" i="3" s="1"/>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c r="C66" i="39" s="1"/>
  <c r="H65" i="39"/>
  <c r="I65" i="39" s="1"/>
  <c r="C65" i="39" s="1"/>
  <c r="H64" i="39"/>
  <c r="I64" i="39" s="1"/>
  <c r="C64" i="39" s="1"/>
  <c r="H63" i="39"/>
  <c r="I63" i="39" s="1"/>
  <c r="C63"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O19" i="46" s="1"/>
  <c r="R26" i="31"/>
  <c r="S26" i="31" s="1"/>
  <c r="R27" i="31"/>
  <c r="R28" i="31"/>
  <c r="S28" i="31" s="1"/>
  <c r="R29" i="31"/>
  <c r="R30" i="31"/>
  <c r="S30" i="31"/>
  <c r="R31" i="31"/>
  <c r="R32" i="31"/>
  <c r="S32" i="31" s="1"/>
  <c r="R33" i="31"/>
  <c r="R34" i="31"/>
  <c r="S34" i="31"/>
  <c r="R35" i="31"/>
  <c r="R36" i="31"/>
  <c r="S36" i="31" s="1"/>
  <c r="R37" i="31"/>
  <c r="R38" i="31"/>
  <c r="S38" i="31" s="1"/>
  <c r="R39" i="31"/>
  <c r="R40" i="31"/>
  <c r="S40" i="31"/>
  <c r="R41" i="31"/>
  <c r="R42" i="31"/>
  <c r="S42" i="31" s="1"/>
  <c r="R43" i="31"/>
  <c r="R44" i="31"/>
  <c r="S44" i="31" s="1"/>
  <c r="R45" i="31"/>
  <c r="R46" i="31"/>
  <c r="S46" i="31"/>
  <c r="R47" i="31"/>
  <c r="R48" i="31"/>
  <c r="S48" i="31" s="1"/>
  <c r="R49" i="31"/>
  <c r="R50" i="31"/>
  <c r="S50" i="31"/>
  <c r="R51" i="31"/>
  <c r="R52" i="31"/>
  <c r="S52" i="31" s="1"/>
  <c r="R53" i="31"/>
  <c r="R54" i="31"/>
  <c r="S54" i="31" s="1"/>
  <c r="R55" i="31"/>
  <c r="R56" i="31"/>
  <c r="S56" i="31"/>
  <c r="R57" i="31"/>
  <c r="S57" i="31" s="1"/>
  <c r="R58" i="31"/>
  <c r="S58" i="31" s="1"/>
  <c r="R59" i="31"/>
  <c r="R60" i="31"/>
  <c r="S60" i="31" s="1"/>
  <c r="R61" i="31"/>
  <c r="R62" i="31"/>
  <c r="S62" i="31"/>
  <c r="R63" i="31"/>
  <c r="R64" i="31"/>
  <c r="S64" i="31" s="1"/>
  <c r="R65" i="31"/>
  <c r="S65" i="31" s="1"/>
  <c r="R66" i="31"/>
  <c r="S66" i="31"/>
  <c r="R67" i="31"/>
  <c r="R68" i="31"/>
  <c r="S68" i="31" s="1"/>
  <c r="R69" i="31"/>
  <c r="R70" i="31"/>
  <c r="S70" i="31" s="1"/>
  <c r="R71" i="31"/>
  <c r="R72" i="31"/>
  <c r="S72" i="31"/>
  <c r="R73" i="31"/>
  <c r="S73" i="31" s="1"/>
  <c r="R74" i="31"/>
  <c r="S74" i="31" s="1"/>
  <c r="R75" i="31"/>
  <c r="R76" i="31"/>
  <c r="S76" i="31" s="1"/>
  <c r="R77" i="31"/>
  <c r="R78" i="31"/>
  <c r="S78" i="31"/>
  <c r="R79" i="31"/>
  <c r="R80" i="31"/>
  <c r="S80" i="31" s="1"/>
  <c r="R81" i="31"/>
  <c r="R82" i="31"/>
  <c r="S82" i="31"/>
  <c r="R83" i="31"/>
  <c r="R84" i="31"/>
  <c r="S84" i="31" s="1"/>
  <c r="R85" i="31"/>
  <c r="R86" i="31"/>
  <c r="S86" i="31" s="1"/>
  <c r="R87" i="31"/>
  <c r="R88" i="31"/>
  <c r="S88" i="31"/>
  <c r="R89" i="31"/>
  <c r="R90" i="31"/>
  <c r="S90" i="31" s="1"/>
  <c r="R91" i="31"/>
  <c r="R92" i="31"/>
  <c r="S92" i="31" s="1"/>
  <c r="R93" i="31"/>
  <c r="R94" i="31"/>
  <c r="S94" i="31"/>
  <c r="R95" i="31"/>
  <c r="R96" i="31"/>
  <c r="S96" i="31" s="1"/>
  <c r="R97" i="31"/>
  <c r="R98" i="31"/>
  <c r="S98" i="31"/>
  <c r="R99" i="31"/>
  <c r="R100" i="31"/>
  <c r="S100" i="31" s="1"/>
  <c r="R101" i="31"/>
  <c r="R102" i="31"/>
  <c r="S102" i="31" s="1"/>
  <c r="R103" i="31"/>
  <c r="R104" i="31"/>
  <c r="S104" i="31"/>
  <c r="R105" i="31"/>
  <c r="R106" i="31"/>
  <c r="S106" i="31" s="1"/>
  <c r="R107" i="31"/>
  <c r="R108" i="31"/>
  <c r="S108" i="31" s="1"/>
  <c r="R109" i="31"/>
  <c r="R110" i="31"/>
  <c r="S110" i="31"/>
  <c r="R111" i="31"/>
  <c r="R112" i="31"/>
  <c r="S112" i="31" s="1"/>
  <c r="R113" i="31"/>
  <c r="R114" i="31"/>
  <c r="S114" i="31"/>
  <c r="R115" i="31"/>
  <c r="R116" i="31"/>
  <c r="S116" i="31" s="1"/>
  <c r="R117" i="31"/>
  <c r="R118" i="31"/>
  <c r="S118" i="31" s="1"/>
  <c r="R119" i="31"/>
  <c r="R120" i="31"/>
  <c r="S120" i="31"/>
  <c r="R121" i="31"/>
  <c r="R122" i="31"/>
  <c r="S122" i="31" s="1"/>
  <c r="R123" i="31"/>
  <c r="R124" i="31"/>
  <c r="S124" i="31" s="1"/>
  <c r="R125" i="31"/>
  <c r="R126" i="31"/>
  <c r="S126" i="31"/>
  <c r="R127" i="31"/>
  <c r="R128" i="31"/>
  <c r="S128" i="31" s="1"/>
  <c r="R129" i="31"/>
  <c r="S129" i="31" s="1"/>
  <c r="R130" i="31"/>
  <c r="S130" i="31"/>
  <c r="R131" i="31"/>
  <c r="R132" i="31"/>
  <c r="S132" i="31" s="1"/>
  <c r="R133" i="31"/>
  <c r="R134" i="31"/>
  <c r="S134" i="31" s="1"/>
  <c r="R135" i="31"/>
  <c r="R136" i="31"/>
  <c r="S136" i="31"/>
  <c r="R137" i="31"/>
  <c r="S137" i="31" s="1"/>
  <c r="R138" i="31"/>
  <c r="S138" i="31" s="1"/>
  <c r="R139" i="31"/>
  <c r="R140" i="31"/>
  <c r="S140" i="31" s="1"/>
  <c r="R141" i="31"/>
  <c r="R142" i="31"/>
  <c r="S142" i="31"/>
  <c r="R143" i="31"/>
  <c r="R144" i="31"/>
  <c r="S144" i="31" s="1"/>
  <c r="R145" i="31"/>
  <c r="S145" i="31" s="1"/>
  <c r="R146" i="31"/>
  <c r="S146" i="31"/>
  <c r="R147" i="31"/>
  <c r="R148" i="31"/>
  <c r="S148" i="31" s="1"/>
  <c r="R149" i="31"/>
  <c r="R150" i="31"/>
  <c r="S150" i="31" s="1"/>
  <c r="R151" i="31"/>
  <c r="R152" i="31"/>
  <c r="S152" i="31"/>
  <c r="R153" i="31"/>
  <c r="S153" i="31" s="1"/>
  <c r="R154" i="31"/>
  <c r="S154" i="31" s="1"/>
  <c r="R155" i="31"/>
  <c r="R156" i="31"/>
  <c r="S156" i="31" s="1"/>
  <c r="R157" i="31"/>
  <c r="R158" i="31"/>
  <c r="S158" i="31"/>
  <c r="R159" i="31"/>
  <c r="R160" i="31"/>
  <c r="S160" i="31" s="1"/>
  <c r="R161" i="31"/>
  <c r="S161" i="31" s="1"/>
  <c r="R162" i="31"/>
  <c r="S162" i="31"/>
  <c r="R163" i="31"/>
  <c r="R164" i="31"/>
  <c r="S164" i="31" s="1"/>
  <c r="R165" i="31"/>
  <c r="R166" i="31"/>
  <c r="S166" i="31" s="1"/>
  <c r="R167" i="31"/>
  <c r="R168" i="31"/>
  <c r="S168" i="31"/>
  <c r="R169" i="31"/>
  <c r="S169" i="31" s="1"/>
  <c r="R170" i="31"/>
  <c r="S170" i="31" s="1"/>
  <c r="R171" i="31"/>
  <c r="R172" i="31"/>
  <c r="S172" i="31" s="1"/>
  <c r="R173" i="31"/>
  <c r="R174" i="31"/>
  <c r="S174" i="31"/>
  <c r="R175" i="31"/>
  <c r="R176" i="31"/>
  <c r="S176" i="31" s="1"/>
  <c r="R177" i="31"/>
  <c r="S177" i="31" s="1"/>
  <c r="R178" i="31"/>
  <c r="S178" i="31"/>
  <c r="R179" i="31"/>
  <c r="R180" i="31"/>
  <c r="S180" i="31" s="1"/>
  <c r="R181" i="31"/>
  <c r="R182" i="31"/>
  <c r="S182" i="31" s="1"/>
  <c r="R183" i="31"/>
  <c r="R184" i="31"/>
  <c r="S184" i="31"/>
  <c r="R185" i="31"/>
  <c r="S185" i="31" s="1"/>
  <c r="R186" i="31"/>
  <c r="S186" i="31" s="1"/>
  <c r="R187" i="31"/>
  <c r="R188" i="31"/>
  <c r="S188" i="31" s="1"/>
  <c r="R189" i="31"/>
  <c r="R190" i="31"/>
  <c r="S190" i="31"/>
  <c r="R191" i="31"/>
  <c r="R192" i="31"/>
  <c r="S192" i="31" s="1"/>
  <c r="R193" i="31"/>
  <c r="S193" i="31" s="1"/>
  <c r="R194" i="31"/>
  <c r="S194" i="31"/>
  <c r="R195" i="31"/>
  <c r="R196" i="31"/>
  <c r="S196" i="31" s="1"/>
  <c r="R197" i="31"/>
  <c r="R198" i="31"/>
  <c r="S198" i="31" s="1"/>
  <c r="R199" i="31"/>
  <c r="R200" i="31"/>
  <c r="S200" i="31"/>
  <c r="R201" i="31"/>
  <c r="S201" i="31" s="1"/>
  <c r="R202" i="31"/>
  <c r="S202" i="31" s="1"/>
  <c r="R203" i="31"/>
  <c r="R204" i="31"/>
  <c r="S204" i="31" s="1"/>
  <c r="R205" i="31"/>
  <c r="R206" i="31"/>
  <c r="S206" i="31"/>
  <c r="R207" i="31"/>
  <c r="R208" i="31"/>
  <c r="S208" i="31" s="1"/>
  <c r="R209" i="31"/>
  <c r="S209" i="31" s="1"/>
  <c r="R210" i="31"/>
  <c r="S210" i="31"/>
  <c r="R211" i="31"/>
  <c r="R212" i="31"/>
  <c r="S212" i="31" s="1"/>
  <c r="R213" i="31"/>
  <c r="R214" i="31"/>
  <c r="S214" i="31" s="1"/>
  <c r="R215" i="31"/>
  <c r="R216" i="31"/>
  <c r="S216" i="31"/>
  <c r="R217" i="31"/>
  <c r="S217" i="31" s="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S406" i="31" s="1"/>
  <c r="R407" i="31"/>
  <c r="R408" i="31"/>
  <c r="R409" i="31"/>
  <c r="R410" i="31"/>
  <c r="S410" i="31" s="1"/>
  <c r="R411" i="31"/>
  <c r="R412" i="31"/>
  <c r="R413" i="31"/>
  <c r="R414" i="31"/>
  <c r="S414" i="31" s="1"/>
  <c r="R415" i="31"/>
  <c r="R416" i="31"/>
  <c r="R417" i="31"/>
  <c r="R418" i="31"/>
  <c r="S418" i="31" s="1"/>
  <c r="R419" i="31"/>
  <c r="R420" i="31"/>
  <c r="R421" i="31"/>
  <c r="R422" i="31"/>
  <c r="S422" i="31" s="1"/>
  <c r="R423" i="31"/>
  <c r="R424" i="31"/>
  <c r="R425" i="31"/>
  <c r="R426" i="31"/>
  <c r="S426" i="31" s="1"/>
  <c r="R427" i="31"/>
  <c r="R428" i="31"/>
  <c r="S428" i="31" s="1"/>
  <c r="R429" i="31"/>
  <c r="R430" i="31"/>
  <c r="S430" i="31"/>
  <c r="R431" i="31"/>
  <c r="S431" i="31" s="1"/>
  <c r="R432" i="31"/>
  <c r="S432" i="31" s="1"/>
  <c r="R433" i="31"/>
  <c r="R434" i="31"/>
  <c r="S434" i="31" s="1"/>
  <c r="R435" i="31"/>
  <c r="R436" i="31"/>
  <c r="S436" i="31"/>
  <c r="R437" i="31"/>
  <c r="R438" i="31"/>
  <c r="S438" i="31" s="1"/>
  <c r="R439" i="31"/>
  <c r="S439" i="31" s="1"/>
  <c r="R440" i="31"/>
  <c r="S440" i="31"/>
  <c r="R441" i="31"/>
  <c r="R442" i="31"/>
  <c r="S442" i="31" s="1"/>
  <c r="R443" i="31"/>
  <c r="R444" i="31"/>
  <c r="S444" i="31" s="1"/>
  <c r="R445" i="31"/>
  <c r="R446" i="31"/>
  <c r="S446" i="31"/>
  <c r="R447" i="31"/>
  <c r="R448" i="31"/>
  <c r="S448" i="31" s="1"/>
  <c r="R449" i="31"/>
  <c r="R450" i="31"/>
  <c r="S450" i="31" s="1"/>
  <c r="R451" i="31"/>
  <c r="R452" i="31"/>
  <c r="S452" i="31"/>
  <c r="R453" i="31"/>
  <c r="R454" i="31"/>
  <c r="S454" i="31" s="1"/>
  <c r="R455" i="31"/>
  <c r="S455" i="31" s="1"/>
  <c r="R456" i="31"/>
  <c r="S456" i="31"/>
  <c r="R457" i="31"/>
  <c r="R458" i="31"/>
  <c r="S458" i="31" s="1"/>
  <c r="R459" i="31"/>
  <c r="R460" i="31"/>
  <c r="S460" i="31" s="1"/>
  <c r="R461" i="31"/>
  <c r="R462" i="31"/>
  <c r="S462" i="31"/>
  <c r="R463" i="31"/>
  <c r="S463" i="31" s="1"/>
  <c r="R464" i="31"/>
  <c r="S464" i="31" s="1"/>
  <c r="R465" i="31"/>
  <c r="R466" i="31"/>
  <c r="S466" i="31" s="1"/>
  <c r="R467" i="31"/>
  <c r="R468" i="31"/>
  <c r="S468" i="31"/>
  <c r="R469" i="31"/>
  <c r="R470" i="31"/>
  <c r="S470" i="31" s="1"/>
  <c r="R471" i="31"/>
  <c r="S471" i="31" s="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S497" i="31" s="1"/>
  <c r="R498" i="31"/>
  <c r="S498" i="3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S513" i="31" s="1"/>
  <c r="R514" i="31"/>
  <c r="S514" i="3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C18" i="9" s="1"/>
  <c r="M43"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20" i="31"/>
  <c r="S419" i="31"/>
  <c r="S417" i="31"/>
  <c r="S416" i="31"/>
  <c r="S415" i="31"/>
  <c r="S413" i="31"/>
  <c r="S412" i="31"/>
  <c r="S411" i="31"/>
  <c r="S409" i="31"/>
  <c r="S408" i="31"/>
  <c r="S407"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5" i="31"/>
  <c r="S213" i="31"/>
  <c r="S211" i="31"/>
  <c r="S207" i="31"/>
  <c r="S205" i="31"/>
  <c r="S203" i="31"/>
  <c r="S199" i="31"/>
  <c r="S197" i="31"/>
  <c r="S195" i="31"/>
  <c r="S191" i="31"/>
  <c r="S189" i="31"/>
  <c r="S187" i="31"/>
  <c r="S183" i="31"/>
  <c r="S181" i="31"/>
  <c r="S179" i="31"/>
  <c r="S175" i="31"/>
  <c r="S173" i="31"/>
  <c r="S171" i="31"/>
  <c r="S167" i="31"/>
  <c r="S165" i="31"/>
  <c r="S163" i="31"/>
  <c r="S159" i="31"/>
  <c r="S157" i="31"/>
  <c r="S155" i="31"/>
  <c r="S151" i="31"/>
  <c r="S149" i="31"/>
  <c r="S147" i="31"/>
  <c r="S143" i="31"/>
  <c r="S141" i="31"/>
  <c r="S139" i="31"/>
  <c r="S135" i="31"/>
  <c r="S133" i="31"/>
  <c r="S131"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69" i="31"/>
  <c r="S443" i="31"/>
  <c r="S441" i="31"/>
  <c r="S437" i="31"/>
  <c r="S435" i="31"/>
  <c r="S433" i="31"/>
  <c r="S121" i="31"/>
  <c r="S119" i="31"/>
  <c r="S117" i="31"/>
  <c r="S115" i="31"/>
  <c r="S113" i="31"/>
  <c r="S467" i="31"/>
  <c r="S465" i="31"/>
  <c r="S461" i="31"/>
  <c r="S459" i="31"/>
  <c r="S457" i="31"/>
  <c r="S453" i="31"/>
  <c r="S451" i="31"/>
  <c r="S53" i="31"/>
  <c r="S51" i="31"/>
  <c r="S49" i="31"/>
  <c r="S47" i="31"/>
  <c r="S45" i="31"/>
  <c r="S43" i="31"/>
  <c r="S41" i="31"/>
  <c r="S39" i="31"/>
  <c r="S37" i="31"/>
  <c r="S35" i="31"/>
  <c r="S33" i="31"/>
  <c r="S77" i="31"/>
  <c r="S75" i="31"/>
  <c r="S71" i="31"/>
  <c r="S69" i="31"/>
  <c r="S67" i="31"/>
  <c r="S63" i="31"/>
  <c r="S61" i="31"/>
  <c r="S59"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B52" i="1"/>
  <c r="F34" i="15" s="1"/>
  <c r="F61" i="15" s="1"/>
  <c r="I48" i="37"/>
  <c r="J48" i="37" s="1"/>
  <c r="G48" i="37"/>
  <c r="H48" i="37"/>
  <c r="E48" i="37"/>
  <c r="F48" i="37" s="1"/>
  <c r="I55" i="34"/>
  <c r="J55" i="34"/>
  <c r="G55" i="34"/>
  <c r="H55" i="34" s="1"/>
  <c r="E55" i="34"/>
  <c r="F55" i="34"/>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s="1"/>
  <c r="G54" i="33"/>
  <c r="E54" i="33"/>
  <c r="F54" i="33"/>
  <c r="H14" i="3"/>
  <c r="G14" i="3" s="1"/>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AC493" i="3"/>
  <c r="BB493" i="3"/>
  <c r="BC493" i="3"/>
  <c r="BD493" i="3"/>
  <c r="BA493" i="3" s="1"/>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L495" i="3" s="1"/>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A498" i="3" s="1"/>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D501" i="3"/>
  <c r="BE501" i="3"/>
  <c r="BF501" i="3"/>
  <c r="BG501" i="3"/>
  <c r="BH501" i="3"/>
  <c r="BI501" i="3"/>
  <c r="BJ501" i="3"/>
  <c r="BK501" i="3"/>
  <c r="BM501" i="3"/>
  <c r="BN501" i="3"/>
  <c r="BO501" i="3"/>
  <c r="BP501" i="3"/>
  <c r="BL501" i="3" s="1"/>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L527" i="3" s="1"/>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G532" i="3" s="1"/>
  <c r="AC532" i="3"/>
  <c r="BB532" i="3"/>
  <c r="BA532" i="3" s="1"/>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A541" i="3" s="1"/>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Q30" i="37"/>
  <c r="Z30" i="37" s="1"/>
  <c r="J30" i="37"/>
  <c r="W30" i="37" s="1"/>
  <c r="H30" i="37"/>
  <c r="AB30" i="37"/>
  <c r="F30" i="37"/>
  <c r="Q29" i="37"/>
  <c r="Z29" i="37"/>
  <c r="H29" i="37"/>
  <c r="U29" i="37" s="1"/>
  <c r="Q28" i="37"/>
  <c r="Z28" i="37" s="1"/>
  <c r="Q27" i="37"/>
  <c r="Z27" i="37" s="1"/>
  <c r="Q26" i="37"/>
  <c r="Z26" i="37" s="1"/>
  <c r="F26" i="37"/>
  <c r="AA26" i="37"/>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C7" i="37"/>
  <c r="C52" i="37" s="1"/>
  <c r="D52" i="37" s="1"/>
  <c r="E52" i="37" s="1"/>
  <c r="F52" i="37" s="1"/>
  <c r="G52" i="37" s="1"/>
  <c r="H52" i="37" s="1"/>
  <c r="I52" i="37" s="1"/>
  <c r="J52" i="37" s="1"/>
  <c r="K52" i="37" s="1"/>
  <c r="J31" i="36"/>
  <c r="W31" i="36" s="1"/>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c r="B95" i="36"/>
  <c r="H34" i="36" s="1"/>
  <c r="D83" i="36"/>
  <c r="E83" i="36" s="1"/>
  <c r="F83" i="36" s="1"/>
  <c r="G83" i="36" s="1"/>
  <c r="H83" i="36" s="1"/>
  <c r="I83" i="36" s="1"/>
  <c r="J83" i="36" s="1"/>
  <c r="K83" i="36" s="1"/>
  <c r="L83" i="36" s="1"/>
  <c r="M83" i="36" s="1"/>
  <c r="D78" i="36"/>
  <c r="J26" i="36"/>
  <c r="W26" i="36" s="1"/>
  <c r="B75" i="36"/>
  <c r="F25" i="36" s="1"/>
  <c r="AA25" i="36" s="1"/>
  <c r="B73" i="36"/>
  <c r="J24" i="36" s="1"/>
  <c r="W24" i="36" s="1"/>
  <c r="B71" i="36"/>
  <c r="H23" i="36" s="1"/>
  <c r="AB23" i="36" s="1"/>
  <c r="D70" i="36"/>
  <c r="H22" i="36"/>
  <c r="D68" i="36"/>
  <c r="E68" i="36" s="1"/>
  <c r="D64" i="36"/>
  <c r="E64" i="36"/>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Q20" i="36"/>
  <c r="Z20" i="36"/>
  <c r="Q16" i="36"/>
  <c r="Z16" i="36" s="1"/>
  <c r="Q14" i="36"/>
  <c r="Z14" i="36" s="1"/>
  <c r="Q13" i="36"/>
  <c r="Z13" i="36" s="1"/>
  <c r="Q12" i="36"/>
  <c r="Z12" i="36" s="1"/>
  <c r="Q11" i="36"/>
  <c r="Z11" i="36" s="1"/>
  <c r="Q10" i="36"/>
  <c r="Z10" i="36" s="1"/>
  <c r="F10" i="36"/>
  <c r="AA10" i="36"/>
  <c r="Q9" i="36"/>
  <c r="Z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B73" i="35"/>
  <c r="J23" i="35" s="1"/>
  <c r="B57" i="35"/>
  <c r="F11" i="35" s="1"/>
  <c r="S11" i="35" s="1"/>
  <c r="B61" i="35"/>
  <c r="B59" i="35"/>
  <c r="B131" i="34"/>
  <c r="B129" i="34"/>
  <c r="B127" i="34"/>
  <c r="B99" i="34"/>
  <c r="B97" i="34"/>
  <c r="B95" i="34"/>
  <c r="B93" i="34"/>
  <c r="B75" i="34"/>
  <c r="B73" i="34"/>
  <c r="B71" i="34"/>
  <c r="B130" i="33"/>
  <c r="B128" i="33"/>
  <c r="H45" i="33" s="1"/>
  <c r="U45" i="33" s="1"/>
  <c r="B126" i="33"/>
  <c r="B98" i="33"/>
  <c r="F31" i="33" s="1"/>
  <c r="B96" i="33"/>
  <c r="B94" i="33"/>
  <c r="B74" i="33"/>
  <c r="J14" i="33" s="1"/>
  <c r="AC14" i="33" s="1"/>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P39" i="35"/>
  <c r="P38" i="35"/>
  <c r="V37" i="35"/>
  <c r="T37" i="35"/>
  <c r="R37" i="35"/>
  <c r="P37" i="35"/>
  <c r="Q36" i="35"/>
  <c r="Z36" i="35" s="1"/>
  <c r="J36" i="35"/>
  <c r="AC36" i="35" s="1"/>
  <c r="Q35" i="35"/>
  <c r="Z35" i="35" s="1"/>
  <c r="Q34" i="35"/>
  <c r="Z34" i="35" s="1"/>
  <c r="J34" i="35"/>
  <c r="AC34" i="35" s="1"/>
  <c r="F34" i="35"/>
  <c r="Q33" i="35"/>
  <c r="Z33" i="35" s="1"/>
  <c r="Q32" i="35"/>
  <c r="Z32" i="35" s="1"/>
  <c r="H32" i="35"/>
  <c r="AB32" i="35" s="1"/>
  <c r="F32" i="35"/>
  <c r="AA32" i="35" s="1"/>
  <c r="Q31" i="35"/>
  <c r="Z31" i="35" s="1"/>
  <c r="AC31" i="35"/>
  <c r="Q30" i="35"/>
  <c r="Z30" i="35"/>
  <c r="Q29" i="35"/>
  <c r="Z29" i="35" s="1"/>
  <c r="Q28" i="35"/>
  <c r="Z28" i="35" s="1"/>
  <c r="J28" i="35"/>
  <c r="H28" i="35"/>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c r="Q43" i="34"/>
  <c r="Z43" i="34" s="1"/>
  <c r="F43" i="34"/>
  <c r="AA43" i="34" s="1"/>
  <c r="Q42" i="34"/>
  <c r="Z42" i="34" s="1"/>
  <c r="Q41" i="34"/>
  <c r="Z41" i="34" s="1"/>
  <c r="Q40" i="34"/>
  <c r="Z40" i="34" s="1"/>
  <c r="F40" i="34"/>
  <c r="S40" i="34" s="1"/>
  <c r="Q39" i="34"/>
  <c r="Z39" i="34" s="1"/>
  <c r="J39" i="34"/>
  <c r="AC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c r="H38" i="33"/>
  <c r="AB38" i="33" s="1"/>
  <c r="F38" i="33"/>
  <c r="AA38" i="33" s="1"/>
  <c r="Q37" i="33"/>
  <c r="Z37" i="33" s="1"/>
  <c r="Q36" i="33"/>
  <c r="Z36" i="33" s="1"/>
  <c r="Q35" i="33"/>
  <c r="Z35" i="33" s="1"/>
  <c r="H35" i="33"/>
  <c r="AB35" i="33" s="1"/>
  <c r="Q34" i="33"/>
  <c r="Z34" i="33" s="1"/>
  <c r="Q33" i="33"/>
  <c r="Z33" i="33"/>
  <c r="J33" i="33"/>
  <c r="AC33" i="33" s="1"/>
  <c r="H33" i="33"/>
  <c r="AB33" i="33" s="1"/>
  <c r="F33" i="33"/>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c r="Q14" i="33"/>
  <c r="Z14" i="33" s="1"/>
  <c r="Q13" i="33"/>
  <c r="Z13" i="33" s="1"/>
  <c r="Q12" i="33"/>
  <c r="Z12" i="33" s="1"/>
  <c r="J12" i="33"/>
  <c r="W12" i="33" s="1"/>
  <c r="F12" i="33"/>
  <c r="S12" i="33" s="1"/>
  <c r="Q11" i="33"/>
  <c r="Z11" i="33" s="1"/>
  <c r="Q10" i="33"/>
  <c r="Z10" i="33" s="1"/>
  <c r="Q9" i="33"/>
  <c r="Z9" i="33" s="1"/>
  <c r="H9" i="33"/>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H44" i="21" s="1"/>
  <c r="U44" i="21" s="1"/>
  <c r="B98" i="21"/>
  <c r="B96" i="21"/>
  <c r="B94" i="21"/>
  <c r="B92" i="21"/>
  <c r="H28" i="21" s="1"/>
  <c r="AB28" i="21" s="1"/>
  <c r="B90" i="21"/>
  <c r="B74" i="21"/>
  <c r="B72" i="21"/>
  <c r="H13" i="21" s="1"/>
  <c r="B70" i="21"/>
  <c r="F12"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F43" i="21"/>
  <c r="S43" i="21" s="1"/>
  <c r="H38" i="21"/>
  <c r="AB38" i="21" s="1"/>
  <c r="H43" i="21"/>
  <c r="AB43" i="21" s="1"/>
  <c r="F38" i="21"/>
  <c r="S38" i="21" s="1"/>
  <c r="F36" i="21"/>
  <c r="S36" i="21" s="1"/>
  <c r="F39" i="21"/>
  <c r="AA39" i="21" s="1"/>
  <c r="J40" i="21"/>
  <c r="AC40" i="21" s="1"/>
  <c r="H35" i="21"/>
  <c r="U35" i="21" s="1"/>
  <c r="J8" i="21"/>
  <c r="AC8" i="21" s="1"/>
  <c r="H8" i="21"/>
  <c r="U8" i="21" s="1"/>
  <c r="H10" i="21"/>
  <c r="U10" i="21" s="1"/>
  <c r="H39" i="21"/>
  <c r="AB39" i="21" s="1"/>
  <c r="J34" i="21"/>
  <c r="W34" i="21" s="1"/>
  <c r="H36" i="21"/>
  <c r="U36" i="21" s="1"/>
  <c r="F35" i="21"/>
  <c r="AA35" i="21" s="1"/>
  <c r="J10" i="21"/>
  <c r="AC10" i="21" s="1"/>
  <c r="H26" i="21"/>
  <c r="H19" i="21"/>
  <c r="AB19" i="21" s="1"/>
  <c r="J19" i="21"/>
  <c r="W19" i="21" s="1"/>
  <c r="J26" i="21"/>
  <c r="W26" i="21" s="1"/>
  <c r="F26" i="21"/>
  <c r="AA26" i="21" s="1"/>
  <c r="AB41" i="21"/>
  <c r="S41" i="21"/>
  <c r="AA41" i="21"/>
  <c r="W41" i="21"/>
  <c r="U30" i="37"/>
  <c r="E103" i="37"/>
  <c r="F103" i="37"/>
  <c r="G103" i="37" s="1"/>
  <c r="F39" i="37"/>
  <c r="S39" i="37" s="1"/>
  <c r="F29" i="36"/>
  <c r="AA29" i="36" s="1"/>
  <c r="F16" i="36"/>
  <c r="AA16" i="36" s="1"/>
  <c r="W23" i="36"/>
  <c r="U26" i="36"/>
  <c r="AC31" i="36"/>
  <c r="J33" i="36"/>
  <c r="W33" i="36" s="1"/>
  <c r="U31" i="35"/>
  <c r="W36" i="35"/>
  <c r="S31" i="35"/>
  <c r="W31" i="35"/>
  <c r="U34" i="35"/>
  <c r="F36" i="34"/>
  <c r="S36" i="34" s="1"/>
  <c r="W9" i="34"/>
  <c r="S34" i="34"/>
  <c r="W39" i="34"/>
  <c r="H39" i="33"/>
  <c r="AB39" i="33" s="1"/>
  <c r="U33" i="33"/>
  <c r="W38" i="33"/>
  <c r="W33" i="33"/>
  <c r="U38" i="33"/>
  <c r="H39" i="37"/>
  <c r="AB39" i="37" s="1"/>
  <c r="AB27" i="35"/>
  <c r="W10" i="40"/>
  <c r="U11" i="40"/>
  <c r="U36" i="40"/>
  <c r="U36" i="39"/>
  <c r="H32" i="33"/>
  <c r="AB32" i="33" s="1"/>
  <c r="AA12" i="33"/>
  <c r="J27" i="36"/>
  <c r="W27" i="36" s="1"/>
  <c r="J34" i="36"/>
  <c r="J30" i="35"/>
  <c r="W30" i="35" s="1"/>
  <c r="F22" i="35"/>
  <c r="AA22" i="35" s="1"/>
  <c r="U29" i="36"/>
  <c r="E85" i="36"/>
  <c r="F85" i="36" s="1"/>
  <c r="G85" i="36" s="1"/>
  <c r="H85" i="36" s="1"/>
  <c r="I85" i="36" s="1"/>
  <c r="J85" i="36" s="1"/>
  <c r="K85" i="36" s="1"/>
  <c r="L85" i="36" s="1"/>
  <c r="M85" i="36" s="1"/>
  <c r="J29" i="36"/>
  <c r="AC29" i="36" s="1"/>
  <c r="F12" i="36"/>
  <c r="S12" i="36" s="1"/>
  <c r="F24" i="36"/>
  <c r="AA24" i="36" s="1"/>
  <c r="F34" i="36"/>
  <c r="S34" i="36" s="1"/>
  <c r="S10" i="36"/>
  <c r="AB8" i="36"/>
  <c r="H33" i="35"/>
  <c r="AB33" i="35" s="1"/>
  <c r="W8" i="35"/>
  <c r="F35" i="37"/>
  <c r="S35" i="37" s="1"/>
  <c r="E101" i="37"/>
  <c r="F101" i="37" s="1"/>
  <c r="G101" i="37" s="1"/>
  <c r="H101" i="37" s="1"/>
  <c r="I101" i="37" s="1"/>
  <c r="J101" i="37" s="1"/>
  <c r="K101" i="37" s="1"/>
  <c r="L101" i="37" s="1"/>
  <c r="M101" i="37" s="1"/>
  <c r="J34" i="37"/>
  <c r="W34" i="37" s="1"/>
  <c r="AA39" i="37"/>
  <c r="H43" i="34"/>
  <c r="U42" i="34"/>
  <c r="E114" i="34"/>
  <c r="H36" i="34"/>
  <c r="F37" i="34"/>
  <c r="AA37" i="34" s="1"/>
  <c r="F33" i="34"/>
  <c r="S33" i="34" s="1"/>
  <c r="F19" i="34"/>
  <c r="AA19" i="34" s="1"/>
  <c r="J10" i="34"/>
  <c r="AC10" i="34" s="1"/>
  <c r="U9" i="34"/>
  <c r="W8" i="34"/>
  <c r="S38" i="33"/>
  <c r="E113" i="33"/>
  <c r="F113" i="33" s="1"/>
  <c r="G113" i="33" s="1"/>
  <c r="H113" i="33" s="1"/>
  <c r="I113" i="33" s="1"/>
  <c r="J113" i="33" s="1"/>
  <c r="K113" i="33" s="1"/>
  <c r="L113" i="33" s="1"/>
  <c r="M113" i="33" s="1"/>
  <c r="F36" i="33"/>
  <c r="S36" i="33" s="1"/>
  <c r="F19" i="33"/>
  <c r="S19" i="33" s="1"/>
  <c r="J19" i="33"/>
  <c r="AB30" i="36"/>
  <c r="H29" i="35"/>
  <c r="AB29" i="35" s="1"/>
  <c r="U34" i="37"/>
  <c r="S34" i="37"/>
  <c r="AA34" i="37"/>
  <c r="AB42" i="34"/>
  <c r="AB40" i="34"/>
  <c r="W36" i="34"/>
  <c r="J19" i="34"/>
  <c r="AC19" i="34" s="1"/>
  <c r="H37" i="33"/>
  <c r="AB37" i="33"/>
  <c r="AC42" i="34"/>
  <c r="W42" i="34"/>
  <c r="AA42" i="34"/>
  <c r="S42" i="34"/>
  <c r="AC38" i="34"/>
  <c r="W38" i="34"/>
  <c r="AA38" i="34"/>
  <c r="S38" i="34"/>
  <c r="J37" i="33"/>
  <c r="W37" i="33" s="1"/>
  <c r="J42" i="21"/>
  <c r="AC42" i="21" s="1"/>
  <c r="J44" i="34"/>
  <c r="AC44" i="34"/>
  <c r="F44" i="34"/>
  <c r="S44" i="34" s="1"/>
  <c r="AL5" i="3"/>
  <c r="BQ13" i="3"/>
  <c r="J14" i="21"/>
  <c r="W14" i="21" s="1"/>
  <c r="F14" i="21"/>
  <c r="AA14" i="21" s="1"/>
  <c r="H14" i="21"/>
  <c r="F28" i="21"/>
  <c r="S28" i="21" s="1"/>
  <c r="J28" i="21"/>
  <c r="AC28" i="21" s="1"/>
  <c r="H30" i="21"/>
  <c r="F30" i="21"/>
  <c r="S30" i="21" s="1"/>
  <c r="J30" i="21"/>
  <c r="J44" i="21"/>
  <c r="AC44" i="21" s="1"/>
  <c r="F44" i="21"/>
  <c r="AA44" i="21" s="1"/>
  <c r="H46" i="21"/>
  <c r="AB46" i="21" s="1"/>
  <c r="J46" i="21"/>
  <c r="W46" i="21" s="1"/>
  <c r="F46" i="21"/>
  <c r="S46" i="21" s="1"/>
  <c r="F33" i="35"/>
  <c r="S33" i="35" s="1"/>
  <c r="J33" i="35"/>
  <c r="W33" i="35" s="1"/>
  <c r="F30" i="35"/>
  <c r="H10" i="36"/>
  <c r="AB10" i="36" s="1"/>
  <c r="F28" i="36"/>
  <c r="S28" i="36"/>
  <c r="F27" i="36"/>
  <c r="S27" i="36" s="1"/>
  <c r="J13" i="21"/>
  <c r="AC13" i="21" s="1"/>
  <c r="F13" i="21"/>
  <c r="AA13" i="21" s="1"/>
  <c r="F29" i="21"/>
  <c r="S29" i="21" s="1"/>
  <c r="F45" i="21"/>
  <c r="S45" i="21" s="1"/>
  <c r="J27" i="33"/>
  <c r="AC27" i="33" s="1"/>
  <c r="F27" i="33"/>
  <c r="S27" i="33" s="1"/>
  <c r="F13" i="33"/>
  <c r="AA13" i="33" s="1"/>
  <c r="S13" i="33"/>
  <c r="J29" i="33"/>
  <c r="W29" i="33" s="1"/>
  <c r="J31" i="33"/>
  <c r="AC31" i="33" s="1"/>
  <c r="H31" i="33"/>
  <c r="U31" i="33" s="1"/>
  <c r="J45" i="33"/>
  <c r="F45" i="33"/>
  <c r="S45" i="33" s="1"/>
  <c r="H28" i="36"/>
  <c r="U28" i="36" s="1"/>
  <c r="H32" i="36"/>
  <c r="AB32" i="36" s="1"/>
  <c r="J32" i="36"/>
  <c r="J13" i="36"/>
  <c r="AC13" i="36" s="1"/>
  <c r="E89" i="37"/>
  <c r="F89" i="37" s="1"/>
  <c r="G89" i="37" s="1"/>
  <c r="H89" i="37" s="1"/>
  <c r="I89" i="37" s="1"/>
  <c r="J89" i="37" s="1"/>
  <c r="K89" i="37" s="1"/>
  <c r="L89" i="37" s="1"/>
  <c r="M89" i="37" s="1"/>
  <c r="J29" i="37"/>
  <c r="W29" i="37" s="1"/>
  <c r="F29" i="37"/>
  <c r="AA29" i="37" s="1"/>
  <c r="F105" i="37"/>
  <c r="G105" i="37" s="1"/>
  <c r="AB36" i="37"/>
  <c r="F107" i="37"/>
  <c r="J37" i="37"/>
  <c r="AC37" i="37"/>
  <c r="H37" i="37"/>
  <c r="U37" i="37" s="1"/>
  <c r="H40" i="37"/>
  <c r="AB40" i="37" s="1"/>
  <c r="U40" i="37"/>
  <c r="J40" i="37"/>
  <c r="F40" i="37"/>
  <c r="AA40" i="37" s="1"/>
  <c r="H14" i="33"/>
  <c r="U14" i="33" s="1"/>
  <c r="F14" i="33"/>
  <c r="AA14" i="33" s="1"/>
  <c r="H30" i="33"/>
  <c r="AB30" i="33" s="1"/>
  <c r="F30" i="33"/>
  <c r="J30" i="33"/>
  <c r="J44" i="33"/>
  <c r="AC44" i="33"/>
  <c r="H13" i="34"/>
  <c r="U13" i="34"/>
  <c r="J13" i="34"/>
  <c r="W13" i="34" s="1"/>
  <c r="F13" i="34"/>
  <c r="AA13" i="34" s="1"/>
  <c r="J31" i="34"/>
  <c r="AC31" i="34" s="1"/>
  <c r="H31" i="34"/>
  <c r="AB31" i="34"/>
  <c r="F31" i="34"/>
  <c r="S31" i="34" s="1"/>
  <c r="H47" i="34"/>
  <c r="U47" i="34"/>
  <c r="F47" i="34"/>
  <c r="AA47" i="34" s="1"/>
  <c r="J47" i="34"/>
  <c r="AC47" i="34"/>
  <c r="F25" i="35"/>
  <c r="AA25" i="35"/>
  <c r="J25" i="36"/>
  <c r="W25" i="36"/>
  <c r="H25" i="36"/>
  <c r="AB25" i="36"/>
  <c r="H13" i="37"/>
  <c r="AB13" i="37" s="1"/>
  <c r="F13" i="37"/>
  <c r="S13" i="37"/>
  <c r="J13" i="37"/>
  <c r="AC13" i="37" s="1"/>
  <c r="H38" i="37"/>
  <c r="AB38" i="37"/>
  <c r="J38" i="37"/>
  <c r="AC38" i="37" s="1"/>
  <c r="F38" i="37"/>
  <c r="AA38" i="37" s="1"/>
  <c r="F27" i="37"/>
  <c r="AA27" i="37" s="1"/>
  <c r="J27" i="37"/>
  <c r="W27" i="37"/>
  <c r="J36" i="37"/>
  <c r="AC36" i="37" s="1"/>
  <c r="AB28" i="36"/>
  <c r="AC14" i="21"/>
  <c r="W31" i="34"/>
  <c r="U36" i="37"/>
  <c r="AB45" i="33"/>
  <c r="AB31" i="33"/>
  <c r="AA27" i="33"/>
  <c r="AB27" i="33"/>
  <c r="U28" i="21"/>
  <c r="AB44" i="21"/>
  <c r="G529" i="3"/>
  <c r="G499" i="3"/>
  <c r="G493" i="3"/>
  <c r="G485" i="3"/>
  <c r="G565" i="3"/>
  <c r="G561" i="3"/>
  <c r="G557" i="3"/>
  <c r="G545" i="3"/>
  <c r="G539" i="3"/>
  <c r="BL545" i="3"/>
  <c r="BL535" i="3"/>
  <c r="BL491" i="3"/>
  <c r="G16" i="3"/>
  <c r="BL551" i="3"/>
  <c r="BL541" i="3"/>
  <c r="G518" i="3"/>
  <c r="BL503" i="3"/>
  <c r="G18" i="3"/>
  <c r="BA565" i="3"/>
  <c r="BA557" i="3"/>
  <c r="BA545" i="3"/>
  <c r="BA543" i="3"/>
  <c r="BA509" i="3"/>
  <c r="BA501" i="3"/>
  <c r="BA487" i="3"/>
  <c r="BA19" i="3"/>
  <c r="BA556" i="3"/>
  <c r="BA554" i="3"/>
  <c r="BA540" i="3"/>
  <c r="BA536" i="3"/>
  <c r="BA524" i="3"/>
  <c r="BA502" i="3"/>
  <c r="BA488" i="3"/>
  <c r="BA20" i="3"/>
  <c r="G566" i="3"/>
  <c r="G560" i="3"/>
  <c r="G558" i="3"/>
  <c r="G550" i="3"/>
  <c r="G546" i="3"/>
  <c r="AC542" i="3"/>
  <c r="G542" i="3"/>
  <c r="BQ542" i="3"/>
  <c r="BQ568" i="3"/>
  <c r="BQ566" i="3"/>
  <c r="BQ564" i="3"/>
  <c r="BQ562" i="3"/>
  <c r="BQ560" i="3"/>
  <c r="BQ558" i="3"/>
  <c r="BQ556" i="3"/>
  <c r="BL556" i="3"/>
  <c r="BQ554" i="3"/>
  <c r="BL554" i="3" s="1"/>
  <c r="AZ554" i="3" s="1"/>
  <c r="BQ552" i="3"/>
  <c r="BQ550" i="3"/>
  <c r="BL550" i="3"/>
  <c r="BQ548" i="3"/>
  <c r="BQ546" i="3"/>
  <c r="BQ544" i="3"/>
  <c r="BL544" i="3" s="1"/>
  <c r="G544" i="3"/>
  <c r="G538" i="3"/>
  <c r="G534" i="3"/>
  <c r="G530" i="3"/>
  <c r="G526" i="3"/>
  <c r="BQ540" i="3"/>
  <c r="BL540" i="3"/>
  <c r="BQ538" i="3"/>
  <c r="BQ536" i="3"/>
  <c r="BQ534" i="3"/>
  <c r="BL534" i="3" s="1"/>
  <c r="BQ532" i="3"/>
  <c r="BL532" i="3" s="1"/>
  <c r="BQ530" i="3"/>
  <c r="BQ528" i="3"/>
  <c r="BQ526" i="3"/>
  <c r="BL526" i="3" s="1"/>
  <c r="BQ524" i="3"/>
  <c r="BL524" i="3" s="1"/>
  <c r="AZ524" i="3" s="1"/>
  <c r="BQ522" i="3"/>
  <c r="BQ520" i="3"/>
  <c r="BQ518" i="3"/>
  <c r="BQ516" i="3"/>
  <c r="BQ514" i="3"/>
  <c r="BQ512" i="3"/>
  <c r="BQ510" i="3"/>
  <c r="BQ508" i="3"/>
  <c r="AC506" i="3"/>
  <c r="G506" i="3" s="1"/>
  <c r="BQ506" i="3"/>
  <c r="G502" i="3"/>
  <c r="BQ504" i="3"/>
  <c r="BQ502" i="3"/>
  <c r="BL502" i="3"/>
  <c r="BQ500" i="3"/>
  <c r="BQ498" i="3"/>
  <c r="BQ496" i="3"/>
  <c r="AC494" i="3"/>
  <c r="BQ494" i="3"/>
  <c r="BL493" i="3"/>
  <c r="G492" i="3"/>
  <c r="G488" i="3"/>
  <c r="G20" i="3"/>
  <c r="BQ492" i="3"/>
  <c r="BL492" i="3" s="1"/>
  <c r="AZ492" i="3" s="1"/>
  <c r="BQ490" i="3"/>
  <c r="BQ488" i="3"/>
  <c r="BL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F79" i="37"/>
  <c r="G79" i="37" s="1"/>
  <c r="AB27" i="37"/>
  <c r="F39" i="33"/>
  <c r="AA39" i="33" s="1"/>
  <c r="F42" i="33"/>
  <c r="AA42" i="33" s="1"/>
  <c r="F22" i="36"/>
  <c r="S22" i="36" s="1"/>
  <c r="H35" i="34"/>
  <c r="U35" i="34" s="1"/>
  <c r="F41" i="34"/>
  <c r="S41" i="34"/>
  <c r="H41" i="34"/>
  <c r="U41" i="34" s="1"/>
  <c r="J41" i="34"/>
  <c r="W41" i="34" s="1"/>
  <c r="F10" i="35"/>
  <c r="S10" i="35" s="1"/>
  <c r="F24" i="35"/>
  <c r="AA24" i="35"/>
  <c r="H24" i="35"/>
  <c r="AB24" i="35" s="1"/>
  <c r="H23" i="37"/>
  <c r="AB23" i="37"/>
  <c r="J32" i="37"/>
  <c r="AC32" i="37" s="1"/>
  <c r="F36" i="37"/>
  <c r="S36" i="37"/>
  <c r="F37" i="37"/>
  <c r="AA37" i="37" s="1"/>
  <c r="U23" i="37"/>
  <c r="H42" i="33"/>
  <c r="U42" i="33" s="1"/>
  <c r="J43" i="33"/>
  <c r="AC43" i="33"/>
  <c r="J23" i="37"/>
  <c r="F17" i="37"/>
  <c r="AA17" i="37" s="1"/>
  <c r="D3" i="21"/>
  <c r="AC33" i="36"/>
  <c r="AC12" i="35"/>
  <c r="W23" i="35"/>
  <c r="S27" i="37"/>
  <c r="U39" i="37"/>
  <c r="AC8" i="37"/>
  <c r="AB8" i="34"/>
  <c r="AC37" i="33"/>
  <c r="F43" i="33"/>
  <c r="AA43" i="33" s="1"/>
  <c r="G107" i="37"/>
  <c r="H107" i="37"/>
  <c r="I107" i="37"/>
  <c r="J107" i="37" s="1"/>
  <c r="K107" i="37" s="1"/>
  <c r="L107" i="37" s="1"/>
  <c r="M107" i="37" s="1"/>
  <c r="H19" i="34"/>
  <c r="AB19" i="34" s="1"/>
  <c r="J10" i="37"/>
  <c r="F36" i="35"/>
  <c r="S36" i="35" s="1"/>
  <c r="J9" i="37"/>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AB31" i="37"/>
  <c r="J15" i="37"/>
  <c r="W15" i="37" s="1"/>
  <c r="AB10" i="37"/>
  <c r="J11" i="37"/>
  <c r="W11" i="37"/>
  <c r="E89" i="40"/>
  <c r="F89" i="40" s="1"/>
  <c r="G89" i="40" s="1"/>
  <c r="F21" i="40"/>
  <c r="S21" i="40" s="1"/>
  <c r="J21" i="40"/>
  <c r="AC21" i="40" s="1"/>
  <c r="S27" i="31"/>
  <c r="AZ540" i="3"/>
  <c r="G483" i="3"/>
  <c r="G507" i="3"/>
  <c r="G501" i="3"/>
  <c r="BA15" i="3"/>
  <c r="BL17" i="3"/>
  <c r="BL15" i="3"/>
  <c r="BA14" i="3"/>
  <c r="AZ14" i="3"/>
  <c r="J57" i="39"/>
  <c r="H13" i="40"/>
  <c r="U13" i="40" s="1"/>
  <c r="H12" i="48"/>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AZ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BL127" i="3"/>
  <c r="G128" i="3"/>
  <c r="BA130" i="3"/>
  <c r="BL131" i="3"/>
  <c r="AZ131" i="3" s="1"/>
  <c r="G132" i="3"/>
  <c r="BA134" i="3"/>
  <c r="BL135" i="3"/>
  <c r="G136" i="3"/>
  <c r="BA138" i="3"/>
  <c r="BL139" i="3"/>
  <c r="G140" i="3"/>
  <c r="BA142" i="3"/>
  <c r="AZ142" i="3"/>
  <c r="BL143" i="3"/>
  <c r="G144" i="3"/>
  <c r="BA146" i="3"/>
  <c r="BL147" i="3"/>
  <c r="AZ147" i="3" s="1"/>
  <c r="G148" i="3"/>
  <c r="BA150" i="3"/>
  <c r="BL151" i="3"/>
  <c r="BA153" i="3"/>
  <c r="BL154" i="3"/>
  <c r="G155" i="3"/>
  <c r="BA157" i="3"/>
  <c r="BL158" i="3"/>
  <c r="AZ158" i="3" s="1"/>
  <c r="G159" i="3"/>
  <c r="BA161" i="3"/>
  <c r="AZ161" i="3" s="1"/>
  <c r="BL162" i="3"/>
  <c r="G163" i="3"/>
  <c r="BA165" i="3"/>
  <c r="BL166" i="3"/>
  <c r="G167" i="3"/>
  <c r="BA169" i="3"/>
  <c r="AZ169" i="3" s="1"/>
  <c r="BL170" i="3"/>
  <c r="G171" i="3"/>
  <c r="BA173" i="3"/>
  <c r="BL174" i="3"/>
  <c r="G175" i="3"/>
  <c r="BA178" i="3"/>
  <c r="BL179" i="3"/>
  <c r="AZ179" i="3" s="1"/>
  <c r="G180" i="3"/>
  <c r="AZ31" i="3"/>
  <c r="G537" i="3"/>
  <c r="BL181" i="3"/>
  <c r="G182" i="3"/>
  <c r="BA184" i="3"/>
  <c r="BL185" i="3"/>
  <c r="G186" i="3"/>
  <c r="BA188" i="3"/>
  <c r="BL189" i="3"/>
  <c r="AZ189" i="3" s="1"/>
  <c r="G190" i="3"/>
  <c r="BA192" i="3"/>
  <c r="BL193" i="3"/>
  <c r="AZ193" i="3" s="1"/>
  <c r="G194" i="3"/>
  <c r="BA196" i="3"/>
  <c r="BL197" i="3"/>
  <c r="AZ197" i="3" s="1"/>
  <c r="G198" i="3"/>
  <c r="BA200" i="3"/>
  <c r="AZ200" i="3"/>
  <c r="BL201" i="3"/>
  <c r="AZ74" i="3"/>
  <c r="G491" i="3"/>
  <c r="BA298" i="3"/>
  <c r="AZ298" i="3" s="1"/>
  <c r="BA299" i="3"/>
  <c r="BL299" i="3"/>
  <c r="G300" i="3"/>
  <c r="G303" i="3"/>
  <c r="BL304" i="3"/>
  <c r="BA306" i="3"/>
  <c r="BA307" i="3"/>
  <c r="BL307" i="3"/>
  <c r="AZ307" i="3" s="1"/>
  <c r="G308" i="3"/>
  <c r="G319" i="3"/>
  <c r="BL320" i="3"/>
  <c r="BA322" i="3"/>
  <c r="AZ322" i="3" s="1"/>
  <c r="BA323" i="3"/>
  <c r="BL323" i="3"/>
  <c r="AZ323" i="3" s="1"/>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AZ355" i="3" s="1"/>
  <c r="BL355" i="3"/>
  <c r="G356" i="3"/>
  <c r="BA358" i="3"/>
  <c r="BA359" i="3"/>
  <c r="BL359" i="3"/>
  <c r="G360" i="3"/>
  <c r="G361" i="3"/>
  <c r="BL362" i="3"/>
  <c r="BA364" i="3"/>
  <c r="BA365" i="3"/>
  <c r="AZ365" i="3" s="1"/>
  <c r="BL365" i="3"/>
  <c r="G366" i="3"/>
  <c r="G369" i="3"/>
  <c r="BL370" i="3"/>
  <c r="BA372" i="3"/>
  <c r="AZ372" i="3"/>
  <c r="BA373" i="3"/>
  <c r="AZ373" i="3" s="1"/>
  <c r="BL373" i="3"/>
  <c r="G374" i="3"/>
  <c r="G377" i="3"/>
  <c r="BL378" i="3"/>
  <c r="BA380" i="3"/>
  <c r="AZ380" i="3" s="1"/>
  <c r="BA381" i="3"/>
  <c r="AZ381" i="3" s="1"/>
  <c r="BL381" i="3"/>
  <c r="G382" i="3"/>
  <c r="G385" i="3"/>
  <c r="AZ154" i="3"/>
  <c r="G523" i="3"/>
  <c r="BL297" i="3"/>
  <c r="AZ297" i="3" s="1"/>
  <c r="G298" i="3"/>
  <c r="BA300" i="3"/>
  <c r="BL301" i="3"/>
  <c r="G302" i="3"/>
  <c r="BA304" i="3"/>
  <c r="AZ304" i="3" s="1"/>
  <c r="BL305" i="3"/>
  <c r="G306" i="3"/>
  <c r="BA308" i="3"/>
  <c r="BL309" i="3"/>
  <c r="G310" i="3"/>
  <c r="BA310" i="3"/>
  <c r="AZ310" i="3" s="1"/>
  <c r="BL311" i="3"/>
  <c r="G312" i="3"/>
  <c r="BA312" i="3"/>
  <c r="AZ312" i="3" s="1"/>
  <c r="BL313" i="3"/>
  <c r="G314" i="3"/>
  <c r="BA314" i="3"/>
  <c r="BL315" i="3"/>
  <c r="G316" i="3"/>
  <c r="BA316" i="3"/>
  <c r="BL317" i="3"/>
  <c r="G318" i="3"/>
  <c r="BA320" i="3"/>
  <c r="AZ320" i="3" s="1"/>
  <c r="BL321" i="3"/>
  <c r="AZ321" i="3" s="1"/>
  <c r="G322" i="3"/>
  <c r="BA324" i="3"/>
  <c r="AZ324" i="3" s="1"/>
  <c r="BL325" i="3"/>
  <c r="G326" i="3"/>
  <c r="BA328" i="3"/>
  <c r="AZ328" i="3" s="1"/>
  <c r="BL329" i="3"/>
  <c r="G330" i="3"/>
  <c r="BA332" i="3"/>
  <c r="BL333" i="3"/>
  <c r="G334" i="3"/>
  <c r="BA336" i="3"/>
  <c r="AZ336" i="3" s="1"/>
  <c r="BL337" i="3"/>
  <c r="AZ337" i="3" s="1"/>
  <c r="G338" i="3"/>
  <c r="BA340" i="3"/>
  <c r="AZ340" i="3" s="1"/>
  <c r="BL341" i="3"/>
  <c r="G342" i="3"/>
  <c r="BA344" i="3"/>
  <c r="AZ344" i="3" s="1"/>
  <c r="BL345" i="3"/>
  <c r="G346" i="3"/>
  <c r="BA348" i="3"/>
  <c r="BL349" i="3"/>
  <c r="G350" i="3"/>
  <c r="BA352" i="3"/>
  <c r="AZ352" i="3" s="1"/>
  <c r="BL353" i="3"/>
  <c r="AZ353" i="3" s="1"/>
  <c r="G354" i="3"/>
  <c r="BA356" i="3"/>
  <c r="AZ356" i="3" s="1"/>
  <c r="BL357" i="3"/>
  <c r="G358" i="3"/>
  <c r="BA362" i="3"/>
  <c r="AZ362" i="3" s="1"/>
  <c r="BL363" i="3"/>
  <c r="G364" i="3"/>
  <c r="BA366" i="3"/>
  <c r="BL367" i="3"/>
  <c r="AZ367" i="3" s="1"/>
  <c r="AZ209" i="3"/>
  <c r="AZ217" i="3"/>
  <c r="AZ333" i="3"/>
  <c r="AZ357" i="3"/>
  <c r="G368" i="3"/>
  <c r="BA370" i="3"/>
  <c r="AZ370" i="3" s="1"/>
  <c r="BL371" i="3"/>
  <c r="G372" i="3"/>
  <c r="BA374" i="3"/>
  <c r="AZ374" i="3" s="1"/>
  <c r="BL375" i="3"/>
  <c r="G376" i="3"/>
  <c r="BA378" i="3"/>
  <c r="AZ378" i="3" s="1"/>
  <c r="BL379" i="3"/>
  <c r="G380" i="3"/>
  <c r="BA382" i="3"/>
  <c r="BL383" i="3"/>
  <c r="G384" i="3"/>
  <c r="AZ265" i="3"/>
  <c r="AZ290" i="3"/>
  <c r="AZ295" i="3"/>
  <c r="AZ315" i="3"/>
  <c r="AZ331" i="3"/>
  <c r="AZ339" i="3"/>
  <c r="AZ369" i="3"/>
  <c r="AZ438" i="3"/>
  <c r="AZ455" i="3"/>
  <c r="H7" i="48"/>
  <c r="F33" i="46"/>
  <c r="H16" i="48"/>
  <c r="H9" i="48"/>
  <c r="H8" i="48"/>
  <c r="C12" i="46"/>
  <c r="AA13" i="40"/>
  <c r="F77" i="40"/>
  <c r="G77" i="40" s="1"/>
  <c r="H77" i="40" s="1"/>
  <c r="I77" i="40" s="1"/>
  <c r="J77" i="40" s="1"/>
  <c r="K77" i="40" s="1"/>
  <c r="L77" i="40" s="1"/>
  <c r="M77" i="40" s="1"/>
  <c r="R16" i="4"/>
  <c r="P16" i="4"/>
  <c r="D3" i="35"/>
  <c r="G4" i="4"/>
  <c r="S37" i="34"/>
  <c r="J16" i="35"/>
  <c r="W16" i="35" s="1"/>
  <c r="AC26" i="36"/>
  <c r="AA36" i="35"/>
  <c r="H11" i="37"/>
  <c r="AB11" i="37" s="1"/>
  <c r="W37" i="37"/>
  <c r="AA36" i="37"/>
  <c r="S42" i="33"/>
  <c r="U32" i="33"/>
  <c r="AB17" i="37"/>
  <c r="AC29" i="33"/>
  <c r="AA45" i="33"/>
  <c r="AC10" i="36"/>
  <c r="S25" i="35"/>
  <c r="W44" i="33"/>
  <c r="AC30" i="33"/>
  <c r="W30" i="33"/>
  <c r="AC29" i="37"/>
  <c r="W32" i="36"/>
  <c r="AC32" i="36"/>
  <c r="J33" i="34"/>
  <c r="AC33"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AB26" i="21"/>
  <c r="U26" i="21"/>
  <c r="J32" i="21"/>
  <c r="AC32" i="21" s="1"/>
  <c r="F17" i="21"/>
  <c r="S17" i="21" s="1"/>
  <c r="H17" i="21"/>
  <c r="AB17" i="21" s="1"/>
  <c r="J17" i="21"/>
  <c r="W1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F35" i="33"/>
  <c r="AA35" i="33" s="1"/>
  <c r="AB39" i="34"/>
  <c r="F11" i="34"/>
  <c r="S11" i="34" s="1"/>
  <c r="E80" i="34"/>
  <c r="F80" i="34" s="1"/>
  <c r="G80" i="34" s="1"/>
  <c r="H17" i="34"/>
  <c r="AB17" i="34" s="1"/>
  <c r="AB28" i="35"/>
  <c r="U28" i="35"/>
  <c r="J13" i="33"/>
  <c r="W13" i="33" s="1"/>
  <c r="H13" i="33"/>
  <c r="U13" i="33" s="1"/>
  <c r="H29" i="33"/>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J32" i="34"/>
  <c r="W32" i="34" s="1"/>
  <c r="H46" i="34"/>
  <c r="F46" i="34"/>
  <c r="AA46" i="34" s="1"/>
  <c r="J46" i="34"/>
  <c r="AC46" i="34" s="1"/>
  <c r="H11" i="35"/>
  <c r="J11" i="35"/>
  <c r="AC11" i="35" s="1"/>
  <c r="F96" i="37"/>
  <c r="H32" i="37"/>
  <c r="AB32" i="37" s="1"/>
  <c r="F19" i="39"/>
  <c r="H19" i="39"/>
  <c r="J19" i="39"/>
  <c r="W19" i="39" s="1"/>
  <c r="F43" i="39"/>
  <c r="AA43" i="39" s="1"/>
  <c r="H43" i="39"/>
  <c r="U43" i="39" s="1"/>
  <c r="J43" i="39"/>
  <c r="AC43" i="39" s="1"/>
  <c r="F99" i="37"/>
  <c r="G99" i="37" s="1"/>
  <c r="AC27" i="37"/>
  <c r="U31" i="34"/>
  <c r="AC40" i="37"/>
  <c r="W40" i="37"/>
  <c r="W27" i="33"/>
  <c r="S14" i="21"/>
  <c r="AA44" i="34"/>
  <c r="U29" i="35"/>
  <c r="AC19" i="33"/>
  <c r="W19" i="33"/>
  <c r="U43" i="34"/>
  <c r="AB43" i="34"/>
  <c r="AC34" i="37"/>
  <c r="AA35" i="37"/>
  <c r="F42" i="21"/>
  <c r="AA42" i="21" s="1"/>
  <c r="AB40" i="33"/>
  <c r="U40" i="33"/>
  <c r="AA35" i="34"/>
  <c r="S35" i="34"/>
  <c r="E90" i="34"/>
  <c r="H27" i="34"/>
  <c r="AB27" i="34" s="1"/>
  <c r="J14" i="35"/>
  <c r="AC14" i="35" s="1"/>
  <c r="F14" i="35"/>
  <c r="AA14" i="35" s="1"/>
  <c r="H14" i="35"/>
  <c r="U14" i="35" s="1"/>
  <c r="E80"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U34" i="36"/>
  <c r="AB34" i="36"/>
  <c r="H33" i="36"/>
  <c r="F33" i="36"/>
  <c r="AA33" i="36" s="1"/>
  <c r="H27" i="36"/>
  <c r="AB27" i="36" s="1"/>
  <c r="AB29" i="37"/>
  <c r="AA30" i="37"/>
  <c r="S30" i="37"/>
  <c r="AC30" i="37"/>
  <c r="AC31" i="37"/>
  <c r="W31" i="37"/>
  <c r="F17" i="39"/>
  <c r="AA17" i="39" s="1"/>
  <c r="H17" i="39"/>
  <c r="U17" i="39" s="1"/>
  <c r="J17" i="39"/>
  <c r="W17" i="39" s="1"/>
  <c r="F21" i="39"/>
  <c r="S21" i="39" s="1"/>
  <c r="H21" i="39"/>
  <c r="AB21" i="39" s="1"/>
  <c r="J21" i="39"/>
  <c r="W21" i="39" s="1"/>
  <c r="F33" i="39"/>
  <c r="AA33" i="39" s="1"/>
  <c r="H33" i="39"/>
  <c r="U33" i="39" s="1"/>
  <c r="J33" i="39"/>
  <c r="W33" i="39" s="1"/>
  <c r="F44" i="39"/>
  <c r="AA44" i="39" s="1"/>
  <c r="H44" i="39"/>
  <c r="U44" i="39" s="1"/>
  <c r="J44" i="39"/>
  <c r="W44" i="39" s="1"/>
  <c r="E127" i="39"/>
  <c r="F127" i="39" s="1"/>
  <c r="G127" i="39" s="1"/>
  <c r="H127" i="39" s="1"/>
  <c r="I127" i="39" s="1"/>
  <c r="J127" i="39" s="1"/>
  <c r="K127" i="39" s="1"/>
  <c r="L127" i="39" s="1"/>
  <c r="M127" i="39" s="1"/>
  <c r="E102" i="39"/>
  <c r="F102" i="39" s="1"/>
  <c r="G102" i="39" s="1"/>
  <c r="F34" i="39"/>
  <c r="AA34" i="39" s="1"/>
  <c r="H34" i="39"/>
  <c r="AB34" i="39" s="1"/>
  <c r="J34" i="39"/>
  <c r="AC34" i="39" s="1"/>
  <c r="F39" i="39"/>
  <c r="AA39" i="39" s="1"/>
  <c r="H39" i="39"/>
  <c r="AB39" i="39" s="1"/>
  <c r="J39" i="39"/>
  <c r="W39" i="39" s="1"/>
  <c r="J29" i="35"/>
  <c r="AC29" i="35" s="1"/>
  <c r="F29" i="35"/>
  <c r="AA29" i="35" s="1"/>
  <c r="W30" i="36"/>
  <c r="AC30" i="36"/>
  <c r="BL566" i="3"/>
  <c r="BL565" i="3"/>
  <c r="BA564" i="3"/>
  <c r="BA553" i="3"/>
  <c r="BA552" i="3"/>
  <c r="BA548" i="3"/>
  <c r="BL539" i="3"/>
  <c r="BA539" i="3"/>
  <c r="AZ539" i="3" s="1"/>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2" i="3"/>
  <c r="BL515" i="3"/>
  <c r="BL513" i="3"/>
  <c r="BL504" i="3"/>
  <c r="BA504" i="3"/>
  <c r="BA503" i="3"/>
  <c r="AZ503" i="3"/>
  <c r="BA500" i="3"/>
  <c r="AZ500" i="3"/>
  <c r="BL499" i="3"/>
  <c r="BA499" i="3"/>
  <c r="AZ499" i="3" s="1"/>
  <c r="BL498" i="3"/>
  <c r="AZ498" i="3" s="1"/>
  <c r="BL497" i="3"/>
  <c r="AZ497" i="3" s="1"/>
  <c r="BA497" i="3"/>
  <c r="BL496" i="3"/>
  <c r="AZ496" i="3" s="1"/>
  <c r="BA496" i="3"/>
  <c r="BA495" i="3"/>
  <c r="BL494" i="3"/>
  <c r="BA494" i="3"/>
  <c r="AZ494" i="3" s="1"/>
  <c r="G494" i="3"/>
  <c r="BA491" i="3"/>
  <c r="AZ491" i="3" s="1"/>
  <c r="BL490" i="3"/>
  <c r="BA490" i="3"/>
  <c r="BL489" i="3"/>
  <c r="BA489" i="3"/>
  <c r="AZ489" i="3"/>
  <c r="BL487" i="3"/>
  <c r="AZ487" i="3"/>
  <c r="BA486" i="3"/>
  <c r="BL481" i="3"/>
  <c r="AZ481" i="3" s="1"/>
  <c r="BA481" i="3"/>
  <c r="BL19" i="3"/>
  <c r="AZ19" i="3" s="1"/>
  <c r="BA18" i="3"/>
  <c r="F114" i="34"/>
  <c r="G114" i="34" s="1"/>
  <c r="H114" i="34" s="1"/>
  <c r="I114" i="34" s="1"/>
  <c r="J114" i="34"/>
  <c r="K114" i="34" s="1"/>
  <c r="L114" i="34" s="1"/>
  <c r="M114" i="34" s="1"/>
  <c r="H38" i="34"/>
  <c r="U38" i="34" s="1"/>
  <c r="H30" i="40"/>
  <c r="AB30" i="40" s="1"/>
  <c r="G99" i="40"/>
  <c r="J30" i="40"/>
  <c r="AC30" i="40" s="1"/>
  <c r="F38" i="40"/>
  <c r="AA38" i="40" s="1"/>
  <c r="AA36" i="34"/>
  <c r="AB8" i="33"/>
  <c r="U8" i="33"/>
  <c r="E106" i="33"/>
  <c r="H34" i="33"/>
  <c r="U34" i="33"/>
  <c r="F34" i="33"/>
  <c r="S34" i="33"/>
  <c r="E121" i="33"/>
  <c r="F41" i="33"/>
  <c r="S41" i="33" s="1"/>
  <c r="AC34" i="34"/>
  <c r="W34" i="34"/>
  <c r="AA39" i="34"/>
  <c r="S39" i="34"/>
  <c r="S43" i="34"/>
  <c r="E78" i="34"/>
  <c r="F15" i="34"/>
  <c r="AC28" i="35"/>
  <c r="W28" i="35"/>
  <c r="J20" i="35"/>
  <c r="W20" i="35" s="1"/>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F15" i="40"/>
  <c r="AA15" i="40" s="1"/>
  <c r="J15" i="40"/>
  <c r="H15" i="40"/>
  <c r="AB15" i="40" s="1"/>
  <c r="E91" i="40"/>
  <c r="F91" i="40" s="1"/>
  <c r="G91" i="40" s="1"/>
  <c r="H23" i="40"/>
  <c r="U23" i="40" s="1"/>
  <c r="H41" i="40"/>
  <c r="AB41" i="40" s="1"/>
  <c r="F41" i="40"/>
  <c r="AA41" i="40" s="1"/>
  <c r="J41" i="40"/>
  <c r="AC41" i="40" s="1"/>
  <c r="H36" i="33"/>
  <c r="AB36" i="33" s="1"/>
  <c r="H37" i="34"/>
  <c r="U37" i="34" s="1"/>
  <c r="F15" i="39"/>
  <c r="AA15" i="39" s="1"/>
  <c r="H15" i="39"/>
  <c r="AB15" i="39" s="1"/>
  <c r="J15" i="39"/>
  <c r="AC15" i="39" s="1"/>
  <c r="H25" i="39"/>
  <c r="AB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16" i="40"/>
  <c r="J14" i="40"/>
  <c r="W14" i="40" s="1"/>
  <c r="H42" i="40"/>
  <c r="AB42" i="40" s="1"/>
  <c r="H40" i="40"/>
  <c r="U40" i="40" s="1"/>
  <c r="AZ407" i="3"/>
  <c r="J42" i="40"/>
  <c r="AC42" i="40"/>
  <c r="J40" i="40"/>
  <c r="AC40" i="40"/>
  <c r="H16" i="40"/>
  <c r="AB16" i="40"/>
  <c r="H14" i="40"/>
  <c r="U14" i="40"/>
  <c r="F32" i="40"/>
  <c r="AA32" i="40"/>
  <c r="M1" i="46"/>
  <c r="M6" i="46"/>
  <c r="M10" i="46"/>
  <c r="N2" i="46"/>
  <c r="N5" i="46"/>
  <c r="F58" i="46"/>
  <c r="H61" i="46" s="1"/>
  <c r="N7" i="46"/>
  <c r="AZ458" i="3"/>
  <c r="AZ474" i="3"/>
  <c r="AZ220" i="3"/>
  <c r="AZ223" i="3"/>
  <c r="AZ268" i="3"/>
  <c r="AZ276" i="3"/>
  <c r="AZ284" i="3"/>
  <c r="AZ121" i="3"/>
  <c r="AZ140" i="3"/>
  <c r="M7" i="46"/>
  <c r="M11" i="46"/>
  <c r="N3" i="46"/>
  <c r="N6" i="46"/>
  <c r="N10" i="46"/>
  <c r="F69" i="46"/>
  <c r="H71" i="46"/>
  <c r="AZ180" i="3"/>
  <c r="AZ56" i="3"/>
  <c r="J13" i="40"/>
  <c r="W13" i="40"/>
  <c r="AB14" i="40"/>
  <c r="W40" i="40"/>
  <c r="AB37" i="34"/>
  <c r="W41" i="40"/>
  <c r="U41" i="40"/>
  <c r="J23" i="40"/>
  <c r="AC23" i="40" s="1"/>
  <c r="F23" i="40"/>
  <c r="S23" i="40" s="1"/>
  <c r="AC15" i="40"/>
  <c r="W15" i="40"/>
  <c r="AB23" i="35"/>
  <c r="H20" i="35"/>
  <c r="U20" i="35" s="1"/>
  <c r="F20" i="35"/>
  <c r="H15" i="34"/>
  <c r="AB15" i="34"/>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04" i="3"/>
  <c r="AZ529" i="3"/>
  <c r="J29" i="39"/>
  <c r="AC29" i="39" s="1"/>
  <c r="F33" i="37"/>
  <c r="AA33" i="37" s="1"/>
  <c r="AB19" i="39"/>
  <c r="U19" i="39"/>
  <c r="AA14" i="34"/>
  <c r="AC13" i="33"/>
  <c r="U17" i="34"/>
  <c r="AA11" i="34"/>
  <c r="H15" i="33"/>
  <c r="U15" i="33" s="1"/>
  <c r="U16" i="40"/>
  <c r="W32" i="40"/>
  <c r="H25" i="40"/>
  <c r="AB25" i="40" s="1"/>
  <c r="F93" i="40"/>
  <c r="G93" i="40" s="1"/>
  <c r="J37" i="34"/>
  <c r="AC37" i="34" s="1"/>
  <c r="J36" i="33"/>
  <c r="AC36" i="33" s="1"/>
  <c r="S41" i="40"/>
  <c r="H23" i="39"/>
  <c r="AB23" i="39" s="1"/>
  <c r="J23" i="39"/>
  <c r="AC23" i="39" s="1"/>
  <c r="F96" i="39"/>
  <c r="G96" i="39" s="1"/>
  <c r="S16" i="39"/>
  <c r="S15" i="34"/>
  <c r="AA15" i="34"/>
  <c r="AA34" i="33"/>
  <c r="F106" i="33"/>
  <c r="G106" i="33" s="1"/>
  <c r="H106" i="33" s="1"/>
  <c r="I106" i="33" s="1"/>
  <c r="J106" i="33" s="1"/>
  <c r="K106" i="33" s="1"/>
  <c r="L106" i="33" s="1"/>
  <c r="M106" i="33" s="1"/>
  <c r="J34" i="33"/>
  <c r="AC34" i="33" s="1"/>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c r="H11" i="34"/>
  <c r="AB11" i="34" s="1"/>
  <c r="J35" i="33"/>
  <c r="W35" i="33" s="1"/>
  <c r="S32" i="33"/>
  <c r="AC15" i="33"/>
  <c r="H11" i="33"/>
  <c r="U11" i="33" s="1"/>
  <c r="H10" i="33"/>
  <c r="U10" i="33" s="1"/>
  <c r="I66" i="33"/>
  <c r="J10" i="33"/>
  <c r="AC10" i="33" s="1"/>
  <c r="U11" i="37"/>
  <c r="AC13" i="40"/>
  <c r="J11" i="34"/>
  <c r="AC11" i="34" s="1"/>
  <c r="W11" i="34"/>
  <c r="F25" i="40"/>
  <c r="AA25" i="40" s="1"/>
  <c r="J11" i="33"/>
  <c r="W11" i="33" s="1"/>
  <c r="H33" i="37"/>
  <c r="AB33" i="37" s="1"/>
  <c r="AC15" i="34"/>
  <c r="AP11" i="1"/>
  <c r="B11" i="1"/>
  <c r="E11" i="1"/>
  <c r="K11" i="1"/>
  <c r="M11" i="1" s="1"/>
  <c r="B9" i="1"/>
  <c r="E9" i="1" s="1"/>
  <c r="K9" i="1"/>
  <c r="M9" i="1" s="1"/>
  <c r="B7" i="1"/>
  <c r="E7" i="1" s="1"/>
  <c r="K7" i="1"/>
  <c r="F6" i="1"/>
  <c r="AP6" i="1" s="1"/>
  <c r="G11" i="1"/>
  <c r="AC25" i="36"/>
  <c r="S8" i="36"/>
  <c r="AA28" i="36"/>
  <c r="U25" i="36"/>
  <c r="H20" i="36"/>
  <c r="U20" i="36" s="1"/>
  <c r="F68" i="36"/>
  <c r="G68" i="36" s="1"/>
  <c r="J20" i="36"/>
  <c r="AC20" i="36" s="1"/>
  <c r="F20" i="36"/>
  <c r="S20" i="36" s="1"/>
  <c r="F62" i="36"/>
  <c r="G62" i="36" s="1"/>
  <c r="J14" i="36"/>
  <c r="H14" i="36"/>
  <c r="U14" i="36" s="1"/>
  <c r="F14" i="36"/>
  <c r="AA14" i="36" s="1"/>
  <c r="U32" i="36"/>
  <c r="U9" i="36"/>
  <c r="S33" i="36"/>
  <c r="AA27" i="36"/>
  <c r="S16" i="36"/>
  <c r="S29" i="36"/>
  <c r="AC33" i="35"/>
  <c r="S8" i="35"/>
  <c r="U33" i="35"/>
  <c r="S23" i="35"/>
  <c r="AC18" i="35"/>
  <c r="W18" i="35"/>
  <c r="U18" i="35"/>
  <c r="AB18" i="35"/>
  <c r="AB30" i="35"/>
  <c r="S27" i="35"/>
  <c r="S28" i="35"/>
  <c r="W12" i="37"/>
  <c r="S17" i="37"/>
  <c r="AB37" i="37"/>
  <c r="AA31" i="37"/>
  <c r="U32" i="37"/>
  <c r="AA32" i="37"/>
  <c r="J33" i="37"/>
  <c r="W33" i="37" s="1"/>
  <c r="H99" i="37"/>
  <c r="I99" i="37"/>
  <c r="J99" i="37" s="1"/>
  <c r="K99" i="37" s="1"/>
  <c r="L99" i="37" s="1"/>
  <c r="M99" i="37" s="1"/>
  <c r="S29" i="37"/>
  <c r="J19" i="37"/>
  <c r="AC19" i="37" s="1"/>
  <c r="G75" i="37"/>
  <c r="F19" i="37"/>
  <c r="AA19" i="37" s="1"/>
  <c r="H19" i="37"/>
  <c r="U19" i="37" s="1"/>
  <c r="J17" i="37"/>
  <c r="AC17" i="37" s="1"/>
  <c r="S15" i="37"/>
  <c r="AC21" i="37"/>
  <c r="W21" i="37"/>
  <c r="AC11" i="37"/>
  <c r="W32" i="37"/>
  <c r="U35" i="37"/>
  <c r="U8" i="37"/>
  <c r="AB21" i="37"/>
  <c r="U21" i="37"/>
  <c r="S37" i="37"/>
  <c r="S40" i="37"/>
  <c r="AA11" i="37"/>
  <c r="S10" i="37"/>
  <c r="AA40" i="34"/>
  <c r="W33" i="34"/>
  <c r="AB33" i="34"/>
  <c r="AC35" i="34"/>
  <c r="AA30" i="34"/>
  <c r="AC32" i="34"/>
  <c r="AA33" i="34"/>
  <c r="U44" i="34"/>
  <c r="U34" i="34"/>
  <c r="AA27" i="34"/>
  <c r="J25" i="34"/>
  <c r="W25" i="34" s="1"/>
  <c r="H25" i="34"/>
  <c r="F25" i="34"/>
  <c r="AA25" i="34" s="1"/>
  <c r="J23" i="34"/>
  <c r="F86" i="34"/>
  <c r="G86" i="34" s="1"/>
  <c r="F23" i="34"/>
  <c r="H23" i="34"/>
  <c r="U23" i="34" s="1"/>
  <c r="W17" i="34"/>
  <c r="U11" i="34"/>
  <c r="W10" i="34"/>
  <c r="U10" i="34"/>
  <c r="AC40" i="34"/>
  <c r="W44" i="34"/>
  <c r="W19" i="34"/>
  <c r="AC21" i="34"/>
  <c r="W21" i="34"/>
  <c r="U15" i="34"/>
  <c r="AB21" i="34"/>
  <c r="U21" i="34"/>
  <c r="U27" i="34"/>
  <c r="U19" i="34"/>
  <c r="AB41" i="34"/>
  <c r="S13" i="34"/>
  <c r="AA41" i="34"/>
  <c r="S9" i="34"/>
  <c r="S10" i="34"/>
  <c r="U39" i="33"/>
  <c r="U37" i="33"/>
  <c r="S35" i="33"/>
  <c r="AC12" i="33"/>
  <c r="AB11" i="33"/>
  <c r="AB41" i="33"/>
  <c r="U36" i="33"/>
  <c r="S29" i="33"/>
  <c r="W31" i="33"/>
  <c r="W43" i="33"/>
  <c r="W39" i="33"/>
  <c r="U35" i="33"/>
  <c r="AB34" i="33"/>
  <c r="H25" i="33"/>
  <c r="AB25" i="33"/>
  <c r="J25" i="33"/>
  <c r="W25" i="33" s="1"/>
  <c r="F25" i="33"/>
  <c r="F85" i="33"/>
  <c r="G85" i="33" s="1"/>
  <c r="J23" i="33"/>
  <c r="W23" i="33" s="1"/>
  <c r="F23" i="33"/>
  <c r="H23" i="33"/>
  <c r="U23" i="33" s="1"/>
  <c r="F79" i="33"/>
  <c r="G79" i="33" s="1"/>
  <c r="F17" i="33"/>
  <c r="AA17" i="33" s="1"/>
  <c r="H17" i="33"/>
  <c r="J17" i="33"/>
  <c r="W17" i="33" s="1"/>
  <c r="AB15" i="33"/>
  <c r="AC11" i="33"/>
  <c r="S10" i="33"/>
  <c r="S14" i="33"/>
  <c r="AC21" i="33"/>
  <c r="W21" i="33"/>
  <c r="W14" i="33"/>
  <c r="U25" i="33"/>
  <c r="AB21" i="33"/>
  <c r="U21" i="33"/>
  <c r="AA21" i="33"/>
  <c r="S21" i="33"/>
  <c r="AA36" i="33"/>
  <c r="W43" i="21"/>
  <c r="W28" i="21"/>
  <c r="AC26" i="21"/>
  <c r="J23" i="21"/>
  <c r="W23" i="21" s="1"/>
  <c r="F23" i="21"/>
  <c r="AA23" i="21" s="1"/>
  <c r="H23" i="21"/>
  <c r="U23" i="21" s="1"/>
  <c r="F15" i="21"/>
  <c r="S15" i="21" s="1"/>
  <c r="J15" i="21"/>
  <c r="W15" i="21" s="1"/>
  <c r="H15" i="21"/>
  <c r="U15" i="21" s="1"/>
  <c r="W13" i="21"/>
  <c r="AC21" i="21"/>
  <c r="W21" i="21"/>
  <c r="AB21" i="21"/>
  <c r="U21" i="21"/>
  <c r="AA30" i="21"/>
  <c r="W33" i="40"/>
  <c r="S35" i="40"/>
  <c r="U15" i="40"/>
  <c r="S14" i="40"/>
  <c r="S15" i="40"/>
  <c r="S16" i="40"/>
  <c r="W11" i="40"/>
  <c r="AA21" i="40"/>
  <c r="U21" i="40"/>
  <c r="W25" i="40"/>
  <c r="U25" i="40"/>
  <c r="W42" i="40"/>
  <c r="U35" i="40"/>
  <c r="F37" i="40"/>
  <c r="J37" i="40"/>
  <c r="AC37" i="40" s="1"/>
  <c r="H37" i="40"/>
  <c r="G112" i="40"/>
  <c r="H112" i="40" s="1"/>
  <c r="I112" i="40" s="1"/>
  <c r="J112" i="40" s="1"/>
  <c r="K112" i="40" s="1"/>
  <c r="L112" i="40" s="1"/>
  <c r="M112" i="40" s="1"/>
  <c r="F39" i="40"/>
  <c r="AA39" i="40" s="1"/>
  <c r="S38" i="40"/>
  <c r="H39" i="40"/>
  <c r="AB39" i="40" s="1"/>
  <c r="J39" i="40"/>
  <c r="AC39" i="40" s="1"/>
  <c r="W38" i="40"/>
  <c r="F29" i="40"/>
  <c r="H29" i="40"/>
  <c r="U29" i="40" s="1"/>
  <c r="J29" i="40"/>
  <c r="AC29" i="40" s="1"/>
  <c r="F97" i="40"/>
  <c r="G97" i="40" s="1"/>
  <c r="H97" i="40" s="1"/>
  <c r="I97" i="40" s="1"/>
  <c r="J97" i="40" s="1"/>
  <c r="K97" i="40" s="1"/>
  <c r="L97" i="40" s="1"/>
  <c r="M97" i="40" s="1"/>
  <c r="S30" i="40"/>
  <c r="AA23" i="40"/>
  <c r="F87" i="40"/>
  <c r="G87" i="40" s="1"/>
  <c r="F19" i="40"/>
  <c r="AA19" i="40" s="1"/>
  <c r="H19" i="40"/>
  <c r="J19" i="40"/>
  <c r="W19" i="40" s="1"/>
  <c r="W17" i="40"/>
  <c r="AC17" i="40"/>
  <c r="F17" i="40"/>
  <c r="AA17" i="40" s="1"/>
  <c r="H17" i="40"/>
  <c r="U17" i="40" s="1"/>
  <c r="AB40" i="40"/>
  <c r="U10" i="40"/>
  <c r="U27" i="40"/>
  <c r="AB27" i="40"/>
  <c r="S11" i="39"/>
  <c r="AC19" i="39"/>
  <c r="S22" i="31"/>
  <c r="B20" i="31" s="1"/>
  <c r="M20" i="15"/>
  <c r="A18" i="64"/>
  <c r="B74" i="63" s="1"/>
  <c r="C53" i="10"/>
  <c r="A25" i="64" s="1"/>
  <c r="A18" i="51"/>
  <c r="B14" i="63" s="1"/>
  <c r="BA16" i="3"/>
  <c r="BA17" i="3"/>
  <c r="AZ17" i="3" s="1"/>
  <c r="K1" i="43"/>
  <c r="K1" i="12"/>
  <c r="G1" i="44"/>
  <c r="G3" i="46"/>
  <c r="G22" i="46" s="1"/>
  <c r="BK5" i="3"/>
  <c r="BL18" i="3"/>
  <c r="AZ18" i="3" s="1"/>
  <c r="BD5" i="3"/>
  <c r="BL16" i="3"/>
  <c r="AZ16" i="3" s="1"/>
  <c r="G28" i="12"/>
  <c r="D24" i="44"/>
  <c r="D26" i="44"/>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s="1"/>
  <c r="A4" i="64"/>
  <c r="A4" i="51"/>
  <c r="B6" i="63" s="1"/>
  <c r="C51" i="10"/>
  <c r="A9" i="51" s="1"/>
  <c r="B9" i="63" s="1"/>
  <c r="I100" i="46"/>
  <c r="C24" i="46"/>
  <c r="N100" i="46"/>
  <c r="H100" i="46"/>
  <c r="F108" i="46"/>
  <c r="H80" i="46"/>
  <c r="B45" i="46"/>
  <c r="E100" i="46"/>
  <c r="G100" i="46"/>
  <c r="H84" i="46"/>
  <c r="C100" i="46"/>
  <c r="J100" i="46"/>
  <c r="M100" i="46"/>
  <c r="AA12" i="36"/>
  <c r="AA11" i="35"/>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AB18" i="36" s="1"/>
  <c r="U16" i="36"/>
  <c r="S25" i="36"/>
  <c r="AA34" i="36"/>
  <c r="U23" i="36"/>
  <c r="AC27" i="36"/>
  <c r="W28" i="36"/>
  <c r="AA32" i="36"/>
  <c r="AA22" i="36"/>
  <c r="U10"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2" i="33"/>
  <c r="S15" i="33"/>
  <c r="S39" i="21"/>
  <c r="AB25" i="21"/>
  <c r="W25" i="21"/>
  <c r="AA25" i="21"/>
  <c r="AA29" i="21"/>
  <c r="G95" i="40"/>
  <c r="J27" i="40"/>
  <c r="AC27" i="40" s="1"/>
  <c r="W30" i="40"/>
  <c r="U38" i="40"/>
  <c r="S40" i="40"/>
  <c r="S42" i="40"/>
  <c r="J31" i="39"/>
  <c r="W31" i="39" s="1"/>
  <c r="S45" i="39"/>
  <c r="S34" i="39"/>
  <c r="W42" i="39"/>
  <c r="W36" i="39"/>
  <c r="W10" i="39"/>
  <c r="W11" i="39"/>
  <c r="U42" i="39"/>
  <c r="S32" i="40"/>
  <c r="C27" i="39"/>
  <c r="C17" i="40"/>
  <c r="C19" i="40"/>
  <c r="C17" i="39"/>
  <c r="C21" i="39"/>
  <c r="C23" i="40"/>
  <c r="B48" i="46"/>
  <c r="B51" i="46"/>
  <c r="B55" i="46"/>
  <c r="B59" i="46"/>
  <c r="B62" i="46"/>
  <c r="B66" i="46"/>
  <c r="B53" i="46"/>
  <c r="B64" i="46"/>
  <c r="D24" i="15"/>
  <c r="S14" i="36"/>
  <c r="AA20" i="36"/>
  <c r="AC14" i="36"/>
  <c r="W14" i="36"/>
  <c r="AB14" i="36"/>
  <c r="U18" i="36"/>
  <c r="S19" i="37"/>
  <c r="W19" i="37"/>
  <c r="AB19" i="37"/>
  <c r="W17" i="37"/>
  <c r="U25" i="34"/>
  <c r="AB25" i="34"/>
  <c r="S25" i="34"/>
  <c r="AB23" i="34"/>
  <c r="AA23" i="34"/>
  <c r="S23" i="34"/>
  <c r="AC23" i="34"/>
  <c r="W23" i="34"/>
  <c r="AA25" i="33"/>
  <c r="S25" i="33"/>
  <c r="AB23" i="33"/>
  <c r="S23" i="33"/>
  <c r="AA23" i="33"/>
  <c r="U17" i="33"/>
  <c r="AB17" i="33"/>
  <c r="U39" i="40"/>
  <c r="S39" i="40"/>
  <c r="U37" i="40"/>
  <c r="AB37" i="40"/>
  <c r="AA37" i="40"/>
  <c r="S37" i="40"/>
  <c r="AB29" i="40"/>
  <c r="AA29" i="40"/>
  <c r="S29" i="40"/>
  <c r="AC19" i="40"/>
  <c r="S19" i="40"/>
  <c r="AB19" i="40"/>
  <c r="U19" i="40"/>
  <c r="AT6" i="3"/>
  <c r="E4" i="4"/>
  <c r="B21" i="55" s="1"/>
  <c r="B72" i="63" s="1"/>
  <c r="C4" i="4"/>
  <c r="G66" i="36"/>
  <c r="J18" i="36"/>
  <c r="AE8" i="1"/>
  <c r="AE7" i="1"/>
  <c r="AE6" i="1"/>
  <c r="W18" i="36"/>
  <c r="AC18" i="36"/>
  <c r="AG6" i="1"/>
  <c r="L20" i="6"/>
  <c r="L19" i="6"/>
  <c r="B20" i="55"/>
  <c r="B70" i="63" s="1"/>
  <c r="S8" i="1"/>
  <c r="S9" i="1"/>
  <c r="R9" i="1"/>
  <c r="R8" i="1"/>
  <c r="C45" i="9"/>
  <c r="H14" i="66" s="1"/>
  <c r="B7" i="66" s="1"/>
  <c r="N76" i="9"/>
  <c r="H58" i="46"/>
  <c r="J17" i="46"/>
  <c r="C17" i="46"/>
  <c r="F34" i="46"/>
  <c r="F38" i="46"/>
  <c r="F37" i="46"/>
  <c r="H113" i="46"/>
  <c r="H49"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70" i="46"/>
  <c r="H73" i="46"/>
  <c r="H48" i="46"/>
  <c r="F35" i="46"/>
  <c r="I17" i="46"/>
  <c r="H63" i="46"/>
  <c r="H64" i="46"/>
  <c r="H66" i="46"/>
  <c r="D100" i="46"/>
  <c r="H62" i="46"/>
  <c r="AF12" i="46"/>
  <c r="K100" i="46"/>
  <c r="AB12" i="46"/>
  <c r="AJ12" i="46"/>
  <c r="H60" i="46"/>
  <c r="H59" i="46"/>
  <c r="H74" i="46"/>
  <c r="H65" i="46"/>
  <c r="H75" i="46"/>
  <c r="H72" i="46"/>
  <c r="H69" i="46"/>
  <c r="H77" i="46"/>
  <c r="H76" i="46"/>
  <c r="H55" i="46"/>
  <c r="H52" i="46"/>
  <c r="AD12" i="46"/>
  <c r="AH12" i="46"/>
  <c r="C22" i="59"/>
  <c r="C21" i="59" s="1"/>
  <c r="G20" i="46"/>
  <c r="E41" i="46" s="1"/>
  <c r="C41" i="46" s="1"/>
  <c r="M6" i="15"/>
  <c r="F9" i="15"/>
  <c r="N5" i="65"/>
  <c r="B13" i="67"/>
  <c r="E9" i="67"/>
  <c r="E12" i="67"/>
  <c r="M28" i="15"/>
  <c r="I5" i="65"/>
  <c r="F13" i="67"/>
  <c r="F12" i="67"/>
  <c r="F16" i="15"/>
  <c r="I3" i="65"/>
  <c r="L48" i="15"/>
  <c r="B11" i="67"/>
  <c r="B10" i="67"/>
  <c r="F14" i="67"/>
  <c r="N7" i="65"/>
  <c r="E13" i="67"/>
  <c r="M28" i="44"/>
  <c r="J36" i="15"/>
  <c r="M27" i="15"/>
  <c r="E8" i="67"/>
  <c r="J6" i="65"/>
  <c r="F42" i="15"/>
  <c r="M26" i="15"/>
  <c r="B14" i="67"/>
  <c r="N3" i="65"/>
  <c r="F38" i="44"/>
  <c r="E10" i="67"/>
  <c r="F8" i="67"/>
  <c r="F13" i="15"/>
  <c r="F8" i="44"/>
  <c r="B8" i="67"/>
  <c r="L47" i="15"/>
  <c r="F6" i="15"/>
  <c r="J15" i="15"/>
  <c r="F10" i="44"/>
  <c r="N4" i="65"/>
  <c r="M24" i="15"/>
  <c r="M8" i="15"/>
  <c r="E14" i="67"/>
  <c r="B9" i="67"/>
  <c r="F26" i="15"/>
  <c r="L49" i="44"/>
  <c r="M9" i="15"/>
  <c r="B12" i="67"/>
  <c r="M25" i="44"/>
  <c r="F39" i="44"/>
  <c r="F10" i="67"/>
  <c r="E11" i="67"/>
  <c r="F9" i="67"/>
  <c r="N6" i="65"/>
  <c r="F11" i="67"/>
  <c r="M23" i="15"/>
  <c r="F40" i="15"/>
  <c r="F7" i="15"/>
  <c r="F38" i="15"/>
  <c r="F41" i="15"/>
  <c r="M22" i="15"/>
  <c r="F36" i="15"/>
  <c r="F37" i="15"/>
  <c r="M29" i="15"/>
  <c r="F43" i="15"/>
  <c r="F8" i="15"/>
  <c r="W34" i="39" l="1"/>
  <c r="B65" i="46"/>
  <c r="B54" i="46"/>
  <c r="U46" i="21"/>
  <c r="AZ553" i="3"/>
  <c r="W36" i="33"/>
  <c r="S47" i="39"/>
  <c r="AB15" i="37"/>
  <c r="AZ347" i="3"/>
  <c r="AZ363" i="3"/>
  <c r="AZ343" i="3"/>
  <c r="AZ305" i="3"/>
  <c r="AZ545" i="3"/>
  <c r="W13" i="36"/>
  <c r="AA45" i="21"/>
  <c r="U14" i="21"/>
  <c r="AB14" i="21"/>
  <c r="BL572" i="3"/>
  <c r="F9" i="33"/>
  <c r="J9" i="33"/>
  <c r="BA566" i="3"/>
  <c r="AZ566" i="3" s="1"/>
  <c r="BL563" i="3"/>
  <c r="BL558" i="3"/>
  <c r="BA558" i="3"/>
  <c r="BL557" i="3"/>
  <c r="AZ557" i="3" s="1"/>
  <c r="BL555" i="3"/>
  <c r="BA555" i="3"/>
  <c r="AZ555" i="3" s="1"/>
  <c r="BL553" i="3"/>
  <c r="BL552" i="3"/>
  <c r="AZ552" i="3" s="1"/>
  <c r="AZ532" i="3"/>
  <c r="AZ493" i="3"/>
  <c r="W20" i="36"/>
  <c r="M7" i="1"/>
  <c r="AH7" i="1"/>
  <c r="F3" i="35" s="1"/>
  <c r="S33" i="40"/>
  <c r="AZ345" i="3"/>
  <c r="AZ502" i="3"/>
  <c r="AA46" i="21"/>
  <c r="B70" i="46"/>
  <c r="C23" i="39"/>
  <c r="AB9" i="33"/>
  <c r="U9" i="33"/>
  <c r="AA33" i="33"/>
  <c r="S33" i="33"/>
  <c r="H9" i="35"/>
  <c r="AB9" i="35" s="1"/>
  <c r="J9" i="35"/>
  <c r="F9" i="35"/>
  <c r="AA9" i="35" s="1"/>
  <c r="H16" i="35"/>
  <c r="U16" i="35" s="1"/>
  <c r="F66" i="35"/>
  <c r="G66" i="35" s="1"/>
  <c r="J25" i="35"/>
  <c r="H25" i="35"/>
  <c r="AB22" i="36"/>
  <c r="U22" i="36"/>
  <c r="AZ501" i="3"/>
  <c r="AZ495" i="3"/>
  <c r="A17" i="51"/>
  <c r="B13" i="63" s="1"/>
  <c r="W29" i="40"/>
  <c r="W39" i="40"/>
  <c r="D22" i="59"/>
  <c r="R22" i="31"/>
  <c r="B21" i="31" s="1"/>
  <c r="S17" i="33"/>
  <c r="W37" i="34"/>
  <c r="W23" i="40"/>
  <c r="AB23" i="40"/>
  <c r="AC14" i="40"/>
  <c r="AZ490" i="3"/>
  <c r="AZ530" i="3"/>
  <c r="AZ359" i="3"/>
  <c r="AZ377" i="3"/>
  <c r="W23" i="37"/>
  <c r="AC23" i="37"/>
  <c r="AC41" i="34"/>
  <c r="AZ20" i="3"/>
  <c r="AZ488" i="3"/>
  <c r="AZ556" i="3"/>
  <c r="AZ565" i="3"/>
  <c r="AA28" i="21"/>
  <c r="S38" i="37"/>
  <c r="W45" i="33"/>
  <c r="AC45" i="33"/>
  <c r="U13" i="21"/>
  <c r="AB13" i="21"/>
  <c r="J29" i="21"/>
  <c r="H29" i="21"/>
  <c r="J45" i="21"/>
  <c r="H45" i="21"/>
  <c r="F101" i="21"/>
  <c r="G101" i="21" s="1"/>
  <c r="H101" i="21" s="1"/>
  <c r="I101" i="21" s="1"/>
  <c r="J101" i="21" s="1"/>
  <c r="K101" i="21" s="1"/>
  <c r="L101" i="21" s="1"/>
  <c r="M101" i="21" s="1"/>
  <c r="F32" i="21"/>
  <c r="S32" i="21" s="1"/>
  <c r="AA40" i="33"/>
  <c r="S40" i="33"/>
  <c r="BL538" i="3"/>
  <c r="AZ538" i="3" s="1"/>
  <c r="AC40" i="33"/>
  <c r="W40" i="33"/>
  <c r="F28" i="34"/>
  <c r="J28" i="34"/>
  <c r="H28" i="34"/>
  <c r="AC43" i="34"/>
  <c r="W43" i="34"/>
  <c r="H44" i="33"/>
  <c r="F44" i="33"/>
  <c r="H13" i="36"/>
  <c r="F13" i="36"/>
  <c r="AA37" i="33"/>
  <c r="S37" i="33"/>
  <c r="BA551" i="3"/>
  <c r="BA546" i="3"/>
  <c r="BA544" i="3"/>
  <c r="AZ544" i="3" s="1"/>
  <c r="BL543" i="3"/>
  <c r="AZ543" i="3" s="1"/>
  <c r="BL542" i="3"/>
  <c r="BA542" i="3"/>
  <c r="AZ541" i="3"/>
  <c r="AZ379" i="3"/>
  <c r="AZ361" i="3"/>
  <c r="AZ329" i="3"/>
  <c r="AZ303" i="3"/>
  <c r="AZ300" i="3"/>
  <c r="AZ15" i="3"/>
  <c r="BL546" i="3"/>
  <c r="J10" i="35"/>
  <c r="AC10" i="35" s="1"/>
  <c r="H10" i="35"/>
  <c r="U10" i="35" s="1"/>
  <c r="AC27" i="35"/>
  <c r="H12" i="21"/>
  <c r="F19" i="21"/>
  <c r="F10" i="21"/>
  <c r="S10" i="21" s="1"/>
  <c r="H12" i="36"/>
  <c r="H24" i="36"/>
  <c r="BL567" i="3"/>
  <c r="G564" i="3"/>
  <c r="G563" i="3"/>
  <c r="BL562" i="3"/>
  <c r="BL561" i="3"/>
  <c r="G551" i="3"/>
  <c r="G528" i="3"/>
  <c r="G527" i="3"/>
  <c r="BA519" i="3"/>
  <c r="G517" i="3"/>
  <c r="G515" i="3"/>
  <c r="G514" i="3"/>
  <c r="G513" i="3"/>
  <c r="G505" i="3"/>
  <c r="G487" i="3"/>
  <c r="BL564" i="3"/>
  <c r="AZ564" i="3" s="1"/>
  <c r="C29" i="39"/>
  <c r="J12" i="21"/>
  <c r="AC5" i="3"/>
  <c r="BS5" i="3"/>
  <c r="BH5" i="3"/>
  <c r="G548" i="3"/>
  <c r="G535" i="3"/>
  <c r="G520" i="3"/>
  <c r="G519" i="3"/>
  <c r="G572" i="3"/>
  <c r="I4" i="6"/>
  <c r="BA572" i="3"/>
  <c r="BL571" i="3"/>
  <c r="BA571" i="3"/>
  <c r="BL570" i="3"/>
  <c r="BA570" i="3"/>
  <c r="G540" i="3"/>
  <c r="G509" i="3"/>
  <c r="BR5" i="3"/>
  <c r="BL508" i="3"/>
  <c r="BA507" i="3"/>
  <c r="BL506" i="3"/>
  <c r="BL505" i="3"/>
  <c r="BL486" i="3"/>
  <c r="AZ486" i="3" s="1"/>
  <c r="BL485" i="3"/>
  <c r="BC5" i="3"/>
  <c r="BL484" i="3"/>
  <c r="BL483" i="3"/>
  <c r="BL482" i="3"/>
  <c r="G19" i="3"/>
  <c r="AZ405" i="3"/>
  <c r="BL389" i="3"/>
  <c r="BL391" i="3"/>
  <c r="BL392" i="3"/>
  <c r="AZ392" i="3" s="1"/>
  <c r="BA394" i="3"/>
  <c r="AZ394" i="3" s="1"/>
  <c r="BA395" i="3"/>
  <c r="AZ395" i="3" s="1"/>
  <c r="BA396" i="3"/>
  <c r="AZ396" i="3" s="1"/>
  <c r="BL398" i="3"/>
  <c r="BA400" i="3"/>
  <c r="AZ400" i="3" s="1"/>
  <c r="G404" i="3"/>
  <c r="BL405" i="3"/>
  <c r="BA410" i="3"/>
  <c r="AZ410" i="3" s="1"/>
  <c r="BA412" i="3"/>
  <c r="AZ412" i="3" s="1"/>
  <c r="BA413" i="3"/>
  <c r="AZ413" i="3" s="1"/>
  <c r="BA415" i="3"/>
  <c r="AZ415" i="3" s="1"/>
  <c r="BA416" i="3"/>
  <c r="AZ416" i="3" s="1"/>
  <c r="BL418" i="3"/>
  <c r="BL421" i="3"/>
  <c r="BL423" i="3"/>
  <c r="BL424" i="3"/>
  <c r="BA426" i="3"/>
  <c r="AZ426" i="3" s="1"/>
  <c r="BA427" i="3"/>
  <c r="BA430" i="3"/>
  <c r="AZ430" i="3" s="1"/>
  <c r="BL433" i="3"/>
  <c r="AZ433" i="3" s="1"/>
  <c r="G438" i="3"/>
  <c r="G440" i="3"/>
  <c r="BL441" i="3"/>
  <c r="BL443" i="3"/>
  <c r="AZ443" i="3" s="1"/>
  <c r="G448" i="3"/>
  <c r="BL449" i="3"/>
  <c r="BL451" i="3"/>
  <c r="AZ451" i="3" s="1"/>
  <c r="G458" i="3"/>
  <c r="G460" i="3"/>
  <c r="BL461" i="3"/>
  <c r="BL462" i="3"/>
  <c r="BA464" i="3"/>
  <c r="AZ464" i="3" s="1"/>
  <c r="BA465" i="3"/>
  <c r="AZ465" i="3" s="1"/>
  <c r="BA467" i="3"/>
  <c r="AZ467" i="3" s="1"/>
  <c r="BA468" i="3"/>
  <c r="AZ468" i="3" s="1"/>
  <c r="BL471" i="3"/>
  <c r="AZ471" i="3" s="1"/>
  <c r="G474" i="3"/>
  <c r="G476" i="3"/>
  <c r="BL477" i="3"/>
  <c r="BL478" i="3"/>
  <c r="BA480" i="3"/>
  <c r="AZ480" i="3" s="1"/>
  <c r="BL306" i="3"/>
  <c r="AZ306" i="3" s="1"/>
  <c r="BA309" i="3"/>
  <c r="AZ309" i="3" s="1"/>
  <c r="BL314" i="3"/>
  <c r="AZ314" i="3" s="1"/>
  <c r="BA317" i="3"/>
  <c r="AZ317" i="3" s="1"/>
  <c r="BA319" i="3"/>
  <c r="AZ319" i="3" s="1"/>
  <c r="BL334" i="3"/>
  <c r="BA341" i="3"/>
  <c r="AZ341" i="3" s="1"/>
  <c r="BL348" i="3"/>
  <c r="AZ348" i="3" s="1"/>
  <c r="BA350" i="3"/>
  <c r="AZ350" i="3" s="1"/>
  <c r="BL366" i="3"/>
  <c r="AZ366" i="3" s="1"/>
  <c r="BL368" i="3"/>
  <c r="BL376" i="3"/>
  <c r="AZ376" i="3" s="1"/>
  <c r="BL216" i="3"/>
  <c r="BL219" i="3"/>
  <c r="G223" i="3"/>
  <c r="BA225" i="3"/>
  <c r="AZ225" i="3" s="1"/>
  <c r="BA389" i="3"/>
  <c r="AZ389" i="3" s="1"/>
  <c r="BA391" i="3"/>
  <c r="BA392" i="3"/>
  <c r="BA393" i="3"/>
  <c r="AZ393" i="3" s="1"/>
  <c r="BA398" i="3"/>
  <c r="BA401" i="3"/>
  <c r="AZ401" i="3" s="1"/>
  <c r="BL403" i="3"/>
  <c r="BL406" i="3"/>
  <c r="AZ406" i="3" s="1"/>
  <c r="BL408" i="3"/>
  <c r="BL414" i="3"/>
  <c r="AZ414" i="3" s="1"/>
  <c r="BA418" i="3"/>
  <c r="AZ418" i="3" s="1"/>
  <c r="BA419" i="3"/>
  <c r="AZ419" i="3" s="1"/>
  <c r="BA421" i="3"/>
  <c r="AZ421" i="3" s="1"/>
  <c r="BA423" i="3"/>
  <c r="BA424" i="3"/>
  <c r="BA425" i="3"/>
  <c r="AZ425" i="3" s="1"/>
  <c r="BL428" i="3"/>
  <c r="AZ428" i="3" s="1"/>
  <c r="G433" i="3"/>
  <c r="G435" i="3"/>
  <c r="BL436" i="3"/>
  <c r="BL437" i="3"/>
  <c r="BL439" i="3"/>
  <c r="BA441" i="3"/>
  <c r="AZ441" i="3" s="1"/>
  <c r="G445" i="3"/>
  <c r="BL446" i="3"/>
  <c r="BL447" i="3"/>
  <c r="BA449" i="3"/>
  <c r="AZ449" i="3" s="1"/>
  <c r="G453" i="3"/>
  <c r="BL454" i="3"/>
  <c r="BL456" i="3"/>
  <c r="BL457" i="3"/>
  <c r="BL459" i="3"/>
  <c r="BA461" i="3"/>
  <c r="AZ461" i="3" s="1"/>
  <c r="BA462" i="3"/>
  <c r="AZ462" i="3" s="1"/>
  <c r="BL466" i="3"/>
  <c r="AZ466" i="3" s="1"/>
  <c r="G471" i="3"/>
  <c r="BL472" i="3"/>
  <c r="BL473" i="3"/>
  <c r="BL475" i="3"/>
  <c r="BA477" i="3"/>
  <c r="AZ477" i="3" s="1"/>
  <c r="BA478" i="3"/>
  <c r="BA313" i="3"/>
  <c r="AZ313" i="3" s="1"/>
  <c r="BL318" i="3"/>
  <c r="BA325" i="3"/>
  <c r="AZ325" i="3" s="1"/>
  <c r="BL332" i="3"/>
  <c r="AZ332" i="3" s="1"/>
  <c r="BA334" i="3"/>
  <c r="BL351" i="3"/>
  <c r="BL364" i="3"/>
  <c r="AZ364" i="3" s="1"/>
  <c r="BA368" i="3"/>
  <c r="BA375" i="3"/>
  <c r="AZ375" i="3" s="1"/>
  <c r="BL386" i="3"/>
  <c r="BL387" i="3"/>
  <c r="BA205" i="3"/>
  <c r="AZ205" i="3" s="1"/>
  <c r="BA206" i="3"/>
  <c r="AZ206" i="3" s="1"/>
  <c r="BL211" i="3"/>
  <c r="BL213" i="3"/>
  <c r="BA216" i="3"/>
  <c r="BA219" i="3"/>
  <c r="BL222" i="3"/>
  <c r="BL232" i="3"/>
  <c r="G233" i="3"/>
  <c r="BA390" i="3"/>
  <c r="AZ390" i="3" s="1"/>
  <c r="G395" i="3"/>
  <c r="G396" i="3"/>
  <c r="BL397" i="3"/>
  <c r="BL399" i="3"/>
  <c r="AZ399" i="3" s="1"/>
  <c r="G401" i="3"/>
  <c r="BA403" i="3"/>
  <c r="AZ403" i="3" s="1"/>
  <c r="BA404" i="3"/>
  <c r="AZ404" i="3" s="1"/>
  <c r="BA406" i="3"/>
  <c r="BL409" i="3"/>
  <c r="BL411" i="3"/>
  <c r="AZ411" i="3" s="1"/>
  <c r="G413" i="3"/>
  <c r="G414" i="3"/>
  <c r="G416" i="3"/>
  <c r="BL417" i="3"/>
  <c r="AZ417" i="3" s="1"/>
  <c r="BA422" i="3"/>
  <c r="AZ422" i="3" s="1"/>
  <c r="G427" i="3"/>
  <c r="G428" i="3"/>
  <c r="BL429" i="3"/>
  <c r="BL431" i="3"/>
  <c r="AZ431" i="3" s="1"/>
  <c r="BL432" i="3"/>
  <c r="BL434" i="3"/>
  <c r="AZ434" i="3" s="1"/>
  <c r="BA436" i="3"/>
  <c r="AZ436" i="3" s="1"/>
  <c r="BA437" i="3"/>
  <c r="BA439" i="3"/>
  <c r="AZ439" i="3" s="1"/>
  <c r="BA440" i="3"/>
  <c r="AZ440" i="3" s="1"/>
  <c r="BA442" i="3"/>
  <c r="AZ442" i="3" s="1"/>
  <c r="BL444" i="3"/>
  <c r="AZ444" i="3" s="1"/>
  <c r="BA446" i="3"/>
  <c r="AZ446" i="3" s="1"/>
  <c r="BA447" i="3"/>
  <c r="BA448" i="3"/>
  <c r="AZ448" i="3" s="1"/>
  <c r="BA450" i="3"/>
  <c r="AZ450" i="3" s="1"/>
  <c r="BL452" i="3"/>
  <c r="AZ452" i="3" s="1"/>
  <c r="BA454" i="3"/>
  <c r="AZ454" i="3" s="1"/>
  <c r="BA456" i="3"/>
  <c r="AZ456" i="3" s="1"/>
  <c r="BA457" i="3"/>
  <c r="BA459" i="3"/>
  <c r="BA460" i="3"/>
  <c r="AZ460" i="3" s="1"/>
  <c r="BL463" i="3"/>
  <c r="AZ463" i="3" s="1"/>
  <c r="G465" i="3"/>
  <c r="G466" i="3"/>
  <c r="G468" i="3"/>
  <c r="BL469" i="3"/>
  <c r="AZ469" i="3" s="1"/>
  <c r="BL470" i="3"/>
  <c r="BA472" i="3"/>
  <c r="BA473" i="3"/>
  <c r="BA475" i="3"/>
  <c r="AZ475" i="3" s="1"/>
  <c r="BA476" i="3"/>
  <c r="AZ476" i="3" s="1"/>
  <c r="BL479" i="3"/>
  <c r="AZ479" i="3" s="1"/>
  <c r="BA301" i="3"/>
  <c r="AZ301" i="3" s="1"/>
  <c r="BL308" i="3"/>
  <c r="AZ308" i="3" s="1"/>
  <c r="BA311" i="3"/>
  <c r="AZ311" i="3" s="1"/>
  <c r="BL316" i="3"/>
  <c r="AZ316" i="3" s="1"/>
  <c r="BA318" i="3"/>
  <c r="G320" i="3"/>
  <c r="G331" i="3"/>
  <c r="BL335" i="3"/>
  <c r="AZ335" i="3" s="1"/>
  <c r="BL346" i="3"/>
  <c r="AZ346" i="3" s="1"/>
  <c r="BA349" i="3"/>
  <c r="AZ349" i="3" s="1"/>
  <c r="BA351" i="3"/>
  <c r="AZ351" i="3" s="1"/>
  <c r="BL360" i="3"/>
  <c r="AZ360" i="3" s="1"/>
  <c r="BA371" i="3"/>
  <c r="AZ371" i="3" s="1"/>
  <c r="BL382" i="3"/>
  <c r="AZ382" i="3" s="1"/>
  <c r="BL384" i="3"/>
  <c r="AZ384" i="3" s="1"/>
  <c r="BA386" i="3"/>
  <c r="AZ386" i="3" s="1"/>
  <c r="BA387" i="3"/>
  <c r="BL388" i="3"/>
  <c r="AZ388" i="3" s="1"/>
  <c r="BL208" i="3"/>
  <c r="G211" i="3"/>
  <c r="BA211" i="3"/>
  <c r="G227" i="3"/>
  <c r="BA228" i="3"/>
  <c r="G232" i="3"/>
  <c r="BL241" i="3"/>
  <c r="AZ243" i="3"/>
  <c r="AZ409" i="3"/>
  <c r="BA234" i="3"/>
  <c r="BA236" i="3"/>
  <c r="AZ236" i="3" s="1"/>
  <c r="BA238" i="3"/>
  <c r="AZ238" i="3" s="1"/>
  <c r="G241" i="3"/>
  <c r="G243" i="3"/>
  <c r="BA243" i="3"/>
  <c r="BL245" i="3"/>
  <c r="BA248" i="3"/>
  <c r="BA253" i="3"/>
  <c r="BA254" i="3"/>
  <c r="BL257" i="3"/>
  <c r="AZ257" i="3" s="1"/>
  <c r="BA260" i="3"/>
  <c r="AZ260" i="3" s="1"/>
  <c r="BL264" i="3"/>
  <c r="BL266" i="3"/>
  <c r="BL274" i="3"/>
  <c r="AZ274" i="3" s="1"/>
  <c r="BL277" i="3"/>
  <c r="BL280" i="3"/>
  <c r="BL282" i="3"/>
  <c r="AZ282" i="3" s="1"/>
  <c r="BA286" i="3"/>
  <c r="AZ286" i="3" s="1"/>
  <c r="G290" i="3"/>
  <c r="BL291" i="3"/>
  <c r="AZ291" i="3" s="1"/>
  <c r="BL293" i="3"/>
  <c r="BL114" i="3"/>
  <c r="AZ114" i="3" s="1"/>
  <c r="BL116" i="3"/>
  <c r="BL117" i="3"/>
  <c r="AZ117" i="3" s="1"/>
  <c r="BA119" i="3"/>
  <c r="AZ119" i="3" s="1"/>
  <c r="G121" i="3"/>
  <c r="BL124" i="3"/>
  <c r="BL125" i="3"/>
  <c r="AZ125" i="3" s="1"/>
  <c r="BA127" i="3"/>
  <c r="AZ127" i="3" s="1"/>
  <c r="G129" i="3"/>
  <c r="G131" i="3"/>
  <c r="BA145" i="3"/>
  <c r="BL157" i="3"/>
  <c r="AZ157" i="3" s="1"/>
  <c r="BL224" i="3"/>
  <c r="BL229" i="3"/>
  <c r="BL230" i="3"/>
  <c r="BL237" i="3"/>
  <c r="G240" i="3"/>
  <c r="BA240" i="3"/>
  <c r="AZ240" i="3" s="1"/>
  <c r="BA242" i="3"/>
  <c r="BA244" i="3"/>
  <c r="AZ244" i="3" s="1"/>
  <c r="BA247" i="3"/>
  <c r="BA250" i="3"/>
  <c r="BA252" i="3"/>
  <c r="AZ252" i="3" s="1"/>
  <c r="BL256" i="3"/>
  <c r="BL258" i="3"/>
  <c r="G263" i="3"/>
  <c r="BA264" i="3"/>
  <c r="BL267" i="3"/>
  <c r="G271" i="3"/>
  <c r="G274" i="3"/>
  <c r="BL275" i="3"/>
  <c r="G279" i="3"/>
  <c r="G282" i="3"/>
  <c r="BL283" i="3"/>
  <c r="BL285" i="3"/>
  <c r="AZ285" i="3" s="1"/>
  <c r="BA287" i="3"/>
  <c r="AZ287" i="3" s="1"/>
  <c r="BL289" i="3"/>
  <c r="BA291" i="3"/>
  <c r="BL294" i="3"/>
  <c r="BL296" i="3"/>
  <c r="AZ296" i="3" s="1"/>
  <c r="BA116" i="3"/>
  <c r="BA117" i="3"/>
  <c r="BL137" i="3"/>
  <c r="BA139" i="3"/>
  <c r="AZ139" i="3" s="1"/>
  <c r="BA143" i="3"/>
  <c r="AZ143" i="3" s="1"/>
  <c r="BA383" i="3"/>
  <c r="AZ383" i="3" s="1"/>
  <c r="BL385" i="3"/>
  <c r="AZ385" i="3" s="1"/>
  <c r="G387" i="3"/>
  <c r="G388" i="3"/>
  <c r="G206" i="3"/>
  <c r="G208" i="3"/>
  <c r="BA208" i="3"/>
  <c r="BA210" i="3"/>
  <c r="BA212" i="3"/>
  <c r="AZ212" i="3" s="1"/>
  <c r="BA215" i="3"/>
  <c r="AZ215" i="3" s="1"/>
  <c r="BA218" i="3"/>
  <c r="AZ218" i="3" s="1"/>
  <c r="BA222" i="3"/>
  <c r="AZ222" i="3" s="1"/>
  <c r="G226" i="3"/>
  <c r="BL226" i="3"/>
  <c r="G228" i="3"/>
  <c r="BL228" i="3"/>
  <c r="BA229" i="3"/>
  <c r="AZ229" i="3" s="1"/>
  <c r="BA230" i="3"/>
  <c r="BA233" i="3"/>
  <c r="AZ233" i="3" s="1"/>
  <c r="BA237" i="3"/>
  <c r="AZ237" i="3" s="1"/>
  <c r="BA239" i="3"/>
  <c r="BA241" i="3"/>
  <c r="AZ241" i="3" s="1"/>
  <c r="G244" i="3"/>
  <c r="G246" i="3"/>
  <c r="BL246" i="3"/>
  <c r="AZ246" i="3" s="1"/>
  <c r="BL247" i="3"/>
  <c r="BL249" i="3"/>
  <c r="AZ249" i="3" s="1"/>
  <c r="BL250" i="3"/>
  <c r="G252" i="3"/>
  <c r="G254" i="3"/>
  <c r="G255" i="3"/>
  <c r="BA256" i="3"/>
  <c r="BL259" i="3"/>
  <c r="BL262" i="3"/>
  <c r="AZ262" i="3" s="1"/>
  <c r="BL270" i="3"/>
  <c r="AZ270" i="3" s="1"/>
  <c r="BL273" i="3"/>
  <c r="AZ273" i="3" s="1"/>
  <c r="BA275" i="3"/>
  <c r="AZ275" i="3" s="1"/>
  <c r="BA277" i="3"/>
  <c r="AZ277" i="3" s="1"/>
  <c r="BL278" i="3"/>
  <c r="AZ278" i="3" s="1"/>
  <c r="BA280" i="3"/>
  <c r="BL281" i="3"/>
  <c r="AZ281" i="3" s="1"/>
  <c r="BA283" i="3"/>
  <c r="AZ283" i="3" s="1"/>
  <c r="G287" i="3"/>
  <c r="BA289" i="3"/>
  <c r="AZ289" i="3" s="1"/>
  <c r="BA292" i="3"/>
  <c r="AZ292" i="3" s="1"/>
  <c r="BA294" i="3"/>
  <c r="BL113" i="3"/>
  <c r="BL118" i="3"/>
  <c r="AZ118" i="3" s="1"/>
  <c r="BA120" i="3"/>
  <c r="BA123" i="3"/>
  <c r="AZ123" i="3" s="1"/>
  <c r="BL126" i="3"/>
  <c r="AZ126" i="3" s="1"/>
  <c r="BA128" i="3"/>
  <c r="BA129" i="3"/>
  <c r="AZ129" i="3" s="1"/>
  <c r="BL134" i="3"/>
  <c r="AZ134" i="3" s="1"/>
  <c r="BA135" i="3"/>
  <c r="AZ135" i="3" s="1"/>
  <c r="BL150" i="3"/>
  <c r="AZ150" i="3" s="1"/>
  <c r="BA152" i="3"/>
  <c r="AZ152" i="3" s="1"/>
  <c r="BL155" i="3"/>
  <c r="BL159" i="3"/>
  <c r="AZ22" i="3"/>
  <c r="BL163" i="3"/>
  <c r="BL165" i="3"/>
  <c r="AZ165" i="3" s="1"/>
  <c r="BL171" i="3"/>
  <c r="BL173" i="3"/>
  <c r="AZ173" i="3" s="1"/>
  <c r="BA175" i="3"/>
  <c r="G179" i="3"/>
  <c r="G189" i="3"/>
  <c r="BL190" i="3"/>
  <c r="BA191" i="3"/>
  <c r="AZ191" i="3" s="1"/>
  <c r="BL196" i="3"/>
  <c r="AZ196" i="3" s="1"/>
  <c r="BA21" i="3"/>
  <c r="AZ21" i="3" s="1"/>
  <c r="BL25" i="3"/>
  <c r="BL28" i="3"/>
  <c r="G31" i="3"/>
  <c r="G33" i="3"/>
  <c r="G36" i="3"/>
  <c r="BA36" i="3"/>
  <c r="AZ36" i="3" s="1"/>
  <c r="BL38" i="3"/>
  <c r="BA39" i="3"/>
  <c r="AZ39" i="3" s="1"/>
  <c r="BA40" i="3"/>
  <c r="AZ40" i="3" s="1"/>
  <c r="BA41" i="3"/>
  <c r="G45" i="3"/>
  <c r="G54" i="3"/>
  <c r="BL55" i="3"/>
  <c r="BA64" i="3"/>
  <c r="D88" i="59"/>
  <c r="C87" i="59"/>
  <c r="D87" i="59" s="1"/>
  <c r="E76" i="59"/>
  <c r="E75" i="59" s="1"/>
  <c r="U77" i="59"/>
  <c r="X3" i="59"/>
  <c r="BL133" i="3"/>
  <c r="BA137" i="3"/>
  <c r="BL141" i="3"/>
  <c r="BL146" i="3"/>
  <c r="AZ146" i="3" s="1"/>
  <c r="BL148" i="3"/>
  <c r="BL149" i="3"/>
  <c r="BA151" i="3"/>
  <c r="AZ151" i="3" s="1"/>
  <c r="BL153" i="3"/>
  <c r="AZ153" i="3" s="1"/>
  <c r="BA155" i="3"/>
  <c r="AZ155" i="3" s="1"/>
  <c r="BA156" i="3"/>
  <c r="AZ156" i="3" s="1"/>
  <c r="BA159" i="3"/>
  <c r="AZ159" i="3" s="1"/>
  <c r="G165" i="3"/>
  <c r="BA167" i="3"/>
  <c r="AZ167" i="3" s="1"/>
  <c r="BL172" i="3"/>
  <c r="G173" i="3"/>
  <c r="BL177" i="3"/>
  <c r="BA185" i="3"/>
  <c r="AZ185" i="3" s="1"/>
  <c r="BL187" i="3"/>
  <c r="BA190" i="3"/>
  <c r="AZ190" i="3" s="1"/>
  <c r="BA202" i="3"/>
  <c r="AZ202" i="3" s="1"/>
  <c r="BL21" i="3"/>
  <c r="BL23" i="3"/>
  <c r="BL26" i="3"/>
  <c r="BL29" i="3"/>
  <c r="BA38" i="3"/>
  <c r="BL41" i="3"/>
  <c r="BL43" i="3"/>
  <c r="BA57" i="3"/>
  <c r="AZ57" i="3" s="1"/>
  <c r="BA63" i="3"/>
  <c r="BL80" i="3"/>
  <c r="BA89" i="3"/>
  <c r="BA90" i="3"/>
  <c r="BL94" i="3"/>
  <c r="BL95" i="3"/>
  <c r="BA98" i="3"/>
  <c r="BA99" i="3"/>
  <c r="AZ99" i="3" s="1"/>
  <c r="BA104" i="3"/>
  <c r="BL110" i="3"/>
  <c r="Y34" i="59"/>
  <c r="Z34" i="59" s="1"/>
  <c r="Y29" i="59"/>
  <c r="Z29" i="59" s="1"/>
  <c r="D60" i="59"/>
  <c r="C61" i="59"/>
  <c r="D61" i="59" s="1"/>
  <c r="O76" i="9"/>
  <c r="K76" i="9"/>
  <c r="K77" i="9" s="1"/>
  <c r="K79" i="9" s="1"/>
  <c r="K81" i="9" s="1"/>
  <c r="AB25" i="59"/>
  <c r="AB26" i="59"/>
  <c r="AA3" i="59"/>
  <c r="BL120" i="3"/>
  <c r="BA124" i="3"/>
  <c r="AZ124" i="3" s="1"/>
  <c r="BA125" i="3"/>
  <c r="G127" i="3"/>
  <c r="BL128" i="3"/>
  <c r="BL130" i="3"/>
  <c r="AZ130" i="3" s="1"/>
  <c r="BL136" i="3"/>
  <c r="BL138" i="3"/>
  <c r="AZ138" i="3" s="1"/>
  <c r="BL144" i="3"/>
  <c r="AZ144" i="3" s="1"/>
  <c r="G146" i="3"/>
  <c r="BA148" i="3"/>
  <c r="BA149" i="3"/>
  <c r="G151" i="3"/>
  <c r="G153" i="3"/>
  <c r="BA162" i="3"/>
  <c r="AZ162" i="3" s="1"/>
  <c r="BL164" i="3"/>
  <c r="AZ164" i="3" s="1"/>
  <c r="BA166" i="3"/>
  <c r="AZ166" i="3" s="1"/>
  <c r="BA170" i="3"/>
  <c r="AZ170" i="3" s="1"/>
  <c r="BA172" i="3"/>
  <c r="BA174" i="3"/>
  <c r="AZ174" i="3" s="1"/>
  <c r="G176" i="3"/>
  <c r="BL176" i="3"/>
  <c r="AZ176" i="3" s="1"/>
  <c r="BA177" i="3"/>
  <c r="BA181" i="3"/>
  <c r="AZ181" i="3" s="1"/>
  <c r="BL184" i="3"/>
  <c r="AZ184" i="3" s="1"/>
  <c r="BL186" i="3"/>
  <c r="AZ186" i="3" s="1"/>
  <c r="BA187" i="3"/>
  <c r="AZ187" i="3" s="1"/>
  <c r="G192" i="3"/>
  <c r="G193" i="3"/>
  <c r="BA201" i="3"/>
  <c r="AZ201" i="3" s="1"/>
  <c r="G21" i="3"/>
  <c r="BL22" i="3"/>
  <c r="BA23" i="3"/>
  <c r="AZ23" i="3" s="1"/>
  <c r="BA26" i="3"/>
  <c r="AZ26" i="3" s="1"/>
  <c r="BA29" i="3"/>
  <c r="BA30" i="3"/>
  <c r="AZ30" i="3" s="1"/>
  <c r="BA32" i="3"/>
  <c r="AZ32" i="3" s="1"/>
  <c r="BA35" i="3"/>
  <c r="G41" i="3"/>
  <c r="BL45" i="3"/>
  <c r="G46" i="3"/>
  <c r="BL46" i="3"/>
  <c r="BL47" i="3"/>
  <c r="G49" i="3"/>
  <c r="BL49" i="3"/>
  <c r="BL50" i="3"/>
  <c r="BA54" i="3"/>
  <c r="AZ54" i="3" s="1"/>
  <c r="BL59" i="3"/>
  <c r="AZ59" i="3" s="1"/>
  <c r="BL62" i="3"/>
  <c r="BA71" i="3"/>
  <c r="AZ71" i="3" s="1"/>
  <c r="BA83" i="3"/>
  <c r="AZ83" i="3" s="1"/>
  <c r="BA84" i="3"/>
  <c r="BL87" i="3"/>
  <c r="BL88" i="3"/>
  <c r="BL91" i="3"/>
  <c r="BL92" i="3"/>
  <c r="AZ92" i="3" s="1"/>
  <c r="E104" i="39"/>
  <c r="F104" i="39" s="1"/>
  <c r="G104" i="39" s="1"/>
  <c r="H31" i="39"/>
  <c r="F31" i="39"/>
  <c r="AA31" i="39" s="1"/>
  <c r="D31" i="59"/>
  <c r="C41" i="59"/>
  <c r="D40" i="59"/>
  <c r="E68" i="59"/>
  <c r="U69" i="59"/>
  <c r="AI10" i="46"/>
  <c r="AI12" i="46"/>
  <c r="AZ80" i="3"/>
  <c r="Y27" i="59"/>
  <c r="Z27" i="59" s="1"/>
  <c r="AB36" i="59"/>
  <c r="AB37" i="59"/>
  <c r="Q68" i="59"/>
  <c r="F67" i="59"/>
  <c r="Q66" i="59" s="1"/>
  <c r="T73" i="59"/>
  <c r="C72" i="59"/>
  <c r="D73" i="59"/>
  <c r="BL69" i="3"/>
  <c r="G71" i="3"/>
  <c r="BL72" i="3"/>
  <c r="G74" i="3"/>
  <c r="BL75" i="3"/>
  <c r="G77" i="3"/>
  <c r="G79" i="3"/>
  <c r="G80" i="3"/>
  <c r="G82" i="3"/>
  <c r="G83" i="3"/>
  <c r="G86" i="3"/>
  <c r="BA88" i="3"/>
  <c r="AZ88" i="3" s="1"/>
  <c r="BA91" i="3"/>
  <c r="AZ91" i="3" s="1"/>
  <c r="BA94" i="3"/>
  <c r="AZ94" i="3" s="1"/>
  <c r="BL100" i="3"/>
  <c r="BL103" i="3"/>
  <c r="BL106" i="3"/>
  <c r="AZ106" i="3" s="1"/>
  <c r="G108" i="3"/>
  <c r="BL109" i="3"/>
  <c r="AZ109" i="3" s="1"/>
  <c r="P27" i="6"/>
  <c r="B32" i="59"/>
  <c r="B33" i="59" s="1"/>
  <c r="S33" i="59" s="1"/>
  <c r="AB30" i="59"/>
  <c r="AB31" i="59"/>
  <c r="AB32" i="59"/>
  <c r="AB33" i="59"/>
  <c r="AA38" i="59"/>
  <c r="E48" i="59"/>
  <c r="E49" i="59" s="1"/>
  <c r="U49" i="59" s="1"/>
  <c r="C56" i="59"/>
  <c r="AA19" i="59"/>
  <c r="BA43" i="3"/>
  <c r="AZ43" i="3" s="1"/>
  <c r="BA44" i="3"/>
  <c r="BA47" i="3"/>
  <c r="AZ47" i="3" s="1"/>
  <c r="BA51" i="3"/>
  <c r="AZ51" i="3" s="1"/>
  <c r="BA52" i="3"/>
  <c r="BL63" i="3"/>
  <c r="BL64" i="3"/>
  <c r="G65" i="3"/>
  <c r="G67" i="3"/>
  <c r="BL68" i="3"/>
  <c r="BA70" i="3"/>
  <c r="BA72" i="3"/>
  <c r="AZ72" i="3" s="1"/>
  <c r="BA73" i="3"/>
  <c r="BA75" i="3"/>
  <c r="BA76" i="3"/>
  <c r="BA79" i="3"/>
  <c r="AZ79" i="3" s="1"/>
  <c r="BA82" i="3"/>
  <c r="AZ82" i="3" s="1"/>
  <c r="G89" i="3"/>
  <c r="G98" i="3"/>
  <c r="BL99" i="3"/>
  <c r="BL102" i="3"/>
  <c r="AZ102" i="3" s="1"/>
  <c r="BA107" i="3"/>
  <c r="G112" i="3"/>
  <c r="BA112" i="3"/>
  <c r="T53" i="59"/>
  <c r="AA29" i="59"/>
  <c r="Y32" i="59"/>
  <c r="Z32" i="59" s="1"/>
  <c r="X37" i="59"/>
  <c r="B40" i="59"/>
  <c r="B41" i="59" s="1"/>
  <c r="S41" i="59" s="1"/>
  <c r="F72" i="59"/>
  <c r="F71" i="59" s="1"/>
  <c r="B28" i="59"/>
  <c r="B27" i="59" s="1"/>
  <c r="D52" i="59"/>
  <c r="L16" i="4"/>
  <c r="K17" i="4" s="1"/>
  <c r="A22" i="51" s="1"/>
  <c r="B16" i="63" s="1"/>
  <c r="E80" i="59"/>
  <c r="E79" i="59" s="1"/>
  <c r="AA28" i="59"/>
  <c r="AA30" i="59"/>
  <c r="AA31" i="59"/>
  <c r="AA32" i="59"/>
  <c r="AA33" i="59"/>
  <c r="Y37" i="59"/>
  <c r="Z37" i="59" s="1"/>
  <c r="E39" i="59"/>
  <c r="E40" i="59" s="1"/>
  <c r="E41" i="59" s="1"/>
  <c r="U41" i="59" s="1"/>
  <c r="Y39" i="59"/>
  <c r="Z39" i="59" s="1"/>
  <c r="B56" i="59"/>
  <c r="B57" i="59" s="1"/>
  <c r="S57" i="59" s="1"/>
  <c r="AC12" i="46"/>
  <c r="D25" i="59"/>
  <c r="D18" i="9"/>
  <c r="M44" i="9" s="1"/>
  <c r="AB40" i="21"/>
  <c r="H113" i="21"/>
  <c r="F37" i="21"/>
  <c r="H37" i="21"/>
  <c r="J37" i="21"/>
  <c r="AB35" i="21"/>
  <c r="S15" i="39"/>
  <c r="AC33" i="39"/>
  <c r="U34" i="39"/>
  <c r="AC39" i="39"/>
  <c r="AB45" i="39"/>
  <c r="U15" i="39"/>
  <c r="H29" i="39"/>
  <c r="U29" i="39" s="1"/>
  <c r="F29" i="39"/>
  <c r="AA29" i="39" s="1"/>
  <c r="AC21" i="39"/>
  <c r="AC44" i="39"/>
  <c r="AB44" i="39"/>
  <c r="S44" i="39"/>
  <c r="AB43" i="39"/>
  <c r="S43" i="39"/>
  <c r="W43" i="39"/>
  <c r="S41" i="39"/>
  <c r="W41" i="39"/>
  <c r="U41" i="39"/>
  <c r="W16" i="39"/>
  <c r="S14" i="39"/>
  <c r="W15" i="39"/>
  <c r="U14" i="39"/>
  <c r="AB16" i="39"/>
  <c r="U11" i="39"/>
  <c r="S10" i="39"/>
  <c r="AB33" i="39"/>
  <c r="S38" i="39"/>
  <c r="S33" i="39"/>
  <c r="U39" i="39"/>
  <c r="S39" i="39"/>
  <c r="H38" i="39"/>
  <c r="J38" i="39"/>
  <c r="W38" i="39" s="1"/>
  <c r="W29" i="39"/>
  <c r="S27" i="39"/>
  <c r="U27" i="39"/>
  <c r="AC25" i="39"/>
  <c r="S25" i="39"/>
  <c r="U25" i="39"/>
  <c r="W23" i="39"/>
  <c r="U23" i="39"/>
  <c r="AB17" i="39"/>
  <c r="S17" i="39"/>
  <c r="AC17" i="39"/>
  <c r="U21" i="39"/>
  <c r="AA21" i="39"/>
  <c r="W8" i="21"/>
  <c r="AB8" i="21"/>
  <c r="S8" i="21"/>
  <c r="AA40" i="21"/>
  <c r="AC46" i="21"/>
  <c r="S44" i="21"/>
  <c r="U43" i="21"/>
  <c r="W44" i="21"/>
  <c r="AA43" i="21"/>
  <c r="W39" i="21"/>
  <c r="AA38" i="21"/>
  <c r="S23" i="21"/>
  <c r="AB23" i="21"/>
  <c r="S21" i="21"/>
  <c r="AC19" i="21"/>
  <c r="U19" i="21"/>
  <c r="AA17" i="21"/>
  <c r="AC17" i="21"/>
  <c r="U17" i="21"/>
  <c r="AB15" i="21"/>
  <c r="AA15" i="21"/>
  <c r="AC15" i="21"/>
  <c r="AA10" i="21"/>
  <c r="W10" i="21"/>
  <c r="AB10" i="21"/>
  <c r="W40" i="21"/>
  <c r="AC38" i="21"/>
  <c r="U38" i="21"/>
  <c r="AA36" i="21"/>
  <c r="S35" i="21"/>
  <c r="AC35" i="21"/>
  <c r="AB32" i="21"/>
  <c r="W32" i="21"/>
  <c r="AC34" i="21"/>
  <c r="S34" i="21"/>
  <c r="S42" i="21"/>
  <c r="W42" i="21"/>
  <c r="U42" i="21"/>
  <c r="U9" i="35"/>
  <c r="W29" i="35"/>
  <c r="S29" i="35"/>
  <c r="U22" i="35"/>
  <c r="S22" i="35"/>
  <c r="AB20" i="35"/>
  <c r="AC20" i="35"/>
  <c r="AB16" i="35"/>
  <c r="AC16" i="35"/>
  <c r="S16" i="35"/>
  <c r="AB14" i="35"/>
  <c r="S14" i="35"/>
  <c r="W14" i="35"/>
  <c r="W11" i="35"/>
  <c r="AB10" i="35"/>
  <c r="W10" i="35"/>
  <c r="AA10" i="35"/>
  <c r="S9" i="35"/>
  <c r="J26" i="35"/>
  <c r="F26" i="35"/>
  <c r="H26" i="35"/>
  <c r="B41" i="1"/>
  <c r="M18" i="15" s="1"/>
  <c r="D96" i="9"/>
  <c r="M22" i="44"/>
  <c r="F36" i="44"/>
  <c r="A3" i="55"/>
  <c r="B56" i="63" s="1"/>
  <c r="G8" i="1"/>
  <c r="N101" i="46"/>
  <c r="N105" i="46" s="1"/>
  <c r="Z11" i="46"/>
  <c r="Z13" i="46" s="1"/>
  <c r="N104" i="45"/>
  <c r="D101" i="46"/>
  <c r="D105" i="46" s="1"/>
  <c r="C23" i="46"/>
  <c r="AB11" i="46"/>
  <c r="AB13" i="46" s="1"/>
  <c r="E22" i="46"/>
  <c r="J101" i="46"/>
  <c r="J106" i="46" s="1"/>
  <c r="I101" i="46"/>
  <c r="I105" i="46" s="1"/>
  <c r="J22" i="46"/>
  <c r="AF11" i="46"/>
  <c r="AF13" i="46" s="1"/>
  <c r="Z7" i="46"/>
  <c r="C101" i="46"/>
  <c r="C109" i="46" s="1"/>
  <c r="H101" i="46"/>
  <c r="H102" i="46" s="1"/>
  <c r="AA11" i="46"/>
  <c r="AA13" i="46" s="1"/>
  <c r="F22" i="46"/>
  <c r="D22" i="46" s="1"/>
  <c r="C21" i="46" s="1"/>
  <c r="AD11" i="46"/>
  <c r="H22" i="46"/>
  <c r="BQ5" i="3"/>
  <c r="BJ5" i="3"/>
  <c r="BL13" i="3"/>
  <c r="A9" i="64"/>
  <c r="G9" i="1"/>
  <c r="AP7" i="1"/>
  <c r="C20" i="59"/>
  <c r="D21" i="59"/>
  <c r="T21" i="59"/>
  <c r="F20" i="59"/>
  <c r="F19" i="59" s="1"/>
  <c r="F18" i="59" s="1"/>
  <c r="F17" i="59" s="1"/>
  <c r="V21" i="59"/>
  <c r="F28" i="6"/>
  <c r="AB36" i="34"/>
  <c r="U36" i="34"/>
  <c r="AZ572" i="3"/>
  <c r="F9" i="21"/>
  <c r="J9" i="21"/>
  <c r="BP5" i="3"/>
  <c r="S25" i="40"/>
  <c r="W34" i="33"/>
  <c r="S20" i="35"/>
  <c r="AA20" i="35"/>
  <c r="W16" i="40"/>
  <c r="AC16" i="40"/>
  <c r="AB33" i="36"/>
  <c r="U33" i="36"/>
  <c r="AA19" i="39"/>
  <c r="S19" i="39"/>
  <c r="U46" i="34"/>
  <c r="AB46" i="34"/>
  <c r="W32" i="33"/>
  <c r="AC32" i="33"/>
  <c r="U39" i="21"/>
  <c r="S39" i="33"/>
  <c r="AZ509" i="3"/>
  <c r="AB30" i="21"/>
  <c r="U30" i="21"/>
  <c r="AA19" i="21"/>
  <c r="S19" i="21"/>
  <c r="H9" i="21"/>
  <c r="BF5" i="3"/>
  <c r="E10" i="6" s="1"/>
  <c r="AA12" i="21"/>
  <c r="S12" i="21"/>
  <c r="H27" i="21"/>
  <c r="F27" i="21"/>
  <c r="J27" i="21"/>
  <c r="J31" i="21"/>
  <c r="F31" i="21"/>
  <c r="H31" i="21"/>
  <c r="H28" i="33"/>
  <c r="J28" i="33"/>
  <c r="S31" i="33"/>
  <c r="AA31" i="33"/>
  <c r="F46" i="33"/>
  <c r="J46" i="33"/>
  <c r="H46" i="33"/>
  <c r="F29" i="34"/>
  <c r="J29" i="34"/>
  <c r="H29" i="34"/>
  <c r="J45" i="34"/>
  <c r="H45" i="34"/>
  <c r="F45" i="34"/>
  <c r="J13" i="35"/>
  <c r="F13" i="35"/>
  <c r="H13" i="35"/>
  <c r="AB24" i="36"/>
  <c r="U24" i="36"/>
  <c r="J11" i="36"/>
  <c r="F11" i="36"/>
  <c r="H11" i="36"/>
  <c r="F34" i="40"/>
  <c r="H34" i="40"/>
  <c r="J34" i="40"/>
  <c r="F37" i="39"/>
  <c r="J37" i="39"/>
  <c r="H37" i="39"/>
  <c r="BL569" i="3"/>
  <c r="BA569" i="3"/>
  <c r="BL568" i="3"/>
  <c r="BA568" i="3"/>
  <c r="AZ568" i="3" s="1"/>
  <c r="BA567" i="3"/>
  <c r="AZ567" i="3" s="1"/>
  <c r="BA563" i="3"/>
  <c r="AZ563" i="3" s="1"/>
  <c r="BA562" i="3"/>
  <c r="AZ562" i="3" s="1"/>
  <c r="BA561" i="3"/>
  <c r="AZ561" i="3" s="1"/>
  <c r="BL560" i="3"/>
  <c r="BA560" i="3"/>
  <c r="BL559" i="3"/>
  <c r="BA559" i="3"/>
  <c r="AZ559" i="3" s="1"/>
  <c r="BA550" i="3"/>
  <c r="AZ550" i="3" s="1"/>
  <c r="BL549" i="3"/>
  <c r="BA549" i="3"/>
  <c r="BL548" i="3"/>
  <c r="AZ548" i="3" s="1"/>
  <c r="BL547" i="3"/>
  <c r="BA547" i="3"/>
  <c r="BL519" i="3"/>
  <c r="AZ519" i="3" s="1"/>
  <c r="BL518" i="3"/>
  <c r="BA518" i="3"/>
  <c r="AZ518" i="3" s="1"/>
  <c r="BL517" i="3"/>
  <c r="BA517" i="3"/>
  <c r="BL516" i="3"/>
  <c r="BA516" i="3"/>
  <c r="AZ516" i="3" s="1"/>
  <c r="BA515" i="3"/>
  <c r="AZ515" i="3" s="1"/>
  <c r="BL514" i="3"/>
  <c r="BA514" i="3"/>
  <c r="AZ514" i="3" s="1"/>
  <c r="BA513" i="3"/>
  <c r="AZ513" i="3" s="1"/>
  <c r="BL512" i="3"/>
  <c r="BA512" i="3"/>
  <c r="AD13" i="46"/>
  <c r="AC23" i="21"/>
  <c r="W27" i="40"/>
  <c r="AC17" i="33"/>
  <c r="AC23" i="33"/>
  <c r="AC25" i="34"/>
  <c r="BM5" i="3"/>
  <c r="AB13" i="40"/>
  <c r="W46" i="34"/>
  <c r="S4" i="46"/>
  <c r="H54" i="46"/>
  <c r="AE11" i="46"/>
  <c r="AE13" i="46" s="1"/>
  <c r="AH11" i="46"/>
  <c r="AH13" i="46" s="1"/>
  <c r="K101" i="46"/>
  <c r="K102" i="46" s="1"/>
  <c r="L101" i="46"/>
  <c r="G101" i="46"/>
  <c r="AJ11" i="46"/>
  <c r="AJ13" i="46" s="1"/>
  <c r="M101" i="46"/>
  <c r="M102" i="46" s="1"/>
  <c r="F101" i="46"/>
  <c r="F103" i="46" s="1"/>
  <c r="Y11" i="46"/>
  <c r="Y13" i="46" s="1"/>
  <c r="H51" i="46"/>
  <c r="H53" i="46"/>
  <c r="O40" i="9"/>
  <c r="AB20" i="36"/>
  <c r="C19" i="39"/>
  <c r="W37" i="40"/>
  <c r="AB14" i="33"/>
  <c r="AC33" i="37"/>
  <c r="BO5" i="3"/>
  <c r="AC38" i="39"/>
  <c r="W21" i="40"/>
  <c r="U33" i="40"/>
  <c r="AB10" i="33"/>
  <c r="W10" i="33"/>
  <c r="U30" i="34"/>
  <c r="S33" i="37"/>
  <c r="AA9" i="37"/>
  <c r="U27" i="36"/>
  <c r="U47" i="39"/>
  <c r="W12" i="34"/>
  <c r="S23" i="39"/>
  <c r="AZ178" i="3"/>
  <c r="AC9" i="37"/>
  <c r="W9" i="37"/>
  <c r="AA23" i="37"/>
  <c r="S23" i="37"/>
  <c r="AZ551" i="3"/>
  <c r="F28" i="33"/>
  <c r="AB36" i="21"/>
  <c r="J26" i="33"/>
  <c r="H26" i="33"/>
  <c r="F26" i="33"/>
  <c r="AB8" i="35"/>
  <c r="U8" i="35"/>
  <c r="AC22" i="36"/>
  <c r="W22" i="36"/>
  <c r="F14" i="37"/>
  <c r="J14" i="37"/>
  <c r="H14" i="37"/>
  <c r="F28" i="37"/>
  <c r="H28" i="37"/>
  <c r="J28" i="37"/>
  <c r="AC39" i="37"/>
  <c r="W39" i="37"/>
  <c r="J46" i="39"/>
  <c r="F46" i="39"/>
  <c r="H46" i="39"/>
  <c r="BA523" i="3"/>
  <c r="AZ523" i="3" s="1"/>
  <c r="BL522" i="3"/>
  <c r="AZ522" i="3" s="1"/>
  <c r="BL521" i="3"/>
  <c r="BA521" i="3"/>
  <c r="BL520" i="3"/>
  <c r="BA520" i="3"/>
  <c r="S32" i="34"/>
  <c r="AA32" i="34"/>
  <c r="U29" i="33"/>
  <c r="AB29" i="33"/>
  <c r="S30" i="33"/>
  <c r="AA30" i="33"/>
  <c r="S30" i="35"/>
  <c r="AA30" i="35"/>
  <c r="AC30" i="21"/>
  <c r="W30" i="21"/>
  <c r="U34" i="21"/>
  <c r="AB34" i="21"/>
  <c r="BA508" i="3"/>
  <c r="AZ508" i="3" s="1"/>
  <c r="BE5" i="3"/>
  <c r="BA482" i="3"/>
  <c r="AZ482" i="3" s="1"/>
  <c r="AA34" i="35"/>
  <c r="S34" i="35"/>
  <c r="BL507" i="3"/>
  <c r="AZ507" i="3" s="1"/>
  <c r="BA506" i="3"/>
  <c r="AZ506" i="3" s="1"/>
  <c r="BA505" i="3"/>
  <c r="BA485" i="3"/>
  <c r="AZ485" i="3" s="1"/>
  <c r="BA484" i="3"/>
  <c r="BA483" i="3"/>
  <c r="AZ483" i="3" s="1"/>
  <c r="BB5" i="3"/>
  <c r="H47" i="46"/>
  <c r="AI11" i="46"/>
  <c r="AI13" i="46" s="1"/>
  <c r="AG11" i="46"/>
  <c r="AG13" i="46" s="1"/>
  <c r="E101" i="46"/>
  <c r="E104" i="46" s="1"/>
  <c r="B113" i="46"/>
  <c r="B115" i="46" s="1"/>
  <c r="C115" i="46" s="1"/>
  <c r="AC11" i="46"/>
  <c r="AC13" i="46" s="1"/>
  <c r="W45" i="39"/>
  <c r="W29" i="36"/>
  <c r="BA13" i="3"/>
  <c r="BN5" i="3"/>
  <c r="G29" i="6" s="1"/>
  <c r="U19" i="33"/>
  <c r="AC35" i="33"/>
  <c r="AA12" i="34"/>
  <c r="S17" i="34"/>
  <c r="U42" i="40"/>
  <c r="AA11" i="33"/>
  <c r="AC30" i="34"/>
  <c r="W14" i="39"/>
  <c r="AC27" i="39"/>
  <c r="W27" i="39"/>
  <c r="AA26" i="36"/>
  <c r="S26" i="36"/>
  <c r="W27" i="34"/>
  <c r="AZ299" i="3"/>
  <c r="AC10" i="37"/>
  <c r="W10" i="37"/>
  <c r="U43" i="33"/>
  <c r="AB43" i="33"/>
  <c r="AZ542" i="3"/>
  <c r="AC24" i="36"/>
  <c r="AC34" i="36"/>
  <c r="W34" i="36"/>
  <c r="BG5" i="3"/>
  <c r="W36" i="21"/>
  <c r="AC36" i="21"/>
  <c r="W24" i="35"/>
  <c r="AC24" i="35"/>
  <c r="F35" i="35"/>
  <c r="J35" i="35"/>
  <c r="H35" i="35"/>
  <c r="S31" i="36"/>
  <c r="AA31" i="36"/>
  <c r="U9" i="37"/>
  <c r="AB9" i="37"/>
  <c r="BL511" i="3"/>
  <c r="BA511" i="3"/>
  <c r="AZ511" i="3" s="1"/>
  <c r="BL510" i="3"/>
  <c r="BA510" i="3"/>
  <c r="BL509" i="3"/>
  <c r="H5" i="3"/>
  <c r="H25" i="37"/>
  <c r="F25" i="37"/>
  <c r="G496" i="3"/>
  <c r="G15" i="3"/>
  <c r="BT5" i="3"/>
  <c r="BI5" i="3"/>
  <c r="H12" i="35"/>
  <c r="F12" i="35"/>
  <c r="F23" i="36"/>
  <c r="J9" i="36"/>
  <c r="F9" i="36"/>
  <c r="J25" i="37"/>
  <c r="J26" i="37"/>
  <c r="G490" i="3"/>
  <c r="U30" i="40"/>
  <c r="AA41" i="33"/>
  <c r="U12" i="37"/>
  <c r="U30" i="33"/>
  <c r="G482" i="3"/>
  <c r="G500" i="3"/>
  <c r="AZ397" i="3"/>
  <c r="AZ429" i="3"/>
  <c r="AZ432" i="3"/>
  <c r="AZ470" i="3"/>
  <c r="AZ248" i="3"/>
  <c r="AZ254" i="3"/>
  <c r="AZ420" i="3"/>
  <c r="AZ427" i="3"/>
  <c r="AZ216" i="3"/>
  <c r="AZ219" i="3"/>
  <c r="AZ408" i="3"/>
  <c r="AZ437" i="3"/>
  <c r="AZ447" i="3"/>
  <c r="AZ457" i="3"/>
  <c r="AZ472" i="3"/>
  <c r="AZ473" i="3"/>
  <c r="AZ318" i="3"/>
  <c r="AZ272" i="3"/>
  <c r="O68" i="59"/>
  <c r="D68" i="59"/>
  <c r="C67" i="59"/>
  <c r="A30" i="64"/>
  <c r="A30" i="51"/>
  <c r="B22" i="63" s="1"/>
  <c r="AZ226" i="3"/>
  <c r="AZ256" i="3"/>
  <c r="AZ264" i="3"/>
  <c r="AZ113" i="3"/>
  <c r="AZ133" i="3"/>
  <c r="AZ141" i="3"/>
  <c r="AZ148" i="3"/>
  <c r="AZ149" i="3"/>
  <c r="AZ160" i="3"/>
  <c r="AZ168" i="3"/>
  <c r="AZ175" i="3"/>
  <c r="A11" i="55"/>
  <c r="B62" i="63" s="1"/>
  <c r="BL207" i="3"/>
  <c r="AZ207" i="3" s="1"/>
  <c r="BL210" i="3"/>
  <c r="AZ210" i="3" s="1"/>
  <c r="BA221" i="3"/>
  <c r="AZ221" i="3" s="1"/>
  <c r="BA232" i="3"/>
  <c r="BA235" i="3"/>
  <c r="AZ235" i="3" s="1"/>
  <c r="BL239" i="3"/>
  <c r="BL242" i="3"/>
  <c r="AZ242" i="3" s="1"/>
  <c r="AZ258" i="3"/>
  <c r="AZ266" i="3"/>
  <c r="AZ288" i="3"/>
  <c r="AZ136" i="3"/>
  <c r="AZ163" i="3"/>
  <c r="AZ171" i="3"/>
  <c r="BA213" i="3"/>
  <c r="G217" i="3"/>
  <c r="G220" i="3"/>
  <c r="BA224" i="3"/>
  <c r="AZ224" i="3" s="1"/>
  <c r="BA227" i="3"/>
  <c r="AZ227" i="3" s="1"/>
  <c r="BL231" i="3"/>
  <c r="AZ231" i="3" s="1"/>
  <c r="BL234" i="3"/>
  <c r="AZ234" i="3" s="1"/>
  <c r="G238" i="3"/>
  <c r="BA245" i="3"/>
  <c r="AZ245" i="3" s="1"/>
  <c r="G249" i="3"/>
  <c r="BA251" i="3"/>
  <c r="AZ251" i="3" s="1"/>
  <c r="BL253" i="3"/>
  <c r="BL255" i="3"/>
  <c r="AZ255" i="3" s="1"/>
  <c r="G257" i="3"/>
  <c r="BA259" i="3"/>
  <c r="AZ259" i="3" s="1"/>
  <c r="BL261" i="3"/>
  <c r="AZ261" i="3" s="1"/>
  <c r="BL263" i="3"/>
  <c r="AZ263" i="3" s="1"/>
  <c r="G265" i="3"/>
  <c r="BA267" i="3"/>
  <c r="AZ267" i="3" s="1"/>
  <c r="BL269" i="3"/>
  <c r="AZ269" i="3" s="1"/>
  <c r="BL272" i="3"/>
  <c r="AZ293" i="3"/>
  <c r="AZ116" i="3"/>
  <c r="AZ145" i="3"/>
  <c r="AZ172" i="3"/>
  <c r="AZ38" i="3"/>
  <c r="AZ69" i="3"/>
  <c r="AZ100" i="3"/>
  <c r="AZ103" i="3"/>
  <c r="B37" i="50"/>
  <c r="B2" i="63" s="1"/>
  <c r="X9" i="59"/>
  <c r="AA9" i="59"/>
  <c r="AB9" i="59"/>
  <c r="Y9" i="59"/>
  <c r="Z9" i="59" s="1"/>
  <c r="BL188" i="3"/>
  <c r="AZ188" i="3" s="1"/>
  <c r="BA194" i="3"/>
  <c r="AZ194" i="3" s="1"/>
  <c r="BA195" i="3"/>
  <c r="AZ195" i="3" s="1"/>
  <c r="BL202" i="3"/>
  <c r="BA204" i="3"/>
  <c r="AZ204" i="3" s="1"/>
  <c r="BL35" i="3"/>
  <c r="AZ35" i="3" s="1"/>
  <c r="BA45" i="3"/>
  <c r="AZ45" i="3" s="1"/>
  <c r="AZ46" i="3"/>
  <c r="AZ75" i="3"/>
  <c r="AZ89" i="3"/>
  <c r="BL178" i="3"/>
  <c r="BA182" i="3"/>
  <c r="AZ182" i="3" s="1"/>
  <c r="BA183" i="3"/>
  <c r="AZ183" i="3" s="1"/>
  <c r="BL192" i="3"/>
  <c r="AZ192" i="3" s="1"/>
  <c r="BA198" i="3"/>
  <c r="AZ198" i="3" s="1"/>
  <c r="BA199" i="3"/>
  <c r="AZ199" i="3" s="1"/>
  <c r="BL203" i="3"/>
  <c r="AZ203" i="3" s="1"/>
  <c r="BA24" i="3"/>
  <c r="AZ24" i="3" s="1"/>
  <c r="AZ25" i="3"/>
  <c r="BA27" i="3"/>
  <c r="AZ27" i="3" s="1"/>
  <c r="AZ28" i="3"/>
  <c r="BA33" i="3"/>
  <c r="AZ33" i="3" s="1"/>
  <c r="BA42" i="3"/>
  <c r="AZ42" i="3" s="1"/>
  <c r="AZ44" i="3"/>
  <c r="AZ95" i="3"/>
  <c r="BA49" i="3"/>
  <c r="AZ49" i="3" s="1"/>
  <c r="BA50" i="3"/>
  <c r="AZ50" i="3" s="1"/>
  <c r="BL52" i="3"/>
  <c r="BA55" i="3"/>
  <c r="AZ55" i="3" s="1"/>
  <c r="BL57" i="3"/>
  <c r="G59" i="3"/>
  <c r="BA61" i="3"/>
  <c r="BA62" i="3"/>
  <c r="G66" i="3"/>
  <c r="BL66" i="3"/>
  <c r="AZ66" i="3" s="1"/>
  <c r="BL67" i="3"/>
  <c r="G68" i="3"/>
  <c r="BL70" i="3"/>
  <c r="AZ70" i="3" s="1"/>
  <c r="BL76" i="3"/>
  <c r="AZ76" i="3" s="1"/>
  <c r="BL78" i="3"/>
  <c r="AZ78" i="3" s="1"/>
  <c r="BL81" i="3"/>
  <c r="AZ81" i="3" s="1"/>
  <c r="BL84" i="3"/>
  <c r="AZ84" i="3" s="1"/>
  <c r="BL86" i="3"/>
  <c r="AZ86" i="3" s="1"/>
  <c r="G88" i="3"/>
  <c r="BL90" i="3"/>
  <c r="BL96" i="3"/>
  <c r="AZ96" i="3" s="1"/>
  <c r="BL98" i="3"/>
  <c r="AZ98" i="3" s="1"/>
  <c r="BL101" i="3"/>
  <c r="BL104" i="3"/>
  <c r="G106" i="3"/>
  <c r="BA108" i="3"/>
  <c r="AZ108" i="3" s="1"/>
  <c r="BA110" i="3"/>
  <c r="AZ110" i="3" s="1"/>
  <c r="AZ64" i="3"/>
  <c r="BA65" i="3"/>
  <c r="AZ65" i="3" s="1"/>
  <c r="AZ101" i="3"/>
  <c r="AZ104" i="3"/>
  <c r="AA21" i="34"/>
  <c r="S21" i="34"/>
  <c r="AA18" i="36"/>
  <c r="S18" i="36"/>
  <c r="BL48" i="3"/>
  <c r="AZ48" i="3" s="1"/>
  <c r="G50" i="3"/>
  <c r="BA53" i="3"/>
  <c r="AZ53" i="3" s="1"/>
  <c r="G56" i="3"/>
  <c r="BA58" i="3"/>
  <c r="AZ58" i="3" s="1"/>
  <c r="BL60" i="3"/>
  <c r="AZ60" i="3" s="1"/>
  <c r="BL61" i="3"/>
  <c r="G62" i="3"/>
  <c r="BA67" i="3"/>
  <c r="BA68" i="3"/>
  <c r="AZ68" i="3" s="1"/>
  <c r="BL73" i="3"/>
  <c r="BA77" i="3"/>
  <c r="AZ77" i="3" s="1"/>
  <c r="BA85" i="3"/>
  <c r="AZ85" i="3" s="1"/>
  <c r="BA87" i="3"/>
  <c r="BL93" i="3"/>
  <c r="AZ93" i="3" s="1"/>
  <c r="BA97" i="3"/>
  <c r="AZ97" i="3" s="1"/>
  <c r="BA105" i="3"/>
  <c r="AZ105" i="3" s="1"/>
  <c r="BL107" i="3"/>
  <c r="AZ107" i="3" s="1"/>
  <c r="G111" i="3"/>
  <c r="BL112" i="3"/>
  <c r="AZ112" i="3" s="1"/>
  <c r="AA18" i="35"/>
  <c r="S18" i="35"/>
  <c r="C57" i="59"/>
  <c r="D56" i="59"/>
  <c r="K12" i="1"/>
  <c r="M12" i="1" s="1"/>
  <c r="O12" i="1" s="1"/>
  <c r="P12" i="1" s="1"/>
  <c r="B85" i="46"/>
  <c r="C27" i="40"/>
  <c r="T61" i="59"/>
  <c r="C33" i="59"/>
  <c r="D32" i="59"/>
  <c r="N4" i="63"/>
  <c r="B21" i="63"/>
  <c r="X5" i="59"/>
  <c r="X7" i="59"/>
  <c r="X8" i="59"/>
  <c r="X6" i="59"/>
  <c r="X10" i="59"/>
  <c r="X11" i="59"/>
  <c r="AB6" i="59"/>
  <c r="AB7" i="59"/>
  <c r="AB8" i="59"/>
  <c r="AB5" i="59"/>
  <c r="AB10" i="59"/>
  <c r="AB11" i="59"/>
  <c r="AB40" i="59"/>
  <c r="Y25" i="59"/>
  <c r="Z25" i="59" s="1"/>
  <c r="A28" i="64"/>
  <c r="X36" i="59"/>
  <c r="Y31" i="59"/>
  <c r="Z31" i="59" s="1"/>
  <c r="Y19" i="59"/>
  <c r="Z19" i="59" s="1"/>
  <c r="X13" i="59"/>
  <c r="X15" i="59"/>
  <c r="D45" i="59"/>
  <c r="C75" i="59"/>
  <c r="D75" i="59" s="1"/>
  <c r="C79" i="59"/>
  <c r="D79" i="59" s="1"/>
  <c r="O69" i="59"/>
  <c r="D55" i="59"/>
  <c r="AB3" i="59"/>
  <c r="AA27" i="59"/>
  <c r="X28" i="59"/>
  <c r="Y30" i="59"/>
  <c r="Z30" i="59" s="1"/>
  <c r="X31" i="59"/>
  <c r="AA35" i="59"/>
  <c r="AA36" i="59"/>
  <c r="Y38" i="59"/>
  <c r="Z38" i="59" s="1"/>
  <c r="E44" i="59"/>
  <c r="E45" i="59" s="1"/>
  <c r="U45" i="59" s="1"/>
  <c r="B80" i="59"/>
  <c r="B79" i="59" s="1"/>
  <c r="U29" i="59"/>
  <c r="E28" i="59"/>
  <c r="E27" i="59" s="1"/>
  <c r="E24" i="59"/>
  <c r="E23" i="59" s="1"/>
  <c r="E22" i="59" s="1"/>
  <c r="E21" i="59" s="1"/>
  <c r="S29" i="59"/>
  <c r="C29" i="59"/>
  <c r="AA24" i="59"/>
  <c r="AB24" i="59"/>
  <c r="X19" i="59"/>
  <c r="Y15" i="59"/>
  <c r="Z15" i="59" s="1"/>
  <c r="S21" i="37"/>
  <c r="T69" i="59"/>
  <c r="D39" i="59"/>
  <c r="AB28" i="59"/>
  <c r="AB29" i="59"/>
  <c r="Y28" i="59"/>
  <c r="Z28" i="59" s="1"/>
  <c r="Y26" i="59"/>
  <c r="Z26" i="59" s="1"/>
  <c r="AA26" i="59"/>
  <c r="X27" i="59"/>
  <c r="Y33" i="59"/>
  <c r="Z33" i="59" s="1"/>
  <c r="X34" i="59"/>
  <c r="AB34" i="59"/>
  <c r="AB35" i="59"/>
  <c r="AB38" i="59"/>
  <c r="F39" i="59"/>
  <c r="F40" i="59" s="1"/>
  <c r="F41" i="59" s="1"/>
  <c r="V41" i="59" s="1"/>
  <c r="AB39" i="59"/>
  <c r="Y8" i="59"/>
  <c r="Z8" i="59" s="1"/>
  <c r="Y6" i="59"/>
  <c r="Z6" i="59" s="1"/>
  <c r="Y5" i="59"/>
  <c r="Z5" i="59" s="1"/>
  <c r="Y7" i="59"/>
  <c r="Z7" i="59" s="1"/>
  <c r="Y10" i="59"/>
  <c r="Z10" i="59" s="1"/>
  <c r="Y11" i="59"/>
  <c r="Z11" i="59" s="1"/>
  <c r="B68" i="59"/>
  <c r="V29" i="59"/>
  <c r="F28" i="59"/>
  <c r="F27" i="59" s="1"/>
  <c r="Y35" i="59"/>
  <c r="Z35" i="59" s="1"/>
  <c r="X24" i="59"/>
  <c r="AA22" i="59"/>
  <c r="Y14" i="59"/>
  <c r="Z14" i="59" s="1"/>
  <c r="AB18" i="59"/>
  <c r="AA13" i="59"/>
  <c r="AA18" i="59"/>
  <c r="S31" i="39"/>
  <c r="C84" i="59"/>
  <c r="AB27" i="59"/>
  <c r="X26" i="59"/>
  <c r="X30" i="59"/>
  <c r="F31" i="59"/>
  <c r="F32" i="59" s="1"/>
  <c r="F33" i="59" s="1"/>
  <c r="V33" i="59" s="1"/>
  <c r="C35" i="59"/>
  <c r="X35" i="59"/>
  <c r="X38" i="59"/>
  <c r="X39" i="59"/>
  <c r="X40" i="59"/>
  <c r="AA6" i="59"/>
  <c r="AA8" i="59"/>
  <c r="AA5" i="59"/>
  <c r="AA7" i="59"/>
  <c r="AA10" i="59"/>
  <c r="AA11" i="59"/>
  <c r="Q67" i="59"/>
  <c r="Y36" i="59"/>
  <c r="Z36" i="59" s="1"/>
  <c r="AA34" i="59"/>
  <c r="X25" i="59"/>
  <c r="Y24" i="59"/>
  <c r="Z24" i="59" s="1"/>
  <c r="X22" i="59"/>
  <c r="AB15" i="59"/>
  <c r="B25" i="59"/>
  <c r="L76" i="9"/>
  <c r="P75" i="15"/>
  <c r="AB19" i="59"/>
  <c r="X17" i="59"/>
  <c r="Y12" i="59"/>
  <c r="Z12" i="59" s="1"/>
  <c r="AB14" i="59"/>
  <c r="AA12" i="59"/>
  <c r="X18" i="59"/>
  <c r="AA16" i="59"/>
  <c r="Y13" i="59"/>
  <c r="Z13" i="59" s="1"/>
  <c r="AB12" i="59"/>
  <c r="X14" i="59"/>
  <c r="AA14" i="59"/>
  <c r="AB16" i="59"/>
  <c r="Y18" i="59"/>
  <c r="Z18" i="59" s="1"/>
  <c r="AB13" i="59"/>
  <c r="X12" i="59"/>
  <c r="AA15" i="59"/>
  <c r="S17" i="40"/>
  <c r="AB17" i="40"/>
  <c r="AB32" i="40"/>
  <c r="W35" i="40"/>
  <c r="W36" i="40"/>
  <c r="S36" i="40"/>
  <c r="S11" i="40"/>
  <c r="S10" i="40"/>
  <c r="S27" i="40"/>
  <c r="AC31" i="39"/>
  <c r="AC47" i="39"/>
  <c r="AA42" i="39"/>
  <c r="S42" i="39"/>
  <c r="AA36" i="39"/>
  <c r="S36" i="39"/>
  <c r="G17" i="46"/>
  <c r="C16" i="46" s="1"/>
  <c r="D5" i="46" s="1"/>
  <c r="E10" i="46"/>
  <c r="E11" i="46"/>
  <c r="E9" i="46"/>
  <c r="E8" i="46"/>
  <c r="C20" i="46"/>
  <c r="E109" i="46"/>
  <c r="B117" i="46"/>
  <c r="C117" i="46" s="1"/>
  <c r="G27" i="12"/>
  <c r="H106" i="46"/>
  <c r="H103" i="46"/>
  <c r="G13" i="3"/>
  <c r="N109" i="46"/>
  <c r="J107" i="46"/>
  <c r="N104" i="46"/>
  <c r="F34" i="44"/>
  <c r="F24" i="43"/>
  <c r="C24" i="43" s="1"/>
  <c r="C106" i="46"/>
  <c r="N103" i="46"/>
  <c r="H109" i="46"/>
  <c r="H107" i="46"/>
  <c r="D109" i="46"/>
  <c r="H104" i="46"/>
  <c r="H105" i="46"/>
  <c r="D107" i="46"/>
  <c r="C25" i="43"/>
  <c r="C2" i="65"/>
  <c r="G20" i="43"/>
  <c r="G26" i="12"/>
  <c r="F70" i="9"/>
  <c r="F66" i="9"/>
  <c r="P72" i="9" s="1"/>
  <c r="F28" i="15"/>
  <c r="C28" i="15" s="1"/>
  <c r="F30" i="44"/>
  <c r="C30" i="44" s="1"/>
  <c r="D86" i="9"/>
  <c r="F29" i="12"/>
  <c r="F32" i="15"/>
  <c r="F59" i="15" s="1"/>
  <c r="F71" i="9"/>
  <c r="N102" i="46"/>
  <c r="N106" i="46"/>
  <c r="N107" i="46"/>
  <c r="L27" i="6"/>
  <c r="O11" i="1"/>
  <c r="P11" i="1" s="1"/>
  <c r="O6" i="1"/>
  <c r="P6" i="1" s="1"/>
  <c r="O7" i="1"/>
  <c r="P7" i="1" s="1"/>
  <c r="O10" i="1"/>
  <c r="P10" i="1" s="1"/>
  <c r="O9" i="1"/>
  <c r="P9" i="1" s="1"/>
  <c r="O13" i="1"/>
  <c r="P13" i="1" s="1"/>
  <c r="C102" i="46"/>
  <c r="S6" i="46" s="1"/>
  <c r="J104" i="46"/>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E12" i="52"/>
  <c r="F31" i="15"/>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C6" i="15"/>
  <c r="F65" i="15"/>
  <c r="F68" i="15"/>
  <c r="F67" i="15"/>
  <c r="F50" i="15"/>
  <c r="C27" i="15"/>
  <c r="F64" i="15"/>
  <c r="F70" i="15"/>
  <c r="L59" i="15"/>
  <c r="L58" i="15"/>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11" i="44"/>
  <c r="F9" i="44"/>
  <c r="I7" i="65"/>
  <c r="C16" i="15"/>
  <c r="F45" i="44"/>
  <c r="F40" i="44"/>
  <c r="J3" i="65"/>
  <c r="M24" i="44"/>
  <c r="M11" i="44"/>
  <c r="F46" i="44"/>
  <c r="F18" i="44"/>
  <c r="J7" i="65"/>
  <c r="L48" i="44"/>
  <c r="F43" i="44"/>
  <c r="J5" i="65"/>
  <c r="M10" i="44"/>
  <c r="M30" i="44"/>
  <c r="J4" i="65"/>
  <c r="M26" i="44"/>
  <c r="I6" i="65"/>
  <c r="F28" i="44"/>
  <c r="M31" i="44"/>
  <c r="J17" i="44"/>
  <c r="I4" i="65"/>
  <c r="M8" i="44"/>
  <c r="M29" i="44"/>
  <c r="F15" i="44"/>
  <c r="AA32" i="21" l="1"/>
  <c r="J1" i="65"/>
  <c r="J105" i="46"/>
  <c r="D104" i="46"/>
  <c r="AZ73" i="3"/>
  <c r="AZ90" i="3"/>
  <c r="AZ62" i="3"/>
  <c r="AZ239" i="3"/>
  <c r="AZ484" i="3"/>
  <c r="AZ128" i="3"/>
  <c r="AZ280" i="3"/>
  <c r="AZ250" i="3"/>
  <c r="AZ387" i="3"/>
  <c r="AZ211" i="3"/>
  <c r="AZ424" i="3"/>
  <c r="AZ571" i="3"/>
  <c r="U12" i="36"/>
  <c r="AB12" i="36"/>
  <c r="AB13" i="36"/>
  <c r="U13" i="36"/>
  <c r="U45" i="21"/>
  <c r="AB45" i="21"/>
  <c r="AC25" i="35"/>
  <c r="W25" i="35"/>
  <c r="W9" i="35"/>
  <c r="AC9" i="35"/>
  <c r="AC9" i="33"/>
  <c r="W9" i="33"/>
  <c r="AZ120" i="3"/>
  <c r="D103" i="46"/>
  <c r="D102" i="46"/>
  <c r="J103" i="46"/>
  <c r="M106" i="46"/>
  <c r="C5" i="46"/>
  <c r="AZ87" i="3"/>
  <c r="AZ52" i="3"/>
  <c r="AZ213" i="3"/>
  <c r="P68" i="59"/>
  <c r="E67" i="59"/>
  <c r="AZ29" i="3"/>
  <c r="AZ177" i="3"/>
  <c r="AZ137" i="3"/>
  <c r="AZ41" i="3"/>
  <c r="AZ247" i="3"/>
  <c r="AZ459" i="3"/>
  <c r="AZ334" i="3"/>
  <c r="AZ423" i="3"/>
  <c r="AZ391" i="3"/>
  <c r="AC12" i="21"/>
  <c r="W12" i="21"/>
  <c r="S44" i="33"/>
  <c r="AA44" i="33"/>
  <c r="AB28" i="34"/>
  <c r="U28" i="34"/>
  <c r="W45" i="21"/>
  <c r="AC45" i="21"/>
  <c r="AZ558" i="3"/>
  <c r="AA9" i="33"/>
  <c r="S9" i="33"/>
  <c r="D41" i="59"/>
  <c r="T41" i="59"/>
  <c r="J109" i="46"/>
  <c r="K106" i="46"/>
  <c r="D106" i="46"/>
  <c r="J102" i="46"/>
  <c r="AZ253" i="3"/>
  <c r="AZ232" i="3"/>
  <c r="G28" i="6"/>
  <c r="G30" i="6" s="1"/>
  <c r="G31" i="6" s="1"/>
  <c r="AZ505" i="3"/>
  <c r="AZ521" i="3"/>
  <c r="C71" i="59"/>
  <c r="D71" i="59" s="1"/>
  <c r="D72" i="59"/>
  <c r="U31" i="39"/>
  <c r="AB31" i="39"/>
  <c r="AZ63" i="3"/>
  <c r="AZ294" i="3"/>
  <c r="AZ230" i="3"/>
  <c r="AZ228" i="3"/>
  <c r="AZ208" i="3"/>
  <c r="AZ368" i="3"/>
  <c r="AZ478" i="3"/>
  <c r="AZ398" i="3"/>
  <c r="AZ570" i="3"/>
  <c r="AB44" i="33"/>
  <c r="U44" i="33"/>
  <c r="W28" i="34"/>
  <c r="AC28" i="34"/>
  <c r="U29" i="21"/>
  <c r="AB29" i="21"/>
  <c r="U12" i="21"/>
  <c r="AB12" i="21"/>
  <c r="AZ546" i="3"/>
  <c r="S13" i="36"/>
  <c r="AA13" i="36"/>
  <c r="S28" i="34"/>
  <c r="AA28" i="34"/>
  <c r="AC29" i="21"/>
  <c r="W29" i="21"/>
  <c r="AB25" i="35"/>
  <c r="U25" i="35"/>
  <c r="U37" i="21"/>
  <c r="AB37" i="21"/>
  <c r="W37" i="21"/>
  <c r="AC37" i="21"/>
  <c r="S37" i="21"/>
  <c r="AA37" i="21"/>
  <c r="S29" i="39"/>
  <c r="AB29" i="39"/>
  <c r="U38" i="39"/>
  <c r="AB38" i="39"/>
  <c r="I1" i="65"/>
  <c r="U26" i="35"/>
  <c r="AB26" i="35"/>
  <c r="AA26" i="35"/>
  <c r="S26" i="35"/>
  <c r="W26" i="35"/>
  <c r="AC26" i="35"/>
  <c r="M20" i="44"/>
  <c r="F72" i="9"/>
  <c r="S7" i="46"/>
  <c r="S2" i="46"/>
  <c r="S3" i="46"/>
  <c r="C103" i="46"/>
  <c r="S5" i="46"/>
  <c r="C105" i="46"/>
  <c r="I109" i="46"/>
  <c r="I106" i="46"/>
  <c r="I102" i="46"/>
  <c r="C107" i="46"/>
  <c r="C104" i="46"/>
  <c r="I103" i="46"/>
  <c r="I104" i="46"/>
  <c r="I107" i="46"/>
  <c r="M105" i="46"/>
  <c r="M109" i="46"/>
  <c r="E103" i="46"/>
  <c r="B116" i="46"/>
  <c r="C116" i="46" s="1"/>
  <c r="E102" i="46"/>
  <c r="E12" i="6"/>
  <c r="E8" i="6"/>
  <c r="E5" i="6"/>
  <c r="E107" i="46"/>
  <c r="AP16" i="1"/>
  <c r="F22" i="11" s="1"/>
  <c r="Q16" i="1"/>
  <c r="F21" i="43" s="1"/>
  <c r="H16" i="1"/>
  <c r="E11" i="6"/>
  <c r="E62" i="39" s="1"/>
  <c r="M104" i="46"/>
  <c r="K105" i="46"/>
  <c r="M107" i="46"/>
  <c r="M103" i="46"/>
  <c r="J7" i="21"/>
  <c r="W7" i="21" s="1"/>
  <c r="F33" i="44"/>
  <c r="M9" i="44"/>
  <c r="J8" i="44" s="1"/>
  <c r="C8" i="44"/>
  <c r="C34" i="44" s="1"/>
  <c r="C29" i="44"/>
  <c r="L59" i="44"/>
  <c r="Q75" i="44" s="1"/>
  <c r="L60" i="44"/>
  <c r="Q63" i="44" s="1"/>
  <c r="Q73" i="44"/>
  <c r="E28" i="6"/>
  <c r="K14" i="1" s="1"/>
  <c r="N68" i="59"/>
  <c r="B67" i="59"/>
  <c r="T57" i="59"/>
  <c r="D57" i="59"/>
  <c r="AZ61" i="3"/>
  <c r="W26" i="37"/>
  <c r="AC26" i="37"/>
  <c r="AA23" i="36"/>
  <c r="S23" i="36"/>
  <c r="U25" i="37"/>
  <c r="AB25" i="37"/>
  <c r="U46" i="39"/>
  <c r="AB46" i="39"/>
  <c r="U14" i="37"/>
  <c r="AB14" i="37"/>
  <c r="G103" i="46"/>
  <c r="G107" i="46"/>
  <c r="G106" i="46"/>
  <c r="G104" i="46"/>
  <c r="W34" i="40"/>
  <c r="AC34" i="40"/>
  <c r="S11" i="36"/>
  <c r="AA11" i="36"/>
  <c r="AB13" i="35"/>
  <c r="U13" i="35"/>
  <c r="AB45" i="34"/>
  <c r="U45" i="34"/>
  <c r="S29" i="34"/>
  <c r="AA29" i="34"/>
  <c r="AB31" i="21"/>
  <c r="U31" i="21"/>
  <c r="S9" i="21"/>
  <c r="AA9" i="21"/>
  <c r="J7" i="33"/>
  <c r="E13" i="6"/>
  <c r="G102" i="46"/>
  <c r="D84" i="59"/>
  <c r="C83" i="59"/>
  <c r="D83" i="59" s="1"/>
  <c r="E20" i="59"/>
  <c r="E19" i="59" s="1"/>
  <c r="E18" i="59" s="1"/>
  <c r="E17" i="59" s="1"/>
  <c r="U21" i="59"/>
  <c r="AC25" i="37"/>
  <c r="W25" i="37"/>
  <c r="AA12" i="35"/>
  <c r="S12" i="35"/>
  <c r="S35" i="35"/>
  <c r="AA35" i="35"/>
  <c r="AZ13" i="3"/>
  <c r="BA5" i="3"/>
  <c r="I115" i="46"/>
  <c r="J115" i="46" s="1"/>
  <c r="K115" i="46" s="1"/>
  <c r="L115" i="46" s="1"/>
  <c r="M115" i="46" s="1"/>
  <c r="I118" i="46"/>
  <c r="J118" i="46" s="1"/>
  <c r="K118" i="46" s="1"/>
  <c r="L118" i="46" s="1"/>
  <c r="M118" i="46" s="1"/>
  <c r="G118" i="46"/>
  <c r="H118" i="46" s="1"/>
  <c r="D116" i="46"/>
  <c r="E116" i="46" s="1"/>
  <c r="F116" i="46" s="1"/>
  <c r="G116" i="46" s="1"/>
  <c r="H116" i="46" s="1"/>
  <c r="B118" i="46"/>
  <c r="C118" i="46" s="1"/>
  <c r="D117" i="46"/>
  <c r="E117" i="46" s="1"/>
  <c r="F117" i="46" s="1"/>
  <c r="G117" i="46" s="1"/>
  <c r="H117" i="46" s="1"/>
  <c r="D115" i="46"/>
  <c r="I116" i="46"/>
  <c r="J116" i="46" s="1"/>
  <c r="K116" i="46" s="1"/>
  <c r="L116" i="46" s="1"/>
  <c r="M116" i="46" s="1"/>
  <c r="AC26" i="33"/>
  <c r="W26" i="33"/>
  <c r="F106" i="46"/>
  <c r="F105" i="46"/>
  <c r="F107" i="46"/>
  <c r="F104" i="46"/>
  <c r="L105" i="46"/>
  <c r="L109" i="46"/>
  <c r="L107" i="46"/>
  <c r="L102" i="46"/>
  <c r="U37" i="39"/>
  <c r="AB37" i="39"/>
  <c r="AC11" i="36"/>
  <c r="W11" i="36"/>
  <c r="AA13" i="35"/>
  <c r="S13" i="35"/>
  <c r="AC45" i="34"/>
  <c r="W45" i="34"/>
  <c r="AB46" i="33"/>
  <c r="U46" i="33"/>
  <c r="AA31" i="21"/>
  <c r="S31" i="21"/>
  <c r="AB9" i="21"/>
  <c r="U9" i="21"/>
  <c r="E14" i="6"/>
  <c r="E60" i="40" s="1"/>
  <c r="F109" i="46"/>
  <c r="L104" i="46"/>
  <c r="D118" i="46"/>
  <c r="E118" i="46" s="1"/>
  <c r="F118" i="46" s="1"/>
  <c r="G105" i="46"/>
  <c r="S25" i="59"/>
  <c r="B24" i="59"/>
  <c r="B23" i="59" s="1"/>
  <c r="B22" i="59" s="1"/>
  <c r="B21" i="59" s="1"/>
  <c r="T33" i="59"/>
  <c r="D33" i="59"/>
  <c r="AZ67" i="3"/>
  <c r="D67" i="59"/>
  <c r="O66" i="59"/>
  <c r="O67" i="59"/>
  <c r="AA9" i="36"/>
  <c r="S9" i="36"/>
  <c r="AB12" i="35"/>
  <c r="U12" i="35"/>
  <c r="E106" i="46"/>
  <c r="E105" i="46"/>
  <c r="AZ520" i="3"/>
  <c r="W46" i="39"/>
  <c r="AC46" i="39"/>
  <c r="AB28" i="37"/>
  <c r="U28" i="37"/>
  <c r="AA14" i="37"/>
  <c r="S14" i="37"/>
  <c r="K103" i="46"/>
  <c r="K107" i="46"/>
  <c r="K109" i="46"/>
  <c r="K104" i="46"/>
  <c r="AZ512" i="3"/>
  <c r="AZ517" i="3"/>
  <c r="AZ549" i="3"/>
  <c r="AC37" i="39"/>
  <c r="W37" i="39"/>
  <c r="AA34" i="40"/>
  <c r="S34" i="40"/>
  <c r="W13" i="35"/>
  <c r="AC13" i="35"/>
  <c r="U29" i="34"/>
  <c r="AB29" i="34"/>
  <c r="AC46" i="33"/>
  <c r="W46" i="33"/>
  <c r="W28" i="33"/>
  <c r="AC28" i="33"/>
  <c r="AC31" i="21"/>
  <c r="W31" i="21"/>
  <c r="F16" i="59"/>
  <c r="F15" i="59" s="1"/>
  <c r="F14" i="59" s="1"/>
  <c r="F13" i="59" s="1"/>
  <c r="V17" i="59"/>
  <c r="BL5" i="3"/>
  <c r="D35" i="59"/>
  <c r="C36" i="59"/>
  <c r="AC35" i="35"/>
  <c r="W35" i="35"/>
  <c r="U26" i="33"/>
  <c r="AB26" i="33"/>
  <c r="S27" i="21"/>
  <c r="AA27" i="21"/>
  <c r="E15" i="6"/>
  <c r="E61" i="40" s="1"/>
  <c r="S46" i="39"/>
  <c r="AA46" i="39"/>
  <c r="W28" i="37"/>
  <c r="AC28" i="37"/>
  <c r="AC14" i="37"/>
  <c r="W14" i="37"/>
  <c r="F29" i="6"/>
  <c r="E29" i="6" s="1"/>
  <c r="U34" i="40"/>
  <c r="AB34" i="40"/>
  <c r="AB27" i="21"/>
  <c r="U27" i="21"/>
  <c r="C19" i="59"/>
  <c r="D20" i="59"/>
  <c r="L106" i="46"/>
  <c r="F102" i="46"/>
  <c r="L103" i="46"/>
  <c r="I117" i="46"/>
  <c r="J117" i="46" s="1"/>
  <c r="K117" i="46" s="1"/>
  <c r="L117" i="46" s="1"/>
  <c r="M117" i="46" s="1"/>
  <c r="G109" i="46"/>
  <c r="D29" i="59"/>
  <c r="T29" i="59"/>
  <c r="C28" i="59"/>
  <c r="W9" i="36"/>
  <c r="AC9" i="36"/>
  <c r="AA25" i="37"/>
  <c r="S25" i="37"/>
  <c r="AZ510" i="3"/>
  <c r="AB35" i="35"/>
  <c r="U35" i="35"/>
  <c r="AA28" i="37"/>
  <c r="S28" i="37"/>
  <c r="AA26" i="33"/>
  <c r="S26" i="33"/>
  <c r="AA28" i="33"/>
  <c r="S28" i="33"/>
  <c r="R7" i="54"/>
  <c r="B52" i="63" s="1"/>
  <c r="K31" i="9"/>
  <c r="K32" i="9" s="1"/>
  <c r="AZ547" i="3"/>
  <c r="AZ560" i="3"/>
  <c r="AZ569" i="3"/>
  <c r="S37" i="39"/>
  <c r="AA37" i="39"/>
  <c r="U11" i="36"/>
  <c r="AB11" i="36"/>
  <c r="S45" i="34"/>
  <c r="AA45" i="34"/>
  <c r="W29" i="34"/>
  <c r="AC29" i="34"/>
  <c r="S46" i="33"/>
  <c r="AA46" i="33"/>
  <c r="U28" i="33"/>
  <c r="AB28" i="33"/>
  <c r="W27" i="21"/>
  <c r="AC27" i="21"/>
  <c r="W9" i="21"/>
  <c r="AC9" i="21"/>
  <c r="C7" i="46"/>
  <c r="G5" i="3"/>
  <c r="B3" i="3" s="1"/>
  <c r="E63" i="39"/>
  <c r="E58" i="40"/>
  <c r="E64" i="39"/>
  <c r="E59" i="40"/>
  <c r="H7" i="34"/>
  <c r="AB7" i="34" s="1"/>
  <c r="T49" i="34" s="1"/>
  <c r="G49" i="34" s="1"/>
  <c r="F7" i="34"/>
  <c r="AA7" i="34" s="1"/>
  <c r="R49" i="34" s="1"/>
  <c r="J7" i="34"/>
  <c r="W7" i="34" s="1"/>
  <c r="G16" i="1"/>
  <c r="J12" i="40" s="1"/>
  <c r="F7" i="21"/>
  <c r="AA7" i="21" s="1"/>
  <c r="H7" i="21"/>
  <c r="AB7" i="21" s="1"/>
  <c r="F58" i="15"/>
  <c r="H7" i="35"/>
  <c r="U7" i="35" s="1"/>
  <c r="E64" i="40"/>
  <c r="D66" i="40"/>
  <c r="AC7" i="33"/>
  <c r="V48" i="33" s="1"/>
  <c r="I48" i="33" s="1"/>
  <c r="W7" i="33"/>
  <c r="S7" i="34"/>
  <c r="J7" i="37"/>
  <c r="D71" i="39"/>
  <c r="E69" i="39"/>
  <c r="H7" i="33"/>
  <c r="F7" i="33"/>
  <c r="J46" i="36"/>
  <c r="J7" i="35"/>
  <c r="F7" i="35"/>
  <c r="H7" i="37"/>
  <c r="F7" i="37"/>
  <c r="C19" i="46"/>
  <c r="C34" i="46" s="1"/>
  <c r="L47" i="44"/>
  <c r="Q62" i="15"/>
  <c r="Q75" i="15"/>
  <c r="M13" i="44"/>
  <c r="J12" i="44" s="1"/>
  <c r="F11" i="15"/>
  <c r="M11" i="15"/>
  <c r="J10" i="15" s="1"/>
  <c r="F13" i="44"/>
  <c r="C12" i="44" s="1"/>
  <c r="C48" i="15"/>
  <c r="C32" i="15"/>
  <c r="M28" i="46"/>
  <c r="P28" i="46"/>
  <c r="O28" i="46"/>
  <c r="N28" i="46"/>
  <c r="F1" i="44"/>
  <c r="Q54" i="44"/>
  <c r="F1" i="15"/>
  <c r="Q53" i="15"/>
  <c r="Q61" i="15"/>
  <c r="Q74" i="15"/>
  <c r="J6" i="15"/>
  <c r="E3" i="65"/>
  <c r="E2" i="65"/>
  <c r="C18" i="44"/>
  <c r="F17" i="11" l="1"/>
  <c r="C17" i="11" s="1"/>
  <c r="C19" i="11" s="1"/>
  <c r="C20" i="11" s="1"/>
  <c r="C21" i="11" s="1"/>
  <c r="C22" i="11" s="1"/>
  <c r="C23" i="11" s="1"/>
  <c r="B2" i="11" s="1"/>
  <c r="AC7" i="34"/>
  <c r="V49" i="34" s="1"/>
  <c r="I49" i="34" s="1"/>
  <c r="G54" i="34" s="1"/>
  <c r="H54" i="34" s="1"/>
  <c r="P66" i="59"/>
  <c r="P67" i="59"/>
  <c r="B40" i="1"/>
  <c r="AC7" i="21"/>
  <c r="J20" i="44"/>
  <c r="F33" i="12"/>
  <c r="C34" i="12" s="1"/>
  <c r="D33" i="12" s="1"/>
  <c r="D12" i="11"/>
  <c r="C12" i="11" s="1"/>
  <c r="D21" i="12"/>
  <c r="C21" i="12" s="1"/>
  <c r="E57" i="40"/>
  <c r="E27" i="6"/>
  <c r="K24" i="6" s="1"/>
  <c r="M24" i="6" s="1"/>
  <c r="I24" i="6" s="1"/>
  <c r="S24" i="6" s="1"/>
  <c r="E53" i="40"/>
  <c r="E58" i="39"/>
  <c r="F27" i="6"/>
  <c r="E65" i="39"/>
  <c r="E66" i="39"/>
  <c r="F30" i="6"/>
  <c r="E16" i="6"/>
  <c r="Q62" i="44"/>
  <c r="C7" i="44"/>
  <c r="C40" i="44" s="1"/>
  <c r="Q76" i="44"/>
  <c r="J7" i="44"/>
  <c r="J26" i="44" s="1"/>
  <c r="M19" i="44"/>
  <c r="K15" i="1"/>
  <c r="E30" i="6"/>
  <c r="C18" i="59"/>
  <c r="D19" i="59"/>
  <c r="F12" i="59"/>
  <c r="F11" i="59" s="1"/>
  <c r="V13" i="59"/>
  <c r="U7" i="34"/>
  <c r="B20" i="59"/>
  <c r="B19" i="59" s="1"/>
  <c r="B18" i="59" s="1"/>
  <c r="B17" i="59" s="1"/>
  <c r="S21" i="59"/>
  <c r="E115" i="46"/>
  <c r="F115" i="46" s="1"/>
  <c r="G115" i="46" s="1"/>
  <c r="H115" i="46" s="1"/>
  <c r="AZ5" i="3"/>
  <c r="E3" i="6" s="1"/>
  <c r="C33" i="21" s="1"/>
  <c r="E16" i="59"/>
  <c r="E15" i="59" s="1"/>
  <c r="E14" i="59" s="1"/>
  <c r="E13" i="59" s="1"/>
  <c r="U17" i="59"/>
  <c r="C37" i="59"/>
  <c r="D36" i="59"/>
  <c r="C27" i="59"/>
  <c r="D27" i="59" s="1"/>
  <c r="D28" i="59"/>
  <c r="N66" i="59"/>
  <c r="N67"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J33" i="21" l="1"/>
  <c r="H33" i="21"/>
  <c r="F33" i="21"/>
  <c r="I53" i="34"/>
  <c r="J53" i="34" s="1"/>
  <c r="G43" i="35"/>
  <c r="H43" i="35" s="1"/>
  <c r="G42" i="35"/>
  <c r="H42" i="35" s="1"/>
  <c r="K21" i="6"/>
  <c r="M21" i="6" s="1"/>
  <c r="I21" i="6" s="1"/>
  <c r="S21" i="6" s="1"/>
  <c r="K25" i="6"/>
  <c r="M25" i="6" s="1"/>
  <c r="I25" i="6" s="1"/>
  <c r="S25" i="6" s="1"/>
  <c r="K23" i="6"/>
  <c r="M23" i="6" s="1"/>
  <c r="I23" i="6" s="1"/>
  <c r="S23" i="6" s="1"/>
  <c r="K19" i="6"/>
  <c r="M19" i="6" s="1"/>
  <c r="K20" i="6"/>
  <c r="K22" i="6"/>
  <c r="M22" i="6" s="1"/>
  <c r="I22" i="6" s="1"/>
  <c r="S22" i="6" s="1"/>
  <c r="E31" i="6"/>
  <c r="F31" i="6"/>
  <c r="K26" i="6"/>
  <c r="M26" i="6" s="1"/>
  <c r="I26" i="6" s="1"/>
  <c r="S26" i="6" s="1"/>
  <c r="J28" i="44"/>
  <c r="J31" i="44" s="1"/>
  <c r="Q58" i="44" s="1"/>
  <c r="D16" i="43"/>
  <c r="C16" i="43" s="1"/>
  <c r="C21" i="4"/>
  <c r="O5" i="54" s="1"/>
  <c r="B45" i="63" s="1"/>
  <c r="D45" i="9"/>
  <c r="L38" i="9"/>
  <c r="B14" i="66" s="1"/>
  <c r="B1" i="66" s="1"/>
  <c r="D16" i="12"/>
  <c r="E6" i="6"/>
  <c r="B16" i="59"/>
  <c r="B15" i="59" s="1"/>
  <c r="B14" i="59" s="1"/>
  <c r="B13" i="59" s="1"/>
  <c r="S17" i="59"/>
  <c r="AY6" i="3"/>
  <c r="AY26" i="3" s="1"/>
  <c r="T37" i="59"/>
  <c r="D37" i="59"/>
  <c r="D113" i="46"/>
  <c r="C17" i="59"/>
  <c r="D18" i="59"/>
  <c r="E12" i="59"/>
  <c r="E11" i="59" s="1"/>
  <c r="U13" i="59"/>
  <c r="F9" i="59"/>
  <c r="V9" i="59" s="1"/>
  <c r="H6" i="3"/>
  <c r="AC6" i="3"/>
  <c r="AY316" i="3"/>
  <c r="AY503" i="3"/>
  <c r="AY506" i="3"/>
  <c r="AY322" i="3"/>
  <c r="AY297" i="3"/>
  <c r="AY228" i="3"/>
  <c r="AY54" i="3"/>
  <c r="AY196" i="3"/>
  <c r="AY508" i="3"/>
  <c r="AY200" i="3"/>
  <c r="AY244" i="3"/>
  <c r="AY63" i="3"/>
  <c r="AY363" i="3"/>
  <c r="AY571" i="3"/>
  <c r="AY284" i="3"/>
  <c r="AY482" i="3"/>
  <c r="AY366" i="3"/>
  <c r="AY471" i="3"/>
  <c r="AY553" i="3"/>
  <c r="AY223" i="3"/>
  <c r="AY433" i="3"/>
  <c r="AY539" i="3"/>
  <c r="AY79" i="3"/>
  <c r="AY530" i="3"/>
  <c r="AY57" i="3"/>
  <c r="AY379" i="3"/>
  <c r="AY155" i="3"/>
  <c r="AY330" i="3"/>
  <c r="AY304" i="3"/>
  <c r="BN6" i="3"/>
  <c r="AY131" i="3"/>
  <c r="AY370" i="3"/>
  <c r="AY511" i="3"/>
  <c r="AY102" i="3"/>
  <c r="AY345" i="3"/>
  <c r="AY524" i="3"/>
  <c r="AY270" i="3"/>
  <c r="AY289" i="3"/>
  <c r="AY538" i="3"/>
  <c r="AY497" i="3"/>
  <c r="AY492" i="3"/>
  <c r="AY546" i="3"/>
  <c r="AY500" i="3"/>
  <c r="AY138" i="3"/>
  <c r="AY187" i="3"/>
  <c r="AY464" i="3"/>
  <c r="AY106" i="3"/>
  <c r="AY82" i="3"/>
  <c r="AY128" i="3"/>
  <c r="AY182" i="3"/>
  <c r="AY264" i="3"/>
  <c r="AY479" i="3"/>
  <c r="AY364" i="3"/>
  <c r="AY238" i="3"/>
  <c r="AY115" i="3"/>
  <c r="AY230" i="3"/>
  <c r="AY420" i="3"/>
  <c r="AY157" i="3"/>
  <c r="AY516" i="3"/>
  <c r="AY142" i="3"/>
  <c r="AY232" i="3"/>
  <c r="AY326" i="3"/>
  <c r="AY269" i="3"/>
  <c r="AY457" i="3"/>
  <c r="AY13" i="3"/>
  <c r="AY38" i="3"/>
  <c r="AY378" i="3"/>
  <c r="AY248" i="3"/>
  <c r="AY249" i="3"/>
  <c r="AY452" i="3"/>
  <c r="AY439" i="3"/>
  <c r="AY473" i="3"/>
  <c r="AY59" i="3"/>
  <c r="AY61" i="3"/>
  <c r="AY391" i="3"/>
  <c r="AY403" i="3"/>
  <c r="AY125"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254" i="3"/>
  <c r="AY437" i="3"/>
  <c r="AY273" i="3"/>
  <c r="AY158" i="3"/>
  <c r="AY219" i="3"/>
  <c r="BA6" i="3"/>
  <c r="AY211" i="3"/>
  <c r="W12" i="39"/>
  <c r="M16" i="1"/>
  <c r="N16" i="1" s="1"/>
  <c r="F22" i="43" s="1"/>
  <c r="O14" i="1"/>
  <c r="U12" i="40"/>
  <c r="AB12" i="40"/>
  <c r="U12" i="39"/>
  <c r="AB12" i="39"/>
  <c r="AA12" i="39"/>
  <c r="S12" i="39"/>
  <c r="AA12" i="40"/>
  <c r="S12" i="40"/>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27" i="46"/>
  <c r="C65" i="15"/>
  <c r="C59" i="15"/>
  <c r="B3" i="11"/>
  <c r="J26" i="15"/>
  <c r="J29" i="15" s="1"/>
  <c r="J24" i="15"/>
  <c r="C38" i="15"/>
  <c r="C19" i="44"/>
  <c r="F7" i="67"/>
  <c r="C17" i="15"/>
  <c r="S33" i="21" l="1"/>
  <c r="AA33" i="21"/>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BF6" i="3"/>
  <c r="AY484" i="3"/>
  <c r="AY68" i="3"/>
  <c r="AY276" i="3"/>
  <c r="AY387" i="3"/>
  <c r="AY313" i="3"/>
  <c r="AY298" i="3"/>
  <c r="AY499" i="3"/>
  <c r="AY215" i="3"/>
  <c r="AY173" i="3"/>
  <c r="AY33" i="3"/>
  <c r="AY167" i="3"/>
  <c r="AY292" i="3"/>
  <c r="AY225" i="3"/>
  <c r="AY96" i="3"/>
  <c r="AY27" i="3"/>
  <c r="AY558" i="3"/>
  <c r="AY274" i="3"/>
  <c r="BC6" i="3"/>
  <c r="AY389" i="3"/>
  <c r="AY178" i="3"/>
  <c r="AY448" i="3"/>
  <c r="AY537" i="3"/>
  <c r="AY52" i="3"/>
  <c r="AY308" i="3"/>
  <c r="AY555" i="3"/>
  <c r="AY542" i="3"/>
  <c r="AY241" i="3"/>
  <c r="AY348" i="3"/>
  <c r="AY398" i="3"/>
  <c r="AY202" i="3"/>
  <c r="AY384" i="3"/>
  <c r="AY45" i="3"/>
  <c r="AY95" i="3"/>
  <c r="AY37" i="3"/>
  <c r="AY104" i="3"/>
  <c r="AY315" i="3"/>
  <c r="AY92" i="3"/>
  <c r="AY154" i="3"/>
  <c r="AY239" i="3"/>
  <c r="AY489" i="3"/>
  <c r="AY163" i="3"/>
  <c r="BR6" i="3"/>
  <c r="AY567" i="3"/>
  <c r="AY418" i="3"/>
  <c r="AY331" i="3"/>
  <c r="AY263" i="3"/>
  <c r="AY513" i="3"/>
  <c r="AY89" i="3"/>
  <c r="AY94" i="3"/>
  <c r="AY535" i="3"/>
  <c r="AY520" i="3"/>
  <c r="BL6" i="3"/>
  <c r="AY120" i="3"/>
  <c r="AY449" i="3"/>
  <c r="AY450" i="3"/>
  <c r="AY135" i="3"/>
  <c r="AY262" i="3"/>
  <c r="AY97" i="3"/>
  <c r="AY373" i="3"/>
  <c r="AY564" i="3"/>
  <c r="AY455" i="3"/>
  <c r="AY235" i="3"/>
  <c r="AY480" i="3"/>
  <c r="BT6" i="3"/>
  <c r="AY352" i="3"/>
  <c r="AY491" i="3"/>
  <c r="AY419" i="3"/>
  <c r="AY532" i="3"/>
  <c r="AY339" i="3"/>
  <c r="AY71" i="3"/>
  <c r="AY199" i="3"/>
  <c r="AY314" i="3"/>
  <c r="AY529" i="3"/>
  <c r="AY255" i="3"/>
  <c r="AY312" i="3"/>
  <c r="AY18" i="3"/>
  <c r="AY377" i="3"/>
  <c r="AY395" i="3"/>
  <c r="AY240" i="3"/>
  <c r="AY299" i="3"/>
  <c r="AY413" i="3"/>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390" i="3"/>
  <c r="AY17" i="3"/>
  <c r="AY133" i="3"/>
  <c r="AY113" i="3"/>
  <c r="AY56" i="3"/>
  <c r="AY421" i="3"/>
  <c r="AY514" i="3"/>
  <c r="AY507" i="3"/>
  <c r="AY23" i="3"/>
  <c r="AY522" i="3"/>
  <c r="AY551" i="3"/>
  <c r="AY180" i="3"/>
  <c r="AY360" i="3"/>
  <c r="AY206" i="3"/>
  <c r="AY160" i="3"/>
  <c r="AY156" i="3"/>
  <c r="AY114" i="3"/>
  <c r="AY91" i="3"/>
  <c r="AY122" i="3"/>
  <c r="AY550" i="3"/>
  <c r="AY381" i="3"/>
  <c r="AY136" i="3"/>
  <c r="AY109" i="3"/>
  <c r="AY236" i="3"/>
  <c r="AY143" i="3"/>
  <c r="AY382" i="3"/>
  <c r="AY30" i="3"/>
  <c r="AY72" i="3"/>
  <c r="AY169" i="3"/>
  <c r="AY286" i="3"/>
  <c r="AY425" i="3"/>
  <c r="AY277" i="3"/>
  <c r="AY83" i="3"/>
  <c r="AY203" i="3"/>
  <c r="D3" i="6"/>
  <c r="D8" i="6" s="1"/>
  <c r="AY361" i="3"/>
  <c r="AY194" i="3"/>
  <c r="AY369" i="3"/>
  <c r="AY166" i="3"/>
  <c r="AY107" i="3"/>
  <c r="AY417" i="3"/>
  <c r="AY15" i="3"/>
  <c r="AY285" i="3"/>
  <c r="AY557" i="3"/>
  <c r="AY93" i="3"/>
  <c r="AY164" i="3"/>
  <c r="AY300" i="3"/>
  <c r="AY470" i="3"/>
  <c r="AY332" i="3"/>
  <c r="BJ6" i="3"/>
  <c r="AY151" i="3"/>
  <c r="AY233" i="3"/>
  <c r="AY14" i="3"/>
  <c r="AY414" i="3"/>
  <c r="AY201" i="3"/>
  <c r="AY62" i="3"/>
  <c r="AY149" i="3"/>
  <c r="AY73" i="3"/>
  <c r="AY474" i="3"/>
  <c r="AY338" i="3"/>
  <c r="AY509" i="3"/>
  <c r="AY267" i="3"/>
  <c r="AY344" i="3"/>
  <c r="BP6" i="3"/>
  <c r="AY85" i="3"/>
  <c r="AY170" i="3"/>
  <c r="AY496" i="3"/>
  <c r="AY251" i="3"/>
  <c r="AY110" i="3"/>
  <c r="AY495" i="3"/>
  <c r="AY351" i="3"/>
  <c r="AY485" i="3"/>
  <c r="AY438" i="3"/>
  <c r="AY354" i="3"/>
  <c r="BG6" i="3"/>
  <c r="AY451" i="3"/>
  <c r="BM6" i="3"/>
  <c r="AY490" i="3"/>
  <c r="AY281" i="3"/>
  <c r="AY185" i="3"/>
  <c r="AY247" i="3"/>
  <c r="AY229" i="3"/>
  <c r="U33" i="21"/>
  <c r="AB33" i="21"/>
  <c r="AY221" i="3"/>
  <c r="AY446" i="3"/>
  <c r="AY148" i="3"/>
  <c r="AY443" i="3"/>
  <c r="AY64" i="3"/>
  <c r="AY493" i="3"/>
  <c r="AY359" i="3"/>
  <c r="AY257" i="3"/>
  <c r="AY28" i="3"/>
  <c r="AY204" i="3"/>
  <c r="AY562" i="3"/>
  <c r="AY147" i="3"/>
  <c r="AY356" i="3"/>
  <c r="AY218" i="3"/>
  <c r="AY428" i="3"/>
  <c r="AY465" i="3"/>
  <c r="AY341" i="3"/>
  <c r="AY123" i="3"/>
  <c r="AY333" i="3"/>
  <c r="AY481" i="3"/>
  <c r="AY43" i="3"/>
  <c r="AY305" i="3"/>
  <c r="AY161" i="3"/>
  <c r="AY50" i="3"/>
  <c r="AY265" i="3"/>
  <c r="AY343" i="3"/>
  <c r="AY402" i="3"/>
  <c r="AY234" i="3"/>
  <c r="AY47" i="3"/>
  <c r="AY159" i="3"/>
  <c r="AY486" i="3"/>
  <c r="AY291" i="3"/>
  <c r="AY168" i="3"/>
  <c r="AY525" i="3"/>
  <c r="AY430" i="3"/>
  <c r="AY29" i="3"/>
  <c r="AY407" i="3"/>
  <c r="AY461" i="3"/>
  <c r="AY186" i="3"/>
  <c r="AY540" i="3"/>
  <c r="AY563" i="3"/>
  <c r="AY84" i="3"/>
  <c r="AY192" i="3"/>
  <c r="AY512" i="3"/>
  <c r="AY362" i="3"/>
  <c r="AY454" i="3"/>
  <c r="AY48" i="3"/>
  <c r="AY237" i="3"/>
  <c r="AY306" i="3"/>
  <c r="AY541" i="3"/>
  <c r="AY477" i="3"/>
  <c r="BQ6" i="3"/>
  <c r="AY329" i="3"/>
  <c r="BD6" i="3"/>
  <c r="AY424" i="3"/>
  <c r="AY556" i="3"/>
  <c r="AY543" i="3"/>
  <c r="AY302" i="3"/>
  <c r="AY294" i="3"/>
  <c r="AY49" i="3"/>
  <c r="AY144" i="3"/>
  <c r="AY87" i="3"/>
  <c r="AY528" i="3"/>
  <c r="AY188" i="3"/>
  <c r="AY132" i="3"/>
  <c r="AY435" i="3"/>
  <c r="BK6" i="3"/>
  <c r="AY70" i="3"/>
  <c r="AY139" i="3"/>
  <c r="AY467" i="3"/>
  <c r="AY175" i="3"/>
  <c r="AY504" i="3"/>
  <c r="AY41" i="3"/>
  <c r="AY88" i="3"/>
  <c r="AY146" i="3"/>
  <c r="AY35" i="3"/>
  <c r="AY320" i="3"/>
  <c r="AY323" i="3"/>
  <c r="AY152" i="3"/>
  <c r="AY287" i="3"/>
  <c r="AY355" i="3"/>
  <c r="AY327" i="3"/>
  <c r="AY478" i="3"/>
  <c r="AY130" i="3"/>
  <c r="AY177" i="3"/>
  <c r="AY19" i="3"/>
  <c r="AY119" i="3"/>
  <c r="AY51" i="3"/>
  <c r="AY517" i="3"/>
  <c r="AY184" i="3"/>
  <c r="AY145" i="3"/>
  <c r="AY266" i="3"/>
  <c r="AY275" i="3"/>
  <c r="AY307" i="3"/>
  <c r="AY372" i="3"/>
  <c r="AY397" i="3"/>
  <c r="AY198" i="3"/>
  <c r="AY466" i="3"/>
  <c r="AY296" i="3"/>
  <c r="AY502" i="3"/>
  <c r="AY401" i="3"/>
  <c r="AY358" i="3"/>
  <c r="AY137" i="3"/>
  <c r="AY411" i="3"/>
  <c r="AY98" i="3"/>
  <c r="AY426" i="3"/>
  <c r="AY212" i="3"/>
  <c r="AY213" i="3"/>
  <c r="AY440" i="3"/>
  <c r="AY174" i="3"/>
  <c r="AY531" i="3"/>
  <c r="AY476" i="3"/>
  <c r="AY521" i="3"/>
  <c r="AY134" i="3"/>
  <c r="AY566" i="3"/>
  <c r="AY252" i="3"/>
  <c r="BO6" i="3"/>
  <c r="AY60" i="3"/>
  <c r="AY447" i="3"/>
  <c r="AY415" i="3"/>
  <c r="W33" i="21"/>
  <c r="AC33" i="21"/>
  <c r="S6" i="1"/>
  <c r="M20" i="6"/>
  <c r="I20" i="6" s="1"/>
  <c r="S20" i="6" s="1"/>
  <c r="S7" i="1"/>
  <c r="AY81" i="3"/>
  <c r="AY293" i="3"/>
  <c r="AY53" i="3"/>
  <c r="AY548" i="3"/>
  <c r="AY39" i="3"/>
  <c r="AY278" i="3"/>
  <c r="AY335" i="3"/>
  <c r="AY409" i="3"/>
  <c r="AY32" i="3"/>
  <c r="AY458" i="3"/>
  <c r="AY242" i="3"/>
  <c r="AY385" i="3"/>
  <c r="AY220" i="3"/>
  <c r="AY404" i="3"/>
  <c r="AY534" i="3"/>
  <c r="AY434" i="3"/>
  <c r="AY334" i="3"/>
  <c r="AY469" i="3"/>
  <c r="AY231" i="3"/>
  <c r="AY347" i="3"/>
  <c r="AY533" i="3"/>
  <c r="AY462" i="3"/>
  <c r="AY536" i="3"/>
  <c r="AY523" i="3"/>
  <c r="AY453" i="3"/>
  <c r="AY472" i="3"/>
  <c r="AY193" i="3"/>
  <c r="AY227" i="3"/>
  <c r="AY191" i="3"/>
  <c r="AY412" i="3"/>
  <c r="AY376" i="3"/>
  <c r="AY463" i="3"/>
  <c r="AY349" i="3"/>
  <c r="AY77" i="3"/>
  <c r="AY441" i="3"/>
  <c r="AY243" i="3"/>
  <c r="BB6" i="3"/>
  <c r="AY487" i="3"/>
  <c r="AY545" i="3"/>
  <c r="AY190" i="3"/>
  <c r="AY90" i="3"/>
  <c r="AY565" i="3"/>
  <c r="AY510" i="3"/>
  <c r="AY342" i="3"/>
  <c r="AY69" i="3"/>
  <c r="AY301" i="3"/>
  <c r="AY353" i="3"/>
  <c r="AY554" i="3"/>
  <c r="AY547" i="3"/>
  <c r="AY195" i="3"/>
  <c r="AY328" i="3"/>
  <c r="AY399" i="3"/>
  <c r="AY368" i="3"/>
  <c r="AY256" i="3"/>
  <c r="AY121" i="3"/>
  <c r="AY165" i="3"/>
  <c r="AY444" i="3"/>
  <c r="AY568" i="3"/>
  <c r="AY260" i="3"/>
  <c r="AY468" i="3"/>
  <c r="AY393" i="3"/>
  <c r="AY475" i="3"/>
  <c r="AY483" i="3"/>
  <c r="AY78" i="3"/>
  <c r="AY456" i="3"/>
  <c r="AY111" i="3"/>
  <c r="AY427" i="3"/>
  <c r="AY367" i="3"/>
  <c r="AY21" i="3"/>
  <c r="AY383" i="3"/>
  <c r="BE6" i="3"/>
  <c r="AY570" i="3"/>
  <c r="AY261" i="3"/>
  <c r="AY460" i="3"/>
  <c r="AY488" i="3"/>
  <c r="AY423" i="3"/>
  <c r="AY205" i="3"/>
  <c r="AY210" i="3"/>
  <c r="AY189" i="3"/>
  <c r="AY40" i="3"/>
  <c r="AY108" i="3"/>
  <c r="AY375" i="3"/>
  <c r="AY208" i="3"/>
  <c r="AY518" i="3"/>
  <c r="AY171" i="3"/>
  <c r="AY336" i="3"/>
  <c r="AY217" i="3"/>
  <c r="E6" i="3"/>
  <c r="K27" i="6"/>
  <c r="AY388" i="3"/>
  <c r="AY268" i="3"/>
  <c r="AY124" i="3"/>
  <c r="AY116" i="3"/>
  <c r="Q49" i="44"/>
  <c r="Q55" i="44" s="1"/>
  <c r="Q67" i="44"/>
  <c r="D13" i="11"/>
  <c r="C13" i="11" s="1"/>
  <c r="D22" i="12"/>
  <c r="C22" i="12" s="1"/>
  <c r="C20" i="12" s="1"/>
  <c r="AY559" i="3"/>
  <c r="AY153" i="3"/>
  <c r="AY20" i="3"/>
  <c r="AY112" i="3"/>
  <c r="AY245" i="3"/>
  <c r="AY75" i="3"/>
  <c r="AY271" i="3"/>
  <c r="AY279" i="3"/>
  <c r="AY214" i="3"/>
  <c r="C16" i="59"/>
  <c r="T17" i="59"/>
  <c r="D17" i="59"/>
  <c r="D19" i="12"/>
  <c r="C19" i="12" s="1"/>
  <c r="C16" i="12"/>
  <c r="M27" i="6"/>
  <c r="I19" i="6"/>
  <c r="S13" i="59"/>
  <c r="B12" i="59"/>
  <c r="B11" i="59" s="1"/>
  <c r="B10" i="59" s="1"/>
  <c r="B9" i="59" s="1"/>
  <c r="S9" i="59" s="1"/>
  <c r="C7" i="66"/>
  <c r="F8" i="59"/>
  <c r="E9" i="59"/>
  <c r="U9" i="59" s="1"/>
  <c r="D22" i="6"/>
  <c r="D15" i="6"/>
  <c r="D11" i="6"/>
  <c r="D14" i="6"/>
  <c r="D21" i="6"/>
  <c r="E67" i="39"/>
  <c r="D25" i="6"/>
  <c r="D29" i="6"/>
  <c r="D20" i="6"/>
  <c r="D10" i="6"/>
  <c r="D12" i="6"/>
  <c r="H21" i="6"/>
  <c r="D23" i="6"/>
  <c r="F45" i="9"/>
  <c r="H23" i="6"/>
  <c r="C22" i="4"/>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D19" i="6" l="1"/>
  <c r="H25" i="6"/>
  <c r="H26" i="6"/>
  <c r="H24" i="6"/>
  <c r="D26" i="6"/>
  <c r="E62" i="40"/>
  <c r="D24" i="6"/>
  <c r="R24" i="6" s="1"/>
  <c r="D28" i="6"/>
  <c r="H20" i="6"/>
  <c r="H22" i="6"/>
  <c r="D5" i="6"/>
  <c r="D13" i="6"/>
  <c r="K38" i="9"/>
  <c r="C14" i="66" s="1"/>
  <c r="B2" i="66" s="1"/>
  <c r="B5" i="11"/>
  <c r="C40" i="39"/>
  <c r="B4" i="11"/>
  <c r="E45" i="9"/>
  <c r="S16" i="1"/>
  <c r="D30" i="6"/>
  <c r="R22" i="6"/>
  <c r="R26" i="6"/>
  <c r="C15" i="59"/>
  <c r="D16" i="59"/>
  <c r="S19" i="6"/>
  <c r="S27" i="6" s="1"/>
  <c r="I27" i="6"/>
  <c r="H19" i="6"/>
  <c r="R19" i="6" s="1"/>
  <c r="T9" i="1"/>
  <c r="T13" i="1"/>
  <c r="T10" i="1"/>
  <c r="T6" i="1"/>
  <c r="T12" i="1"/>
  <c r="T8" i="1"/>
  <c r="T7" i="1"/>
  <c r="T11" i="1"/>
  <c r="F7" i="59"/>
  <c r="B8" i="59"/>
  <c r="E8" i="59"/>
  <c r="R25" i="6"/>
  <c r="R21" i="6"/>
  <c r="D27" i="6"/>
  <c r="A20" i="64"/>
  <c r="A6" i="64"/>
  <c r="A20" i="51"/>
  <c r="B15" i="63" s="1"/>
  <c r="N5" i="54"/>
  <c r="B43" i="63" s="1"/>
  <c r="A6" i="51"/>
  <c r="B7" i="63" s="1"/>
  <c r="D7" i="66"/>
  <c r="D16" i="6"/>
  <c r="R23" i="6"/>
  <c r="R20" i="6"/>
  <c r="R7" i="1" s="1"/>
  <c r="R6" i="1"/>
  <c r="C17" i="43"/>
  <c r="C14" i="43"/>
  <c r="C14" i="12"/>
  <c r="C17" i="12"/>
  <c r="I64" i="40"/>
  <c r="H66" i="40"/>
  <c r="H71" i="39"/>
  <c r="I69" i="39"/>
  <c r="N46" i="36"/>
  <c r="E3" i="67"/>
  <c r="B2" i="67"/>
  <c r="D4" i="46"/>
  <c r="B3" i="46"/>
  <c r="B4" i="46"/>
  <c r="C16" i="44"/>
  <c r="M21" i="15"/>
  <c r="M23" i="44"/>
  <c r="C14" i="15"/>
  <c r="F37" i="44"/>
  <c r="F35" i="15"/>
  <c r="F40" i="39" l="1"/>
  <c r="H40" i="39"/>
  <c r="J40" i="39"/>
  <c r="R27" i="6"/>
  <c r="D31" i="6"/>
  <c r="I5" i="6" s="1"/>
  <c r="H27" i="6"/>
  <c r="C20" i="44"/>
  <c r="C17" i="44"/>
  <c r="C15" i="15"/>
  <c r="C18" i="15"/>
  <c r="T16" i="1"/>
  <c r="D15" i="59"/>
  <c r="C14" i="59"/>
  <c r="E7" i="59"/>
  <c r="B7" i="59"/>
  <c r="F6" i="59"/>
  <c r="I6" i="6"/>
  <c r="J22" i="44"/>
  <c r="J20" i="15"/>
  <c r="F62" i="15"/>
  <c r="C61" i="15" s="1"/>
  <c r="C34" i="15"/>
  <c r="C36" i="44"/>
  <c r="R16" i="1"/>
  <c r="C18" i="43"/>
  <c r="C18" i="12"/>
  <c r="C23" i="12" s="1"/>
  <c r="O46" i="36"/>
  <c r="J7" i="36" s="1"/>
  <c r="F7" i="36"/>
  <c r="H7" i="36"/>
  <c r="J64" i="40"/>
  <c r="I66" i="40"/>
  <c r="J69" i="39"/>
  <c r="I71" i="39"/>
  <c r="B3" i="67"/>
  <c r="B4" i="67"/>
  <c r="AC40" i="39" l="1"/>
  <c r="W40" i="39"/>
  <c r="AB40" i="39"/>
  <c r="U40" i="39"/>
  <c r="C13" i="39"/>
  <c r="C11" i="21"/>
  <c r="AA40" i="39"/>
  <c r="S40" i="39"/>
  <c r="C19" i="15"/>
  <c r="C20" i="15" s="1"/>
  <c r="C26" i="15" s="1"/>
  <c r="C21" i="44"/>
  <c r="C22" i="44" s="1"/>
  <c r="C28" i="44" s="1"/>
  <c r="C13" i="59"/>
  <c r="D14" i="59"/>
  <c r="F5" i="59"/>
  <c r="V5" i="59" s="1"/>
  <c r="B6" i="59"/>
  <c r="E6" i="59"/>
  <c r="C19" i="43"/>
  <c r="K69" i="39"/>
  <c r="J71" i="39"/>
  <c r="U7" i="36"/>
  <c r="AB7" i="36"/>
  <c r="T36" i="36" s="1"/>
  <c r="G36" i="36" s="1"/>
  <c r="AC7" i="36"/>
  <c r="V36" i="36" s="1"/>
  <c r="I36" i="36" s="1"/>
  <c r="W7" i="36"/>
  <c r="J66" i="40"/>
  <c r="K64" i="40"/>
  <c r="S7" i="36"/>
  <c r="AA7" i="36"/>
  <c r="R36" i="36" s="1"/>
  <c r="F11" i="21" l="1"/>
  <c r="H11" i="21"/>
  <c r="J11" i="21"/>
  <c r="J13" i="39"/>
  <c r="H13" i="39"/>
  <c r="F13" i="39"/>
  <c r="C12" i="59"/>
  <c r="T13" i="59"/>
  <c r="D13" i="59"/>
  <c r="E5" i="59"/>
  <c r="U5" i="59" s="1"/>
  <c r="B5" i="59"/>
  <c r="C21" i="43"/>
  <c r="R37" i="36"/>
  <c r="E36" i="36"/>
  <c r="I41" i="36" s="1"/>
  <c r="J41" i="36" s="1"/>
  <c r="K66" i="40"/>
  <c r="L64" i="40"/>
  <c r="G41" i="36"/>
  <c r="H41" i="36" s="1"/>
  <c r="G40" i="36"/>
  <c r="H40" i="36" s="1"/>
  <c r="I40" i="36"/>
  <c r="J40" i="36" s="1"/>
  <c r="L69" i="39"/>
  <c r="K71" i="39"/>
  <c r="AC13" i="39" l="1"/>
  <c r="W13" i="39"/>
  <c r="W11" i="21"/>
  <c r="AC11" i="21"/>
  <c r="V48" i="21" s="1"/>
  <c r="I48" i="21" s="1"/>
  <c r="S13" i="39"/>
  <c r="AA13" i="39"/>
  <c r="U11" i="21"/>
  <c r="AB11" i="21"/>
  <c r="T48" i="21" s="1"/>
  <c r="G48" i="21" s="1"/>
  <c r="G52" i="21" s="1"/>
  <c r="H52" i="21" s="1"/>
  <c r="AB13" i="39"/>
  <c r="U13" i="39"/>
  <c r="S11" i="21"/>
  <c r="AA11" i="21"/>
  <c r="R48" i="21" s="1"/>
  <c r="C11" i="59"/>
  <c r="D12" i="59"/>
  <c r="S5" i="59"/>
  <c r="L71" i="39"/>
  <c r="M69" i="39"/>
  <c r="M64" i="40"/>
  <c r="L66" i="40"/>
  <c r="E40" i="36"/>
  <c r="F40" i="36" s="1"/>
  <c r="E41" i="36"/>
  <c r="F41" i="36" s="1"/>
  <c r="C37" i="36"/>
  <c r="B3" i="36" s="1"/>
  <c r="B2" i="36" s="1"/>
  <c r="C36" i="36"/>
  <c r="G53" i="21" l="1"/>
  <c r="H53" i="21" s="1"/>
  <c r="I52" i="21"/>
  <c r="J52" i="21" s="1"/>
  <c r="R49" i="21"/>
  <c r="E48" i="21"/>
  <c r="I53" i="21" s="1"/>
  <c r="J53" i="21" s="1"/>
  <c r="C10" i="59"/>
  <c r="D11" i="59"/>
  <c r="N64" i="40"/>
  <c r="N66" i="40" s="1"/>
  <c r="M66" i="40"/>
  <c r="N69" i="39"/>
  <c r="N71" i="39" s="1"/>
  <c r="M71" i="39"/>
  <c r="C48" i="21" l="1"/>
  <c r="C49" i="21"/>
  <c r="B3" i="21" s="1"/>
  <c r="E52" i="21"/>
  <c r="F52" i="21" s="1"/>
  <c r="E53" i="21"/>
  <c r="F53" i="21" s="1"/>
  <c r="C9" i="59"/>
  <c r="D10" i="59"/>
  <c r="J9" i="40"/>
  <c r="H9" i="40"/>
  <c r="F9" i="40"/>
  <c r="J9" i="39"/>
  <c r="H9" i="39"/>
  <c r="F9" i="39"/>
  <c r="B2" i="21" l="1"/>
  <c r="C8" i="59"/>
  <c r="T9" i="59"/>
  <c r="D9" i="59"/>
  <c r="S9" i="39"/>
  <c r="AA9" i="39"/>
  <c r="R49" i="39" s="1"/>
  <c r="W9" i="39"/>
  <c r="AC9" i="39"/>
  <c r="U9" i="40"/>
  <c r="AB9" i="40"/>
  <c r="T44" i="40" s="1"/>
  <c r="G44" i="40" s="1"/>
  <c r="U9" i="39"/>
  <c r="AB9" i="39"/>
  <c r="T49" i="39" s="1"/>
  <c r="S9" i="40"/>
  <c r="AA9" i="40"/>
  <c r="R44" i="40" s="1"/>
  <c r="AC9" i="40"/>
  <c r="V44" i="40" s="1"/>
  <c r="I44" i="40" s="1"/>
  <c r="I48" i="40" s="1"/>
  <c r="J48" i="40" s="1"/>
  <c r="W9" i="40"/>
  <c r="V49" i="39" l="1"/>
  <c r="I49" i="39" s="1"/>
  <c r="I53" i="39" s="1"/>
  <c r="J53" i="39" s="1"/>
  <c r="G49" i="39"/>
  <c r="G53" i="39" s="1"/>
  <c r="H53" i="39" s="1"/>
  <c r="C7" i="59"/>
  <c r="D8" i="59"/>
  <c r="R45" i="40"/>
  <c r="E44" i="40"/>
  <c r="G48" i="40"/>
  <c r="H48" i="40" s="1"/>
  <c r="G49" i="40"/>
  <c r="H49" i="40" s="1"/>
  <c r="E49" i="39"/>
  <c r="R50" i="39" l="1"/>
  <c r="C50" i="39" s="1"/>
  <c r="I54" i="39"/>
  <c r="J54" i="39" s="1"/>
  <c r="G54" i="39"/>
  <c r="H54" i="39" s="1"/>
  <c r="D7" i="59"/>
  <c r="C6" i="59"/>
  <c r="E54" i="39"/>
  <c r="F54" i="39" s="1"/>
  <c r="E53" i="39"/>
  <c r="F53" i="39" s="1"/>
  <c r="I49" i="40"/>
  <c r="J49" i="40" s="1"/>
  <c r="E49" i="40"/>
  <c r="F49" i="40" s="1"/>
  <c r="E48" i="40"/>
  <c r="F48" i="40" s="1"/>
  <c r="C49"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0" i="46"/>
  <c r="B5" i="40"/>
  <c r="B4" i="40"/>
  <c r="B3" i="40"/>
  <c r="C19" i="9"/>
  <c r="L43" i="9" l="1"/>
  <c r="B4" i="39"/>
  <c r="B5" i="39"/>
  <c r="B3" i="3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C44" i="44"/>
  <c r="C45" i="44" s="1"/>
  <c r="B2" i="44" s="1"/>
  <c r="Q71" i="44"/>
  <c r="Q70" i="44" s="1"/>
  <c r="L51" i="15"/>
  <c r="Q68" i="15" l="1"/>
  <c r="L57" i="15"/>
  <c r="L60" i="15" s="1"/>
  <c r="Q67" i="15" s="1"/>
  <c r="C46" i="15"/>
  <c r="Q66" i="15"/>
  <c r="J42" i="15"/>
  <c r="J43" i="15" s="1"/>
  <c r="B2" i="15"/>
  <c r="B3" i="15" s="1"/>
  <c r="C43" i="15"/>
  <c r="Q48" i="15"/>
  <c r="Q54" i="15" s="1"/>
  <c r="L52" i="44"/>
  <c r="L58" i="44" s="1"/>
  <c r="L61" i="44" s="1"/>
  <c r="B3" i="44"/>
  <c r="B5" i="44"/>
  <c r="B4" i="44"/>
  <c r="Q76" i="15" l="1"/>
  <c r="Q58" i="15"/>
  <c r="Q63" i="15" s="1"/>
  <c r="Q69" i="44"/>
  <c r="Q59" i="44"/>
  <c r="Q64" i="44" s="1"/>
  <c r="Q68" i="44"/>
  <c r="Q77" i="44" s="1"/>
  <c r="B2" i="35" l="1"/>
  <c r="B3" i="35" l="1"/>
  <c r="D8" i="12" s="1"/>
  <c r="D10" i="12"/>
  <c r="C8" i="12" l="1"/>
  <c r="C10" i="12" s="1"/>
  <c r="C6" i="12" s="1"/>
  <c r="C29" i="12" l="1"/>
  <c r="C24" i="12"/>
  <c r="C35" i="12" l="1"/>
  <c r="C33" i="12" s="1"/>
  <c r="C28" i="12"/>
  <c r="C26" i="12" s="1"/>
  <c r="C31" i="12" s="1"/>
  <c r="C30" i="12" s="1"/>
  <c r="C36" i="12" l="1"/>
  <c r="B2" i="12" s="1"/>
  <c r="B4" i="12" s="1"/>
  <c r="D19" i="9"/>
  <c r="D21" i="9"/>
  <c r="B5" i="12" l="1"/>
  <c r="B3" i="12"/>
  <c r="L44" i="9"/>
  <c r="G19" i="9"/>
  <c r="G22" i="9" s="1"/>
  <c r="D22" i="9"/>
  <c r="G21" i="9"/>
  <c r="D20" i="9"/>
  <c r="C32" i="9" l="1"/>
  <c r="C34" i="9" s="1"/>
  <c r="D28" i="9"/>
  <c r="G20" i="9"/>
  <c r="N43" i="9"/>
  <c r="D27" i="9"/>
  <c r="O38" i="9" l="1"/>
  <c r="K25" i="9" s="1"/>
  <c r="C35" i="9"/>
  <c r="F42" i="9" s="1"/>
  <c r="C33" i="9"/>
  <c r="N38" i="9" s="1"/>
  <c r="K28" i="9" s="1"/>
  <c r="C42" i="9"/>
  <c r="D63" i="9" s="1"/>
  <c r="O43" i="9"/>
  <c r="M38" i="9"/>
  <c r="K27" i="9" s="1"/>
  <c r="E42" i="9"/>
  <c r="P5" i="54" s="1"/>
  <c r="B46" i="63" s="1"/>
  <c r="D42" i="9" l="1"/>
  <c r="Q5" i="54" s="1"/>
  <c r="B47" i="63" s="1"/>
  <c r="K26" i="9"/>
  <c r="N68" i="9"/>
  <c r="R5" i="54"/>
  <c r="B48" i="63" s="1"/>
  <c r="D14" i="66"/>
  <c r="F14" i="66" s="1"/>
  <c r="C44" i="9"/>
  <c r="E44" i="9" s="1"/>
  <c r="D70" i="9"/>
  <c r="C96" i="9"/>
  <c r="C91" i="9" s="1"/>
  <c r="D73" i="9"/>
  <c r="N73" i="9" s="1"/>
  <c r="C82" i="9"/>
  <c r="C81" i="9" s="1"/>
  <c r="C85" i="9" s="1"/>
  <c r="C86" i="9" s="1"/>
  <c r="D72" i="9" s="1"/>
  <c r="C103" i="9"/>
  <c r="C90" i="9"/>
  <c r="C111" i="9"/>
  <c r="C104" i="9" s="1"/>
  <c r="D71" i="9"/>
  <c r="D66" i="9" s="1"/>
  <c r="N72" i="9" s="1"/>
  <c r="E14" i="66" l="1"/>
  <c r="B5" i="66"/>
  <c r="D5" i="66" s="1"/>
  <c r="O39" i="9"/>
  <c r="K29" i="9" s="1"/>
  <c r="K30" i="9" s="1"/>
  <c r="C97" i="9"/>
  <c r="C98" i="9" s="1"/>
  <c r="E98" i="9" s="1"/>
  <c r="E99" i="9" s="1"/>
  <c r="G14" i="66"/>
  <c r="B6" i="66" s="1"/>
  <c r="C6" i="66" s="1"/>
  <c r="F44" i="9"/>
  <c r="N69" i="9"/>
  <c r="M83" i="9" s="1"/>
  <c r="N83" i="9" s="1"/>
  <c r="D44" i="9"/>
  <c r="C113" i="9"/>
  <c r="C5" i="66" l="1"/>
  <c r="R6" i="54"/>
  <c r="B50" i="63" s="1"/>
  <c r="M84" i="9"/>
  <c r="N84" i="9" s="1"/>
  <c r="M87" i="9"/>
  <c r="N87" i="9" s="1"/>
  <c r="M85" i="9"/>
  <c r="N85" i="9" s="1"/>
  <c r="M88" i="9"/>
  <c r="N88" i="9" s="1"/>
  <c r="M86" i="9"/>
  <c r="N86" i="9" s="1"/>
  <c r="D6" i="66"/>
  <c r="C99" i="9"/>
  <c r="C114" i="9"/>
  <c r="E114" i="9" s="1"/>
  <c r="E115" i="9" s="1"/>
  <c r="N89" i="9" l="1"/>
  <c r="O89" i="9" s="1"/>
  <c r="C115" i="9"/>
  <c r="D76" i="9" s="1"/>
  <c r="D74" i="9" s="1"/>
  <c r="N74" i="9" s="1"/>
  <c r="O77" i="9" s="1"/>
  <c r="O78" i="9" l="1"/>
  <c r="Q77" i="9"/>
  <c r="O79" i="9"/>
  <c r="O81" i="9" l="1"/>
  <c r="C46" i="9"/>
  <c r="O80" i="9"/>
  <c r="D46" i="9" l="1"/>
  <c r="F46" i="9"/>
  <c r="O41" i="9"/>
  <c r="E46" i="9"/>
  <c r="K33" i="9"/>
  <c r="R8" i="54" l="1"/>
  <c r="B54" i="63" s="1"/>
  <c r="I14" i="66"/>
  <c r="B8" i="66" s="1"/>
  <c r="C8" i="66" s="1"/>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<sst xmlns="http://schemas.openxmlformats.org/spreadsheetml/2006/main" count="9698" uniqueCount="4220">
  <si>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</si>
  <si>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</si>
  <si>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</si>
  <si>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</si>
  <si>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</si>
  <si>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</si>
  <si>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</si>
  <si>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</si>
  <si>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</si>
  <si>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</si>
  <si>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</si>
  <si>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</si>
  <si>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</si>
  <si>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</si>
  <si>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</si>
  <si>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</si>
  <si>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</si>
  <si>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</si>
  <si>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</si>
  <si>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</si>
  <si>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</si>
  <si>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</si>
  <si>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</si>
  <si>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</si>
  <si>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</si>
  <si>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</si>
  <si>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</si>
  <si>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</si>
  <si>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</si>
  <si>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</si>
  <si>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</si>
  <si>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</si>
  <si>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</si>
  <si>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</si>
  <si>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</si>
  <si>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</si>
  <si>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</si>
  <si>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</si>
  <si>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</si>
  <si>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</si>
  <si>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</si>
  <si>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</si>
  <si>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</si>
  <si>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</si>
  <si>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</si>
  <si>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</si>
  <si>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</si>
  <si>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</si>
  <si>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</si>
  <si>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</si>
  <si>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</si>
  <si>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</si>
  <si>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</si>
  <si>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</si>
  <si>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</si>
  <si>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</si>
  <si>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</si>
  <si>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</si>
  <si>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</si>
  <si>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</si>
  <si>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</si>
  <si>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</si>
  <si>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</si>
  <si>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</si>
  <si>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</si>
  <si>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</si>
  <si>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</si>
  <si>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</si>
  <si>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</si>
  <si>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</si>
  <si>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</si>
  <si>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</si>
  <si>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</si>
  <si>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</si>
  <si>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</si>
  <si>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</si>
  <si>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</si>
  <si>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</si>
  <si>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</si>
  <si>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</si>
  <si>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</si>
  <si>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</si>
  <si>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</si>
  <si>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</si>
  <si>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</si>
  <si>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</si>
  <si>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</si>
  <si>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</si>
  <si>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</si>
  <si>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</si>
  <si>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</si>
  <si>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</si>
  <si>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</si>
  <si>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</si>
  <si>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</si>
  <si>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</si>
  <si>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</si>
  <si>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</si>
  <si>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</si>
  <si>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</si>
  <si>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</si>
  <si>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</si>
  <si>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</si>
  <si>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</si>
  <si>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</si>
  <si>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</si>
  <si>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</si>
  <si>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</si>
  <si>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</si>
  <si>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</si>
  <si>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</si>
  <si>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</si>
  <si>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</si>
  <si>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</si>
  <si>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</si>
  <si>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</si>
  <si>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</si>
  <si>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</si>
  <si>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</si>
  <si>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</si>
  <si>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</si>
  <si>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</si>
  <si>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</si>
  <si>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</si>
  <si>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</si>
  <si>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</si>
  <si>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</si>
  <si>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</si>
  <si>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</si>
  <si>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</si>
  <si>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</si>
  <si>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</si>
  <si>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</si>
  <si>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</si>
  <si>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</si>
  <si>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</si>
  <si>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</si>
  <si>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</si>
  <si>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</si>
  <si>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</si>
  <si>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</si>
  <si>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</si>
  <si>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</si>
  <si>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</si>
  <si>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</si>
  <si>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</si>
  <si>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</si>
  <si>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</si>
  <si>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</si>
  <si>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</si>
  <si>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</si>
  <si>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</si>
  <si>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</si>
  <si>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</si>
  <si>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</si>
  <si>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</si>
  <si>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</si>
  <si>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</si>
  <si>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</si>
  <si>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</si>
  <si>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</si>
  <si>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</si>
  <si>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</si>
  <si>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</si>
  <si>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</si>
  <si>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</si>
  <si>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</si>
  <si>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</si>
  <si>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</si>
  <si>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</si>
  <si>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</si>
  <si>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</si>
  <si>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</si>
  <si>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</si>
  <si>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</si>
  <si>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</si>
  <si>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</si>
  <si>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</si>
  <si>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</si>
  <si>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</si>
  <si>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</si>
  <si>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</si>
  <si>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</si>
  <si>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</si>
  <si>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</si>
  <si>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</si>
  <si>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</si>
  <si>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</si>
  <si>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</si>
  <si>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</si>
  <si>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</si>
  <si>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</si>
  <si>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</si>
  <si>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</si>
  <si>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</si>
  <si>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</si>
  <si>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</si>
  <si>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</si>
  <si>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</si>
  <si>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</si>
  <si>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</si>
  <si>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</si>
  <si>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</si>
  <si>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</si>
  <si>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</si>
  <si>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</si>
  <si>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</si>
  <si>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</si>
  <si>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</si>
  <si>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</si>
  <si>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</si>
  <si>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</si>
  <si>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</si>
  <si>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</si>
  <si>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</si>
  <si>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</si>
  <si>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</si>
  <si>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</si>
  <si>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</si>
  <si>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</si>
  <si>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</si>
  <si>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</si>
  <si>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</si>
  <si>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</si>
  <si>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</si>
  <si>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</si>
  <si>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</si>
  <si>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</si>
  <si>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</si>
  <si>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</si>
  <si>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</si>
  <si>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</si>
  <si>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</si>
  <si>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</si>
  <si>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</si>
  <si>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</si>
  <si>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</si>
  <si>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</si>
  <si>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</si>
  <si>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</si>
  <si>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</si>
  <si>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</si>
  <si>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</si>
  <si>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</si>
  <si>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</si>
  <si>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</si>
  <si>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</si>
  <si>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</si>
  <si>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</si>
  <si>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</si>
  <si>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</si>
  <si>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</si>
  <si>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</si>
  <si>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</si>
  <si>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</si>
  <si>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</si>
  <si>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</si>
  <si>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</si>
  <si>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</si>
  <si>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</si>
  <si>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</si>
  <si>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</si>
  <si>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</si>
  <si>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</si>
  <si>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</si>
  <si>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</si>
  <si>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</si>
  <si>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</si>
  <si>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</si>
  <si>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</si>
  <si>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</si>
  <si>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</si>
  <si>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</si>
  <si>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</si>
  <si>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</si>
  <si>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</si>
  <si>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</si>
  <si>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</si>
  <si>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</si>
  <si>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</si>
  <si>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</si>
  <si>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</si>
  <si>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</si>
  <si>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</si>
  <si>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</si>
  <si>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</si>
  <si>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</si>
  <si>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</si>
  <si>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</si>
  <si>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</si>
  <si>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</si>
  <si>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</si>
  <si>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</si>
  <si>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</si>
  <si>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</si>
  <si>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</si>
  <si>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</si>
  <si>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</si>
  <si>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</si>
  <si>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</si>
  <si>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</si>
  <si>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</si>
  <si>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</si>
  <si>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</si>
  <si>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</si>
  <si>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</si>
  <si>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</si>
  <si>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</si>
  <si>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</si>
  <si>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</si>
  <si>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</si>
  <si>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</si>
  <si>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</si>
  <si>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</si>
  <si>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</si>
  <si>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</si>
  <si>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</si>
  <si>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</si>
  <si>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</si>
  <si>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</si>
  <si>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</si>
  <si>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</si>
  <si>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</si>
  <si>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</si>
  <si>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</si>
  <si>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</si>
  <si>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</si>
  <si>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</si>
  <si>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</si>
  <si>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</si>
  <si>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</si>
  <si>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</si>
  <si>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</si>
  <si>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</si>
  <si>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</si>
  <si>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</si>
  <si>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</si>
  <si>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</si>
  <si>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</si>
  <si>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</si>
  <si>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</si>
  <si>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</si>
  <si>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</si>
  <si>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</si>
  <si>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</si>
  <si>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</si>
  <si>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</si>
  <si>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</si>
  <si>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</si>
  <si>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</si>
  <si>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</si>
  <si>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</si>
  <si>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</si>
  <si>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</si>
  <si>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</si>
  <si>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</si>
  <si>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</si>
  <si>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</si>
  <si>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</si>
  <si>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</si>
  <si>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</si>
  <si>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</si>
  <si>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</si>
  <si>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</si>
  <si>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</si>
  <si>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</si>
  <si>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</si>
  <si>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</si>
  <si>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</si>
  <si>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</si>
  <si>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</si>
  <si>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</si>
  <si>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</si>
  <si>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</si>
  <si>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</si>
  <si>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</si>
  <si>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</si>
  <si>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</si>
  <si>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</si>
  <si>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</si>
  <si>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</si>
  <si>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</si>
  <si>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</si>
  <si>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</si>
  <si>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</si>
  <si>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</si>
  <si>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</si>
  <si>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</si>
  <si>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</si>
  <si>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</si>
  <si>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</si>
  <si>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</si>
  <si>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</si>
  <si>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</si>
  <si>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</si>
  <si>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</si>
  <si>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</si>
  <si>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</si>
  <si>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</si>
  <si>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</si>
  <si>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</si>
  <si>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</si>
  <si>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</si>
  <si>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</si>
  <si>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</si>
  <si>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</si>
  <si>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</si>
  <si>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</si>
  <si>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</si>
  <si>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</si>
  <si>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</si>
  <si>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</si>
  <si>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</si>
  <si>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</si>
  <si>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</si>
  <si>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</si>
  <si>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</si>
  <si>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</si>
  <si>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</si>
  <si>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</si>
  <si>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</si>
  <si>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</si>
  <si>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</si>
  <si>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</si>
  <si>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</si>
  <si>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</si>
  <si>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</si>
  <si>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</si>
  <si>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</si>
  <si>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</si>
  <si>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</si>
  <si>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</si>
  <si>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</si>
  <si>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</si>
  <si>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</si>
  <si>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</si>
  <si>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</si>
  <si>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</si>
  <si>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</si>
  <si>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</si>
  <si>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</si>
  <si>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</si>
  <si>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</si>
  <si>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</si>
  <si>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</si>
  <si>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</si>
  <si>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</si>
  <si>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</si>
  <si>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</si>
  <si>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</si>
  <si>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</si>
  <si>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</si>
  <si>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</si>
  <si>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</si>
  <si>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</si>
  <si>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</si>
  <si>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</si>
  <si>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</si>
  <si>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</si>
  <si>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</si>
  <si>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</si>
  <si>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</si>
  <si>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</si>
  <si>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</si>
  <si>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</si>
  <si>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</si>
  <si>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</si>
  <si>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</si>
  <si>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</si>
  <si>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</si>
  <si>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</si>
  <si>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</si>
  <si>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</si>
  <si>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</si>
  <si>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</si>
  <si>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</si>
  <si>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</si>
  <si>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</si>
  <si>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</si>
  <si>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</si>
  <si>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</si>
  <si>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</si>
  <si>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</si>
  <si>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</si>
  <si>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</si>
  <si>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</si>
  <si>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</si>
  <si>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</si>
  <si>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</si>
  <si>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</si>
  <si>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</si>
  <si>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</si>
  <si>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</si>
  <si>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</si>
  <si>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</si>
  <si>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</si>
  <si>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</si>
  <si>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</si>
  <si>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</si>
  <si>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</si>
  <si>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</si>
  <si>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</si>
  <si>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</si>
  <si>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</si>
  <si>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</si>
  <si>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</si>
  <si>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</si>
  <si>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</si>
  <si>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</si>
  <si>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</si>
  <si>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</si>
  <si>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</si>
  <si>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</si>
  <si>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</si>
  <si>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</si>
  <si>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</si>
  <si>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</si>
  <si>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</si>
  <si>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</si>
  <si>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</si>
  <si>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</si>
  <si>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</si>
  <si>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</si>
  <si>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</si>
  <si>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</si>
  <si>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</si>
  <si>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</si>
  <si>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</si>
  <si>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</si>
  <si>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</si>
  <si>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</si>
  <si>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</si>
  <si>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</si>
  <si>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</si>
  <si>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</si>
  <si>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</si>
  <si>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</si>
  <si>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</si>
  <si>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</si>
  <si>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</si>
  <si>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</si>
  <si>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</si>
  <si>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</si>
  <si>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</si>
  <si>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</si>
  <si>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</si>
  <si>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</si>
  <si>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</si>
  <si>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</si>
  <si>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</si>
  <si>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</si>
  <si>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</si>
  <si>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</si>
  <si>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</si>
  <si>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</si>
  <si>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</si>
  <si>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</si>
  <si>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</si>
  <si>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</si>
  <si>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</si>
  <si>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</si>
  <si>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</si>
  <si>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</si>
  <si>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</si>
  <si>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</si>
  <si>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</si>
  <si>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</si>
  <si>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</si>
  <si>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</si>
  <si>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</si>
  <si>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</si>
  <si>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</si>
  <si>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</si>
  <si>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</si>
  <si>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</si>
  <si>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</si>
  <si>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</si>
  <si>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</si>
  <si>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</si>
  <si>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</si>
  <si>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</si>
  <si>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</si>
  <si>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</si>
  <si>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</si>
  <si>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</si>
  <si>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</si>
  <si>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</si>
  <si>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</si>
  <si>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</si>
  <si>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</si>
  <si>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</si>
  <si>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</si>
  <si>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</si>
  <si>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</si>
  <si>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</si>
  <si>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</si>
  <si>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</si>
  <si>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</si>
  <si>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</si>
  <si>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</si>
  <si>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</si>
  <si>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</si>
  <si>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</si>
  <si>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</si>
  <si>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</si>
  <si>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</si>
  <si>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</si>
  <si>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</si>
  <si>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</si>
  <si>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</si>
  <si>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</si>
  <si>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</si>
  <si>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</si>
  <si>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</si>
  <si>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</si>
  <si>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</si>
  <si>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</si>
  <si>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</si>
  <si>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</si>
  <si>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</si>
  <si>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</si>
  <si>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</si>
  <si>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</si>
  <si>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</si>
  <si>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</si>
  <si>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</si>
  <si>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</si>
  <si>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</si>
  <si>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</si>
  <si>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</si>
  <si>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</si>
  <si>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</si>
  <si>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</si>
  <si>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</si>
  <si>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</si>
  <si>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</si>
  <si>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</si>
  <si>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</si>
  <si>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</si>
  <si>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</si>
  <si>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</si>
  <si>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</si>
  <si>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</si>
  <si>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</si>
  <si>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</si>
  <si>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</si>
  <si>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</si>
  <si>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</si>
  <si>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</si>
  <si>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</si>
  <si>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</si>
  <si>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</si>
  <si>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</si>
  <si>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</si>
  <si>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</si>
  <si>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</si>
  <si>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</si>
  <si>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</si>
  <si>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</si>
  <si>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</si>
  <si>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</si>
  <si>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</si>
  <si>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</si>
  <si>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</si>
  <si>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</si>
  <si>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</si>
  <si>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</si>
  <si>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</si>
  <si>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</si>
  <si>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</si>
  <si>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</si>
  <si>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</si>
  <si>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</si>
  <si>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</si>
  <si>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</si>
  <si>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</si>
  <si>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</si>
  <si>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</si>
  <si>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</si>
  <si>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</si>
  <si>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</si>
  <si>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</si>
  <si>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</si>
  <si>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</si>
  <si>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</si>
  <si>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</si>
  <si>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</si>
  <si>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</si>
  <si>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</si>
  <si>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</si>
  <si>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</si>
  <si>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</si>
  <si>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</si>
  <si>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</si>
  <si>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</si>
  <si>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</si>
  <si>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</si>
  <si>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</si>
  <si>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</si>
  <si>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</si>
  <si>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</si>
  <si>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</si>
  <si>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</si>
  <si>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</si>
  <si>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</si>
  <si>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</si>
  <si>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</si>
  <si>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</si>
  <si>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</si>
  <si>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</si>
  <si>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</si>
  <si>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</si>
  <si>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</si>
  <si>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</si>
  <si>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</si>
  <si>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</si>
  <si>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</si>
  <si>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</si>
  <si>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</si>
  <si>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</si>
  <si>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</si>
  <si>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</si>
  <si>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</si>
  <si>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</si>
  <si>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</si>
  <si>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</si>
  <si>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</si>
  <si>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</si>
  <si>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</si>
  <si>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</si>
  <si>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</si>
  <si>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</si>
  <si>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</si>
  <si>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</si>
  <si>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</si>
  <si>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</si>
  <si>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</si>
  <si>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</si>
  <si>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</si>
  <si>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</si>
  <si>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</si>
  <si>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</si>
  <si>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</si>
  <si>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</si>
  <si>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</si>
  <si>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</si>
  <si>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</si>
  <si>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</si>
  <si>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</si>
  <si>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</si>
  <si>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</si>
  <si>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</si>
  <si>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</si>
  <si>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</si>
  <si>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</si>
  <si>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</si>
  <si>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</si>
  <si>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</si>
  <si>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</si>
  <si>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</si>
  <si>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</si>
  <si>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</si>
  <si>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</si>
  <si>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</si>
  <si>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</si>
  <si>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</si>
  <si>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</si>
  <si>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</si>
  <si>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</si>
  <si>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</si>
  <si>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</si>
  <si>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</si>
  <si>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</si>
  <si>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</si>
  <si>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</si>
  <si>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</si>
  <si>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</si>
  <si>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</si>
  <si>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</si>
  <si>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</si>
  <si>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</si>
  <si>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</si>
  <si>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</si>
  <si>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</si>
  <si>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</si>
  <si>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</si>
  <si>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</si>
  <si>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</si>
  <si>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</si>
  <si>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</si>
  <si>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</si>
  <si>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</si>
  <si>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</si>
  <si>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</si>
  <si>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</si>
  <si>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</si>
  <si>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</si>
  <si>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</si>
  <si>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</si>
  <si>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</si>
  <si>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</si>
  <si>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</si>
  <si>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</si>
  <si>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</si>
  <si>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</si>
  <si>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</si>
  <si>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</si>
  <si>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</si>
  <si>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</si>
  <si>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</si>
  <si>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</si>
  <si>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</si>
  <si>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</si>
  <si>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</si>
  <si>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</si>
  <si>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</si>
  <si>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</si>
  <si>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</si>
  <si>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</si>
  <si>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</si>
  <si>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</si>
  <si>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</si>
  <si>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</si>
  <si>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</si>
  <si>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</si>
  <si>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</si>
  <si>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</si>
  <si>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</si>
  <si>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</si>
  <si>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</si>
  <si>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</si>
  <si>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</si>
  <si>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</si>
  <si>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</si>
  <si>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</si>
  <si>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</si>
  <si>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</si>
  <si>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</si>
  <si>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</si>
  <si>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</si>
  <si>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</si>
  <si>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</si>
  <si>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</si>
  <si>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</si>
  <si>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</si>
  <si>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</si>
  <si>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</si>
  <si>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</si>
  <si>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</si>
  <si>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</si>
  <si>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</si>
  <si>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</si>
  <si>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</si>
  <si>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</si>
  <si>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</si>
  <si>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</si>
  <si>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</si>
  <si>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</si>
  <si>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</si>
  <si>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</si>
  <si>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</si>
  <si>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</si>
  <si>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</si>
  <si>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</si>
  <si>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</si>
  <si>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</si>
  <si>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</si>
  <si>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</si>
  <si>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</si>
  <si>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</si>
  <si>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</si>
  <si>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</si>
  <si>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</si>
  <si>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</si>
  <si>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</si>
  <si>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</si>
  <si>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</si>
  <si>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</si>
  <si>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</si>
  <si>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</si>
  <si>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</si>
  <si>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</si>
  <si>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</si>
  <si>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</si>
  <si>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</si>
  <si>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</si>
  <si>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</si>
  <si>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</si>
  <si>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</si>
  <si>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</si>
  <si>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</si>
  <si>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</si>
  <si>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</si>
  <si>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</si>
  <si>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</si>
  <si>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</si>
  <si>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</si>
  <si>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</si>
  <si>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</si>
  <si>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</si>
  <si>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</si>
  <si>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</si>
  <si>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</si>
  <si>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</si>
  <si>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</si>
  <si>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</si>
  <si>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</si>
  <si>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</si>
  <si>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</si>
  <si>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</si>
  <si>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</si>
  <si>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</si>
  <si>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</si>
  <si>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</si>
  <si>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</si>
  <si>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</si>
  <si>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</si>
  <si>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</si>
  <si>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</si>
  <si>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</si>
  <si>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</si>
  <si>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</si>
  <si>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</si>
  <si>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</si>
  <si>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</si>
  <si>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</si>
  <si>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</si>
  <si>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</si>
  <si>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</si>
  <si>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</si>
  <si>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</si>
  <si>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</si>
  <si>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</si>
  <si>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</si>
  <si>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</si>
  <si>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</si>
  <si>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</si>
  <si>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</si>
  <si>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</si>
  <si>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</si>
  <si>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</si>
  <si>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</si>
  <si>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</si>
  <si>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</si>
  <si>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</si>
  <si>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</si>
  <si>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</si>
  <si>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</si>
  <si>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</si>
  <si>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</si>
  <si>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</si>
  <si>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</si>
  <si>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</si>
  <si>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</si>
  <si>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</si>
  <si>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</si>
  <si>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</si>
  <si>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</si>
  <si>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</si>
  <si>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</si>
  <si>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</si>
  <si>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</si>
  <si>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</si>
  <si>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</si>
  <si>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</si>
  <si>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</si>
  <si>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</si>
  <si>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</si>
  <si>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</si>
  <si>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</si>
  <si>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</si>
  <si>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</si>
  <si>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</si>
  <si>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</si>
  <si>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</si>
  <si>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</si>
  <si>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</si>
  <si>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</si>
  <si>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</si>
  <si>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</si>
  <si>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</si>
  <si>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</si>
  <si>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</si>
  <si>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</si>
  <si>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</si>
  <si>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</si>
  <si>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</si>
  <si>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</si>
  <si>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</si>
  <si>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</si>
  <si>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</si>
  <si>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</si>
  <si>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</si>
  <si>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</si>
  <si>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</si>
  <si>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</si>
  <si>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</si>
  <si>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</si>
  <si>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</si>
  <si>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</si>
  <si>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</si>
  <si>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</si>
  <si>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</si>
  <si>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</si>
  <si>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</si>
  <si>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</si>
  <si>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</si>
  <si>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</si>
  <si>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</si>
  <si>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</si>
  <si>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</si>
  <si>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</si>
  <si>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</si>
  <si>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</si>
  <si>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</si>
  <si>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</si>
  <si>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</si>
  <si>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</si>
  <si>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</si>
  <si>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</si>
  <si>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</si>
  <si>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</si>
  <si>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</si>
  <si>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</si>
  <si>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</si>
  <si>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</si>
  <si>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</si>
  <si>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</si>
  <si>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</si>
  <si>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</si>
  <si>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</si>
  <si>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</si>
  <si>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</si>
  <si>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</si>
  <si>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</si>
  <si>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</si>
  <si>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</si>
  <si>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</si>
  <si>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</si>
  <si>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</si>
  <si>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</si>
  <si>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</si>
  <si>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</si>
  <si>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</si>
  <si>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</si>
  <si>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</si>
  <si>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</si>
  <si>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</si>
  <si>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</si>
  <si>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</si>
  <si>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</si>
  <si>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</si>
  <si>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</si>
  <si>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</si>
  <si>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</si>
  <si>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</si>
  <si>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</si>
  <si>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</si>
  <si>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</si>
  <si>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</si>
  <si>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</si>
  <si>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</si>
  <si>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</si>
  <si>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</si>
  <si>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</si>
  <si>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</si>
  <si>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</si>
  <si>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</si>
  <si>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</si>
  <si>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</si>
  <si>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</si>
  <si>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</si>
  <si>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</si>
  <si>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</si>
  <si>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</si>
  <si>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</si>
  <si>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</si>
  <si>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</si>
  <si>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</si>
  <si>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</si>
  <si>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</si>
  <si>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</si>
  <si>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</si>
  <si>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</si>
  <si>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</si>
  <si>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</si>
  <si>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</si>
  <si>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</si>
  <si>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</si>
  <si>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</si>
  <si>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</si>
  <si>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</si>
  <si>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</si>
  <si>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</si>
  <si>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</si>
  <si>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</si>
  <si>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</si>
  <si>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</si>
  <si>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</si>
  <si>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</si>
  <si>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</si>
  <si>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</si>
  <si>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</si>
  <si>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</si>
  <si>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</si>
  <si>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</si>
  <si>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</si>
  <si>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</si>
  <si>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</si>
  <si>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</si>
  <si>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</si>
  <si>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</si>
  <si>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</si>
  <si>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</si>
  <si>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</si>
  <si>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</si>
  <si>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</si>
  <si>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</si>
  <si>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</si>
  <si>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</si>
  <si>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</si>
  <si>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</si>
  <si>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</si>
  <si>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</si>
  <si>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</si>
  <si>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</si>
  <si>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</si>
  <si>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</si>
  <si>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</si>
  <si>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</si>
  <si>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</si>
  <si>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</si>
  <si>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</si>
  <si>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</si>
  <si>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</si>
  <si>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</si>
  <si>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</si>
  <si>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</si>
  <si>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</si>
  <si>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</si>
  <si>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</si>
  <si>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</si>
  <si>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</si>
  <si>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</si>
  <si>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</si>
  <si>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</si>
  <si>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</si>
  <si>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</si>
  <si>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</si>
  <si>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</si>
  <si>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</si>
  <si>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</si>
  <si>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</si>
  <si>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</si>
  <si>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</si>
  <si>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</si>
  <si>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</si>
  <si>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</si>
  <si>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</si>
  <si>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</si>
  <si>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</si>
  <si>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</si>
  <si>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</si>
  <si>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</si>
  <si>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</si>
  <si>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</si>
  <si>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</si>
  <si>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</si>
  <si>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</si>
  <si>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</si>
  <si>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</si>
  <si>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</si>
  <si>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</si>
  <si>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</si>
  <si>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</si>
  <si>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</si>
  <si>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</si>
  <si>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</si>
  <si>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</si>
  <si>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</si>
  <si>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</si>
  <si>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</si>
  <si>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</si>
  <si>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</si>
  <si>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</si>
  <si>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</si>
  <si>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</si>
  <si>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</si>
  <si>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</si>
  <si>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</si>
  <si>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</si>
  <si>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</si>
  <si>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</si>
  <si>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</si>
  <si>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</si>
  <si>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</si>
  <si>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</si>
  <si>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</si>
  <si>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</si>
  <si>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</si>
  <si>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</si>
  <si>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</si>
  <si>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</si>
  <si>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</si>
  <si>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</si>
  <si>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</si>
  <si>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</si>
  <si>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</si>
  <si>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</si>
  <si>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</si>
  <si>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</si>
  <si>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</si>
  <si>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</si>
  <si>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</si>
  <si>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</si>
  <si>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</si>
  <si>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</si>
  <si>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</si>
  <si>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</si>
  <si>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</si>
  <si>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</si>
  <si>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</si>
  <si>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</si>
  <si>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</si>
  <si>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</si>
  <si>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</si>
  <si>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</si>
  <si>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</si>
  <si>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</si>
  <si>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</si>
  <si>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</si>
  <si>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</si>
  <si>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</si>
  <si>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</si>
  <si>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</si>
  <si>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</si>
  <si>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</si>
  <si>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</si>
  <si>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</si>
  <si>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</si>
  <si>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</si>
  <si>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</si>
  <si>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</si>
  <si>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</si>
  <si>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</si>
  <si>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</si>
  <si>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</si>
  <si>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</si>
  <si>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</si>
  <si>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</si>
  <si>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</si>
  <si>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</si>
  <si>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</si>
  <si>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</si>
  <si>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</si>
  <si>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</si>
  <si>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</si>
  <si>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</si>
  <si>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</si>
  <si>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</si>
  <si>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</si>
  <si>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</si>
  <si>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</si>
  <si>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</si>
  <si>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</si>
  <si>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</si>
  <si>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</si>
  <si>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</si>
  <si>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</si>
  <si>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</si>
  <si>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</si>
  <si>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</si>
  <si>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</si>
  <si>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</si>
  <si>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</si>
  <si>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</si>
  <si>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</si>
  <si>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</si>
  <si>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</si>
  <si>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</si>
  <si>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</si>
  <si>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</si>
  <si>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</si>
  <si>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</si>
  <si>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</si>
  <si>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</si>
  <si>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</si>
  <si>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</si>
  <si>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</si>
  <si>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</si>
  <si>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</si>
  <si>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</si>
  <si>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</si>
  <si>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</si>
  <si>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</si>
  <si>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</si>
  <si>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</si>
  <si>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</si>
  <si>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</si>
  <si>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</si>
  <si>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</si>
  <si>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</si>
  <si>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</si>
  <si>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</si>
  <si>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</si>
  <si>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</si>
  <si>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</si>
  <si>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</si>
  <si>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</si>
  <si>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</si>
  <si>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</si>
  <si>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</si>
  <si>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</si>
  <si>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</si>
  <si>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</si>
  <si>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</si>
  <si>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</si>
  <si>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</si>
  <si>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</si>
  <si>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</si>
  <si>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</si>
  <si>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</si>
  <si>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</si>
  <si>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</si>
  <si>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</si>
  <si>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</si>
  <si>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</si>
  <si>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</si>
  <si>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</si>
  <si>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</si>
  <si>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</si>
  <si>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</si>
  <si>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</si>
  <si>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</si>
  <si>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</si>
  <si>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</si>
  <si>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</si>
  <si>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</si>
  <si>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</si>
  <si>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</si>
  <si>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</si>
  <si>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</si>
  <si>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</si>
  <si>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</si>
  <si>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</si>
  <si>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</si>
  <si>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</si>
  <si>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</si>
  <si>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</si>
  <si>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</si>
  <si>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</si>
  <si>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</si>
  <si>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</si>
  <si>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</si>
  <si>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</si>
  <si>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</si>
  <si>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</si>
  <si>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</si>
  <si>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</si>
  <si>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</si>
  <si>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</si>
  <si>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</si>
  <si>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</si>
  <si>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</si>
  <si>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</si>
  <si>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</si>
  <si>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</si>
  <si>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</si>
  <si>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</si>
  <si>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</si>
  <si>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</si>
  <si>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</si>
  <si>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</si>
  <si>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</si>
  <si>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</si>
  <si>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</si>
  <si>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</si>
  <si>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</si>
  <si>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</si>
  <si>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</si>
  <si>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</si>
  <si>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</si>
  <si>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</si>
  <si>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</si>
  <si>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</si>
  <si>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</si>
  <si>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</si>
  <si>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</si>
  <si>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</si>
  <si>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</si>
  <si>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</si>
  <si>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</si>
  <si>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</si>
  <si>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</si>
  <si>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</si>
  <si>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</si>
  <si>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</si>
  <si>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</si>
  <si>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</si>
  <si>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</si>
  <si>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</si>
  <si>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</si>
  <si>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</si>
  <si>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</si>
  <si>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</si>
  <si>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</si>
  <si>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</si>
  <si>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</si>
  <si>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</si>
  <si>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</si>
  <si>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</si>
  <si>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</si>
  <si>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</si>
  <si>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</si>
  <si>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</si>
  <si>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</si>
  <si>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</si>
  <si>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</si>
  <si>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</si>
  <si>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</si>
  <si>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</si>
  <si>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</si>
  <si>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</si>
  <si>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</si>
  <si>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</si>
  <si>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</si>
  <si>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</si>
  <si>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</si>
  <si>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</si>
  <si>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</si>
  <si>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</si>
  <si>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</si>
  <si>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</si>
  <si>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</si>
  <si>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</si>
  <si>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</si>
  <si>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</si>
  <si>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</si>
  <si>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</si>
  <si>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</si>
  <si>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</si>
  <si>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</si>
  <si>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</si>
  <si>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</si>
  <si>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</si>
  <si>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</si>
  <si>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</si>
  <si>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</si>
  <si>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</si>
  <si>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</si>
  <si>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</si>
  <si>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</si>
  <si>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</si>
  <si>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</si>
  <si>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</si>
  <si>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</si>
  <si>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</si>
  <si>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</si>
  <si>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</si>
  <si>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</si>
  <si>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</si>
  <si>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</si>
  <si>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</si>
  <si>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</si>
  <si>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</si>
  <si>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</si>
  <si>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</si>
  <si>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</si>
  <si>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</si>
  <si>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</si>
  <si>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</si>
  <si>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</si>
  <si>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</si>
  <si>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</si>
  <si>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</si>
  <si>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</si>
  <si>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</si>
  <si>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</si>
  <si>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</si>
  <si>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</si>
  <si>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</si>
  <si>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</si>
  <si>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</si>
  <si>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</si>
  <si>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</si>
  <si>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</si>
  <si>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</si>
  <si>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</si>
  <si>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</si>
  <si>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</si>
  <si>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</si>
  <si>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</si>
  <si>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</si>
  <si>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</si>
  <si>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</si>
  <si>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</si>
  <si>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</si>
  <si>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</si>
  <si>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</si>
  <si>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</si>
  <si>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</si>
  <si>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</si>
  <si>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</si>
  <si>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</si>
  <si>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</si>
  <si>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</si>
  <si>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</si>
  <si>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</si>
  <si>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</si>
  <si>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</si>
  <si>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</si>
  <si>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</si>
  <si>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</si>
  <si>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</si>
  <si>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</si>
  <si>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</si>
  <si>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</si>
  <si>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</si>
  <si>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</si>
  <si>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</si>
  <si>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</si>
  <si>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</si>
  <si>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</si>
  <si>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</si>
  <si>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</si>
  <si>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</si>
  <si>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</si>
  <si>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</si>
  <si>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</si>
  <si>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</si>
  <si>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</si>
  <si>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</si>
  <si>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</si>
  <si>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</si>
  <si>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</si>
  <si>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</si>
  <si>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</si>
  <si>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</si>
  <si>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</si>
  <si>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</si>
  <si>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</si>
  <si>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</si>
  <si>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</si>
  <si>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</si>
  <si>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</si>
  <si>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</si>
  <si>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</si>
  <si>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</si>
  <si>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</si>
  <si>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</si>
  <si>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</si>
  <si>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</si>
  <si>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</si>
  <si>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</si>
  <si>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</si>
  <si>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</si>
  <si>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</si>
  <si>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</si>
  <si>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</si>
  <si>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</si>
  <si>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</si>
  <si>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</si>
  <si>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</si>
  <si>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</si>
  <si>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</si>
  <si>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</si>
  <si>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</si>
  <si>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</si>
  <si>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</si>
  <si>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</si>
  <si>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</si>
  <si>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</si>
  <si>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</si>
  <si>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</si>
  <si>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</si>
  <si>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</si>
  <si>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</si>
  <si>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</si>
  <si>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</si>
  <si>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</si>
  <si>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</si>
  <si>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</si>
  <si>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</si>
  <si>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</si>
  <si>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</si>
  <si>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</si>
  <si>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</si>
  <si>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</si>
  <si>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</si>
  <si>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</si>
  <si>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</si>
  <si>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</si>
  <si>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</si>
  <si>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</si>
  <si>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</si>
  <si>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</si>
  <si>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</si>
  <si>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</si>
  <si>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</si>
  <si>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</si>
  <si>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</si>
  <si>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</si>
  <si>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</si>
  <si>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</si>
  <si>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</si>
  <si>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</si>
  <si>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</si>
  <si>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</si>
  <si>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</si>
  <si>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</si>
  <si>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</si>
  <si>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</si>
  <si>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</si>
  <si>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</si>
  <si>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</si>
  <si>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</si>
  <si>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</si>
  <si>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</si>
  <si>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</si>
  <si>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</si>
  <si>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</si>
  <si>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</si>
  <si>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</si>
  <si>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</si>
  <si>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</si>
  <si>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</si>
  <si>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</si>
  <si>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</si>
  <si>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</si>
  <si>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</si>
  <si>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</si>
  <si>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</si>
  <si>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</si>
  <si>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</si>
  <si>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</si>
  <si>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</si>
  <si>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</si>
  <si>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</si>
  <si>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</si>
  <si>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</si>
  <si>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</si>
  <si>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</si>
  <si>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</si>
  <si>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</si>
  <si>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</si>
  <si>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</si>
  <si>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</si>
  <si>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</si>
  <si>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</si>
  <si>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</si>
  <si>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</si>
  <si>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</si>
  <si>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</si>
  <si>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</si>
  <si>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</si>
  <si>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</si>
  <si>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</si>
  <si>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</si>
  <si>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</si>
  <si>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</si>
  <si>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</si>
  <si>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</si>
  <si>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</si>
  <si>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</si>
  <si>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</si>
  <si>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</si>
  <si>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</si>
  <si>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</si>
  <si>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</si>
  <si>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</si>
  <si>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</si>
  <si>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</si>
  <si>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</si>
  <si>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</si>
  <si>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</si>
  <si>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</si>
  <si>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</si>
  <si>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</si>
  <si>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</si>
  <si>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</si>
  <si>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</si>
  <si>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</si>
  <si>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</si>
  <si>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</si>
  <si>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</si>
  <si>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</si>
  <si>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</si>
  <si>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</si>
  <si>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</si>
  <si>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</si>
  <si>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</si>
  <si>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</si>
  <si>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</si>
  <si>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</si>
  <si>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</si>
  <si>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</si>
  <si>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</si>
  <si>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</si>
  <si>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</si>
  <si>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</si>
  <si>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</si>
  <si>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</si>
  <si>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</si>
  <si>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</si>
  <si>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</si>
  <si>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</si>
  <si>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</si>
  <si>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</si>
  <si>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</si>
  <si>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</si>
  <si>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</si>
  <si>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</si>
  <si>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</si>
  <si>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</si>
  <si>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</si>
  <si>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</si>
  <si>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</si>
  <si>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</si>
  <si>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</si>
  <si>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</si>
  <si>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</si>
  <si>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</si>
  <si>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</si>
  <si>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</si>
  <si>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</si>
  <si>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</si>
  <si>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</si>
  <si>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</si>
  <si>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</si>
  <si>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</si>
  <si>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</si>
  <si>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</si>
  <si>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</si>
  <si>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</si>
  <si>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</si>
  <si>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</si>
  <si>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</si>
  <si>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</si>
  <si>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</si>
  <si>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</si>
  <si>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</si>
  <si>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</si>
  <si>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</si>
  <si>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</si>
  <si>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</si>
  <si>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</si>
  <si>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</si>
  <si>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</si>
  <si>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</si>
  <si>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</si>
  <si>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</si>
  <si>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</si>
  <si>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</si>
  <si>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</si>
  <si>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</si>
  <si>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</si>
  <si>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</si>
  <si>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</si>
  <si>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</si>
  <si>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</si>
  <si>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</si>
  <si>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</si>
  <si>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</si>
  <si>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</si>
  <si>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</si>
  <si>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</si>
  <si>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</si>
  <si>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</si>
  <si>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</si>
  <si>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</si>
  <si>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</si>
  <si>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</si>
  <si>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</si>
  <si>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</si>
  <si>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</si>
  <si>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</si>
  <si>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</si>
  <si>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</si>
  <si>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</si>
  <si>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</si>
  <si>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</si>
  <si>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</si>
  <si>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</si>
  <si>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</si>
  <si>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</si>
  <si>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</si>
  <si>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</si>
  <si>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</si>
  <si>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</si>
  <si>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</si>
  <si>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</si>
  <si>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</si>
  <si>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</si>
  <si>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</si>
  <si>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</si>
  <si>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</si>
  <si>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</si>
  <si>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</si>
  <si>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</si>
  <si>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</si>
  <si>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</si>
  <si>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</si>
  <si>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</si>
  <si>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</si>
  <si>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</si>
  <si>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</si>
  <si>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</si>
  <si>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</si>
  <si>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</si>
  <si>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</si>
  <si>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</si>
  <si>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</si>
  <si>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</si>
  <si>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</si>
  <si>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</si>
  <si>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</si>
  <si>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</si>
  <si>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</si>
  <si>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</si>
  <si>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</si>
  <si>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</si>
  <si>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</si>
  <si>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</si>
  <si>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</si>
  <si>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</si>
  <si>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</si>
  <si>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</si>
  <si>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</si>
  <si>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</si>
  <si>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</si>
  <si>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</si>
  <si>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</si>
  <si>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</si>
  <si>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</si>
  <si>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</si>
  <si>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</si>
  <si>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</si>
  <si>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</si>
  <si>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</si>
  <si>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</si>
  <si>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</si>
  <si>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</si>
  <si>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</si>
  <si>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</si>
  <si>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</si>
  <si>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</si>
  <si>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</si>
  <si>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</si>
  <si>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</si>
  <si>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</si>
  <si>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</si>
  <si>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</si>
  <si>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</si>
  <si>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</si>
  <si>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</si>
  <si>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</si>
  <si>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</si>
  <si>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</si>
  <si>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</si>
  <si>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</si>
  <si>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</si>
  <si>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</si>
  <si>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</si>
  <si>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</si>
  <si>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</si>
  <si>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</si>
  <si>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</si>
  <si>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</si>
  <si>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</si>
  <si>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</si>
  <si>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</si>
  <si>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</si>
  <si>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</si>
  <si>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</si>
  <si>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</si>
  <si>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</si>
  <si>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</si>
  <si>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</si>
  <si>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</si>
  <si>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</si>
  <si>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</si>
  <si>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</si>
  <si>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</si>
  <si>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</si>
  <si>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</si>
  <si>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</si>
  <si>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</si>
  <si>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</si>
  <si>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</si>
  <si>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</si>
  <si>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</si>
  <si>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</si>
  <si>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</si>
  <si>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</si>
  <si>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</si>
  <si>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</si>
  <si>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</si>
  <si>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</si>
  <si>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</si>
  <si>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</si>
  <si>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</si>
  <si>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</si>
  <si>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</si>
  <si>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</si>
  <si>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</si>
  <si>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</si>
  <si>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</si>
  <si>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</si>
  <si>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</si>
  <si>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</si>
  <si>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</si>
  <si>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</si>
  <si>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</si>
  <si>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</si>
  <si>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</si>
  <si>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</si>
  <si>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</si>
  <si>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</si>
  <si>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</si>
  <si>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</si>
  <si>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</si>
  <si>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</si>
  <si>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</si>
  <si>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</si>
  <si>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</si>
  <si>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</si>
  <si>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</si>
  <si>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</si>
  <si>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</si>
  <si>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</si>
  <si>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</si>
  <si>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</si>
  <si>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</si>
  <si>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</si>
  <si>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</si>
  <si>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</si>
  <si>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</si>
  <si>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</si>
  <si>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</si>
  <si>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</si>
  <si>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</si>
  <si>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</si>
  <si>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</si>
  <si>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</si>
  <si>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</si>
  <si>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</si>
  <si>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</si>
  <si>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</si>
  <si>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</si>
  <si>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</si>
  <si>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</si>
  <si>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</si>
  <si>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</si>
  <si>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</si>
  <si>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</si>
  <si>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</si>
  <si>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</si>
  <si>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</si>
  <si>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</si>
  <si>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</si>
  <si>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</si>
  <si>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</si>
  <si>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</si>
  <si>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</si>
  <si>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</si>
  <si>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</si>
  <si>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</si>
  <si>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</si>
  <si>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</si>
  <si>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</si>
  <si>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</si>
  <si>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</si>
  <si>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</si>
  <si>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</si>
  <si>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</si>
  <si>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</si>
  <si>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</si>
  <si>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</si>
  <si>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</si>
  <si>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</si>
  <si>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</si>
  <si>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</si>
  <si>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</si>
  <si>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</si>
  <si>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</si>
  <si>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</si>
  <si>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</si>
  <si>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</si>
  <si>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</si>
  <si>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</si>
  <si>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</si>
  <si>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</si>
  <si>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</si>
  <si>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</si>
  <si>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</si>
  <si>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</si>
  <si>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</si>
  <si>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</si>
  <si>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</si>
  <si>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</si>
  <si>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</si>
  <si>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</si>
  <si>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</si>
  <si>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</si>
  <si>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</si>
  <si>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</si>
  <si>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</si>
  <si>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</si>
  <si>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</si>
  <si>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</si>
  <si>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</si>
  <si>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</si>
  <si>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</si>
  <si>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</si>
  <si>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</si>
  <si>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</si>
  <si>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</si>
  <si>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</si>
  <si>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</si>
  <si>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</si>
  <si>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</si>
  <si>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</si>
  <si>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</si>
  <si>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</si>
  <si>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</si>
  <si>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</si>
  <si>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</si>
  <si>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</si>
  <si>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</si>
  <si>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</si>
  <si>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</si>
  <si>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</si>
  <si>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</si>
  <si>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</si>
  <si>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</si>
  <si>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</si>
  <si>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</si>
  <si>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</si>
  <si>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</si>
  <si>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</si>
  <si>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</si>
  <si>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</si>
  <si>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</si>
  <si>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</si>
  <si>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</si>
  <si>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</si>
  <si>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</si>
  <si>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</si>
  <si>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</si>
  <si>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</si>
  <si>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</si>
  <si>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</si>
  <si>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</si>
  <si>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</si>
  <si>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</si>
  <si>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</si>
  <si>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</si>
  <si>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</si>
  <si>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</si>
  <si>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</si>
  <si>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</si>
  <si>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</si>
  <si>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</si>
  <si>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</si>
  <si>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</si>
  <si>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</si>
  <si>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</si>
  <si>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</si>
  <si>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</si>
  <si>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</si>
  <si>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</si>
  <si>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</si>
  <si>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</si>
  <si>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</si>
  <si>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</si>
  <si>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</si>
  <si>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</si>
  <si>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</si>
  <si>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</si>
  <si>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</si>
  <si>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</si>
  <si>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</si>
  <si>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</si>
  <si>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</si>
  <si>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</si>
  <si>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</si>
  <si>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</si>
  <si>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</si>
  <si>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</si>
  <si>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</si>
  <si>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</si>
  <si>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</si>
  <si>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</si>
  <si>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</si>
  <si>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</si>
  <si>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</si>
  <si>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</si>
  <si>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</si>
  <si>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</si>
  <si>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</si>
  <si>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</si>
  <si>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</si>
  <si>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</si>
  <si>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</si>
  <si>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</si>
  <si>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</si>
  <si>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</si>
  <si>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</si>
  <si>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</si>
  <si>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</si>
  <si>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</si>
  <si>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</si>
  <si>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</si>
  <si>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</si>
  <si>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</si>
  <si>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</si>
  <si>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</si>
  <si>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</si>
  <si>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</si>
  <si>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</si>
  <si>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</si>
  <si>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</si>
  <si>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</si>
  <si>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</si>
  <si>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</si>
  <si>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</si>
  <si>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</si>
  <si>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</si>
  <si>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</si>
  <si>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</si>
  <si>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</si>
  <si>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</si>
  <si>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</si>
  <si>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</si>
  <si>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</si>
  <si>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</si>
  <si>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</si>
  <si>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</si>
  <si>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</si>
  <si>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</si>
  <si>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</si>
  <si>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</si>
  <si>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</si>
  <si>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</si>
  <si>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</si>
  <si>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</si>
  <si>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</si>
  <si>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</si>
  <si>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</si>
  <si>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</si>
  <si>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</si>
  <si>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</si>
  <si>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</si>
  <si>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</si>
  <si>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</si>
  <si>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</si>
  <si>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</si>
  <si>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</si>
  <si>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</si>
  <si>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</si>
  <si>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</si>
  <si>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</si>
  <si>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</si>
  <si>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</si>
  <si>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</si>
  <si>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</si>
  <si>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</si>
  <si>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</si>
  <si>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</si>
  <si>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</si>
  <si>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</si>
  <si>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</si>
  <si>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</si>
  <si>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</si>
  <si>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</si>
  <si>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</si>
  <si>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</si>
  <si>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</si>
  <si>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</si>
  <si>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</si>
  <si>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</si>
  <si>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</si>
  <si>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</si>
  <si>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</si>
  <si>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</si>
  <si>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</si>
  <si>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</si>
  <si>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</si>
  <si>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</si>
  <si>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</si>
  <si>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</si>
  <si>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</si>
  <si>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</si>
  <si>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</si>
  <si>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</si>
  <si>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</si>
  <si>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</si>
  <si>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</si>
  <si>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</si>
  <si>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</si>
  <si>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</si>
  <si>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</si>
  <si>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</si>
  <si>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</si>
  <si>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</si>
  <si>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</si>
  <si>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</si>
  <si>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</si>
  <si>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</si>
  <si>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</si>
  <si>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</si>
  <si>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</si>
  <si>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</si>
  <si>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</si>
  <si>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</si>
  <si>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</si>
  <si>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</si>
  <si>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</si>
  <si>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</si>
  <si>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</si>
  <si>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</si>
  <si>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</si>
  <si>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</si>
  <si>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</si>
  <si>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</si>
  <si>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</si>
  <si>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</si>
  <si>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</si>
  <si>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</si>
  <si>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</si>
  <si>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</si>
  <si>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</si>
  <si>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</si>
  <si>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</si>
  <si>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</si>
  <si>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</si>
  <si>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</si>
  <si>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</si>
  <si>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</si>
  <si>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</si>
  <si>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</si>
  <si>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</si>
  <si>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</si>
  <si>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</si>
  <si>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</si>
  <si>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</si>
  <si>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</si>
  <si>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</si>
  <si>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</si>
  <si>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</si>
  <si>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</si>
  <si>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</si>
  <si>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</si>
  <si>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</si>
  <si>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</si>
  <si>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</si>
  <si>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</si>
  <si>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</si>
  <si>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</si>
  <si>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</si>
  <si>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</si>
  <si>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</si>
  <si>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</si>
  <si>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</si>
  <si>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</si>
  <si>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</si>
  <si>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</si>
  <si>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</si>
  <si>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</si>
  <si>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</si>
  <si>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</si>
  <si>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</si>
  <si>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</si>
  <si>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</si>
  <si>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</si>
  <si>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</si>
  <si>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</si>
  <si>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</si>
  <si>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</si>
  <si>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</si>
  <si>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</si>
  <si>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</si>
  <si>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</si>
  <si>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</si>
  <si>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</si>
  <si>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</si>
  <si>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</si>
  <si>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</si>
  <si>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</si>
  <si>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</si>
  <si>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</si>
  <si>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</si>
  <si>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</si>
  <si>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</si>
  <si>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</si>
  <si>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</si>
  <si>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</si>
  <si>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</si>
  <si>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</si>
  <si>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</si>
  <si>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</si>
  <si>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</si>
  <si>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</si>
  <si>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</si>
  <si>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</si>
  <si>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</si>
  <si>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</si>
  <si>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</si>
  <si>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</si>
  <si>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</si>
  <si>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</si>
  <si>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</si>
  <si>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</si>
  <si>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</si>
  <si>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</si>
  <si>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</si>
  <si>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</si>
  <si>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</si>
  <si>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</si>
  <si>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</si>
  <si>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</si>
  <si>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</si>
  <si>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</si>
  <si>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</si>
  <si>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</si>
  <si>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</si>
  <si>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</si>
  <si>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</si>
  <si>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</si>
  <si>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</si>
  <si>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</si>
  <si>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</si>
  <si>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</si>
  <si>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</si>
  <si>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</si>
  <si>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</si>
  <si>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</si>
  <si>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</si>
  <si>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</si>
  <si>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</si>
  <si>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</si>
  <si>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</si>
  <si>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</si>
  <si>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</si>
  <si>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</si>
  <si>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</si>
  <si>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</si>
  <si>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</si>
  <si>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</si>
  <si>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</si>
  <si>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</si>
  <si>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</si>
  <si>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</si>
  <si>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</si>
  <si>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</si>
  <si>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</si>
  <si>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</si>
  <si>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</si>
  <si>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</si>
  <si>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</si>
  <si>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</si>
  <si>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</si>
  <si>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</si>
  <si>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</si>
  <si>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</si>
  <si>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</si>
  <si>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</si>
  <si>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</si>
  <si>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</si>
  <si>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</si>
  <si>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</si>
  <si>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</si>
  <si>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</si>
  <si>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</si>
  <si>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</si>
  <si>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</si>
  <si>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</si>
  <si>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</si>
  <si>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</si>
  <si>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</si>
  <si>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</si>
  <si>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</si>
  <si>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</si>
  <si>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</si>
  <si>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</si>
  <si>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</si>
  <si>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</si>
  <si>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</si>
  <si>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</si>
  <si>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</si>
  <si>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</si>
  <si>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</si>
  <si>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</si>
  <si>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</si>
  <si>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</si>
  <si>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</si>
  <si>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</si>
  <si>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</si>
  <si>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</si>
  <si>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</si>
  <si>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</si>
  <si>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</si>
  <si>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</si>
  <si>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</si>
  <si>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</si>
  <si>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</si>
  <si>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</si>
  <si>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</si>
  <si>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</si>
  <si>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</si>
  <si>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</si>
  <si>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</si>
  <si>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</si>
  <si>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</si>
  <si>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</si>
  <si>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</si>
  <si>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</si>
  <si>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</si>
  <si>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</si>
  <si>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</si>
  <si>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</si>
  <si>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</si>
  <si>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</si>
  <si>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</si>
  <si>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</si>
  <si>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</si>
  <si>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</si>
  <si>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</si>
  <si>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</si>
  <si>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</si>
  <si>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</si>
  <si>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</si>
  <si>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</si>
  <si>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</si>
  <si>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</si>
  <si>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</si>
  <si>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</si>
  <si>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</si>
  <si>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</si>
  <si>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</si>
  <si>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</si>
  <si>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</si>
  <si>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</si>
  <si>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</si>
  <si>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</si>
  <si>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</si>
  <si>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</si>
  <si>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</si>
  <si>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</si>
  <si>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</si>
  <si>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</si>
  <si>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</si>
  <si>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</si>
  <si>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</si>
  <si>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</si>
  <si>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</si>
  <si>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</si>
  <si>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</si>
  <si>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</si>
  <si>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</si>
  <si>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</si>
  <si>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</si>
  <si>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</si>
  <si>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</si>
  <si>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</si>
  <si>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</si>
  <si>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</si>
  <si>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</si>
  <si>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</si>
  <si>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</si>
  <si>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</si>
  <si>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</si>
  <si>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</si>
  <si>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</si>
  <si>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</si>
  <si>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</si>
  <si>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</si>
  <si>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</si>
  <si>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</si>
  <si>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</si>
  <si>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</si>
  <si>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</si>
  <si>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</si>
  <si>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</si>
  <si>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</si>
  <si>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</si>
  <si>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</si>
  <si>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</si>
  <si>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</si>
  <si>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</si>
  <si>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</si>
  <si>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</si>
  <si>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</si>
  <si>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</si>
  <si>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</si>
  <si>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</si>
  <si>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</si>
  <si>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</si>
  <si>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</si>
  <si>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</si>
  <si>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</si>
  <si>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</si>
  <si>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</si>
  <si>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</si>
  <si>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</si>
  <si>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</si>
  <si>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</si>
  <si>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</si>
  <si>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</si>
  <si>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</si>
  <si>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</si>
  <si>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</si>
  <si>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</si>
  <si>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</si>
  <si>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</si>
  <si>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</si>
  <si>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</si>
  <si>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</si>
  <si>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</si>
  <si>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</si>
  <si>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</si>
  <si>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</si>
  <si>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</si>
  <si>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</si>
  <si>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</si>
  <si>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</si>
  <si>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</si>
  <si>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</si>
  <si>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</si>
  <si>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</si>
  <si>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</si>
  <si>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</si>
  <si>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</si>
  <si>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</si>
  <si>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</si>
  <si>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</si>
  <si>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</si>
  <si>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</si>
  <si>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</si>
  <si>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</si>
  <si>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</si>
  <si>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</si>
  <si>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</si>
  <si>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</si>
  <si>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</si>
  <si>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</si>
  <si>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</si>
  <si>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</si>
  <si>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</si>
  <si>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</si>
  <si>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</si>
  <si>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</si>
  <si>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</si>
  <si>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</si>
  <si>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</si>
  <si>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</si>
  <si>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</si>
  <si>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</si>
  <si>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</si>
  <si>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</si>
  <si>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</si>
  <si>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</si>
  <si>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</si>
  <si>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</si>
  <si>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</si>
  <si>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</si>
  <si>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</si>
  <si>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</si>
  <si>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</si>
  <si>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</si>
  <si>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</si>
  <si>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</si>
  <si>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</si>
  <si>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</si>
  <si>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</si>
  <si>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</si>
  <si>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</si>
  <si>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</si>
  <si>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</si>
  <si>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</si>
  <si>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</si>
  <si>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</si>
  <si>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</si>
  <si>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</si>
  <si>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</si>
  <si>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</si>
  <si>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</si>
  <si>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</si>
  <si>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</si>
  <si>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</si>
  <si>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</si>
  <si>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</si>
  <si>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</si>
  <si>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</si>
  <si>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</si>
  <si>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</si>
  <si>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</si>
  <si>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</si>
  <si>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</si>
  <si>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</si>
  <si>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</si>
  <si>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</si>
  <si>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</si>
  <si>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</si>
  <si>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</si>
  <si>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</si>
  <si>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</si>
  <si>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</si>
  <si>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</si>
  <si>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</si>
  <si>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</si>
  <si>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</si>
  <si>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</si>
  <si>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</si>
  <si>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</si>
  <si>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</si>
  <si>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</si>
  <si>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</si>
  <si>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</si>
  <si>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</si>
  <si>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</si>
  <si>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</si>
  <si>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</si>
  <si>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</si>
  <si>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</si>
  <si>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</si>
  <si>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</si>
  <si>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</si>
  <si>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</si>
  <si>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</si>
  <si>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</si>
  <si>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</si>
  <si>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</si>
  <si>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</si>
  <si>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</si>
  <si>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</si>
  <si>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</si>
  <si>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</si>
  <si>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</si>
  <si>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</si>
  <si>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</si>
  <si>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</si>
  <si>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</si>
  <si>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</si>
  <si>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</si>
  <si>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</si>
  <si>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</si>
  <si>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</si>
  <si>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</si>
  <si>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</si>
  <si>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</si>
  <si>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</si>
  <si>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</si>
  <si>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</si>
  <si>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</si>
  <si>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</si>
  <si>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</si>
  <si>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</si>
  <si>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</si>
  <si>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</si>
  <si>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</si>
  <si>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</si>
  <si>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</si>
  <si>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</si>
  <si>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</si>
  <si>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</si>
  <si>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</si>
  <si>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</si>
  <si>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</si>
  <si>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</si>
  <si>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</si>
  <si>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</si>
  <si>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</si>
  <si>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</si>
  <si>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</si>
  <si>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</si>
  <si>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</si>
  <si>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</si>
  <si>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</si>
  <si>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</si>
  <si>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</si>
  <si>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</si>
  <si>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</si>
  <si>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</si>
  <si>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</si>
  <si>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</si>
  <si>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</si>
  <si>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</si>
  <si>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</si>
  <si>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</si>
  <si>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</si>
  <si>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</si>
  <si>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</si>
  <si>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</si>
  <si>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</si>
  <si>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</si>
  <si>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</si>
  <si>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</si>
  <si>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</si>
  <si>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</si>
  <si>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</si>
  <si>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</si>
  <si>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</si>
  <si>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</si>
  <si>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</si>
  <si>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</si>
  <si>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</si>
  <si>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</si>
  <si>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</si>
  <si>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</si>
  <si>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</si>
  <si>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</si>
  <si>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</si>
  <si>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</si>
  <si>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</si>
  <si>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</si>
  <si>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</si>
  <si>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</si>
  <si>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</si>
  <si>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</si>
  <si>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</si>
  <si>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</si>
  <si>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</si>
  <si>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</si>
  <si>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</si>
  <si>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</si>
  <si>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</si>
  <si>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</si>
  <si>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</si>
  <si>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</si>
  <si>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</si>
  <si>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</si>
  <si>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</si>
  <si>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</si>
  <si>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</si>
  <si>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</si>
  <si>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</si>
  <si>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</si>
  <si>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</si>
  <si>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</si>
  <si>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</si>
  <si>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</si>
  <si>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</si>
  <si>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</si>
  <si>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</si>
  <si>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</si>
  <si>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</si>
  <si>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</si>
  <si>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</si>
  <si>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</si>
  <si>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</si>
  <si>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</si>
  <si>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</si>
  <si>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</si>
  <si>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</si>
  <si>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</si>
  <si>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</si>
  <si>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</si>
  <si>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</si>
  <si>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</si>
  <si>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</si>
  <si>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</si>
  <si>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</si>
  <si>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</si>
  <si>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</si>
  <si>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</si>
  <si>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</si>
  <si>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</si>
  <si>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</si>
  <si>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</si>
  <si>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</si>
  <si>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</si>
  <si>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</si>
  <si>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</si>
  <si>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</si>
  <si>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</si>
  <si>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</si>
  <si>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</si>
  <si>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</si>
  <si>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</si>
  <si>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</si>
  <si>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</si>
  <si>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</si>
  <si>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</si>
  <si>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</si>
  <si>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</si>
  <si>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</si>
  <si>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</si>
  <si>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</si>
  <si>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</si>
  <si>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</si>
  <si>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</si>
  <si>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</si>
  <si>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</si>
  <si>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</si>
  <si>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</si>
  <si>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</si>
  <si>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</si>
  <si>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</si>
  <si>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</si>
  <si>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</si>
  <si>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</si>
  <si>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</si>
  <si>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</si>
  <si>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</si>
  <si>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</si>
  <si>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</si>
  <si>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</si>
  <si>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</si>
  <si>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</si>
  <si>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</si>
  <si>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</si>
  <si>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</si>
  <si>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</si>
  <si>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</si>
  <si>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</si>
  <si>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</si>
  <si>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</si>
  <si>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</si>
  <si>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</si>
  <si>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</si>
  <si>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</si>
  <si>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</si>
  <si>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</si>
  <si>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</si>
  <si>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</si>
  <si>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</si>
  <si>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</si>
  <si>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</si>
  <si>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</si>
  <si>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</si>
  <si>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</si>
  <si>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</si>
  <si>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</si>
  <si>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</si>
  <si>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</si>
  <si>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</si>
  <si>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</si>
  <si>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</si>
  <si>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</si>
  <si>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</si>
  <si>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</si>
  <si>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</si>
  <si>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</si>
  <si>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</si>
  <si>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</si>
  <si>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</si>
  <si>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</si>
  <si>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</si>
  <si>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</si>
  <si>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</si>
  <si>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</si>
  <si>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</si>
  <si>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</si>
  <si>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</si>
  <si>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</si>
  <si>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</si>
  <si>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</si>
  <si>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</si>
  <si>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</si>
  <si>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</si>
  <si>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</si>
  <si>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</si>
  <si>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</si>
  <si>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</si>
  <si>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</si>
  <si>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</si>
  <si>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</si>
  <si>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</si>
  <si>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</si>
  <si>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</si>
  <si>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</si>
  <si>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</si>
  <si>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</si>
  <si>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</si>
  <si>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</si>
  <si>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</si>
  <si>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</si>
  <si>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</si>
  <si>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</si>
  <si>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</si>
  <si>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</si>
  <si>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</si>
  <si>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</si>
  <si>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</si>
  <si>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</si>
  <si>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</si>
  <si>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</si>
  <si>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</si>
  <si>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</si>
  <si>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</si>
  <si>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</si>
  <si>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</si>
  <si>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</si>
  <si>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</si>
  <si>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</si>
  <si>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</si>
  <si>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</si>
  <si>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</si>
  <si>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</si>
  <si>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</si>
  <si>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</si>
  <si>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</si>
  <si>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</si>
  <si>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</si>
  <si>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</si>
  <si>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</si>
  <si>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</si>
  <si>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</si>
  <si>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</si>
  <si>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</si>
  <si>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</si>
  <si>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</si>
  <si>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</si>
  <si>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</si>
  <si>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</si>
  <si>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</si>
  <si>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</si>
  <si>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</si>
  <si>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</si>
  <si>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</si>
  <si>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</si>
  <si>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</si>
  <si>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</si>
  <si>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</si>
  <si>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</si>
  <si>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</si>
  <si>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</si>
  <si>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</si>
  <si>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</si>
  <si>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</si>
  <si>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</si>
  <si>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</si>
  <si>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</si>
  <si>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</si>
  <si>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</si>
  <si>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</si>
  <si>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</si>
  <si>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</si>
  <si>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</si>
  <si>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</si>
  <si>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</si>
  <si>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</si>
  <si>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</si>
  <si>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</si>
  <si>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</si>
  <si>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</si>
  <si>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</si>
  <si>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</si>
  <si>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</si>
  <si>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</si>
  <si>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</si>
  <si>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</si>
  <si>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</si>
  <si>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</si>
  <si>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</si>
  <si>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</si>
  <si>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</si>
  <si>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</si>
  <si>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</si>
  <si>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</si>
  <si>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</si>
  <si>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</si>
  <si>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</si>
  <si>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</si>
  <si>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</si>
  <si>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</si>
  <si>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</si>
  <si>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</si>
  <si>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</si>
  <si>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</si>
  <si>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</si>
  <si>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</si>
  <si>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</si>
  <si>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</si>
  <si>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</si>
  <si>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</si>
  <si>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</si>
  <si>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</si>
  <si>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</si>
  <si>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</si>
  <si>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</si>
  <si>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</si>
  <si>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</si>
  <si>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</si>
  <si>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</si>
  <si>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</si>
  <si>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</si>
  <si>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</si>
  <si>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</si>
  <si>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</si>
  <si>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</si>
  <si>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</si>
  <si>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</si>
  <si>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</si>
  <si>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</si>
  <si>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</si>
  <si>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</si>
  <si>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</si>
  <si>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</si>
  <si>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</si>
  <si>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</si>
  <si>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</si>
  <si>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</si>
  <si>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</si>
  <si>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</si>
  <si>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</si>
  <si>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</si>
  <si>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</si>
  <si>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</si>
  <si>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</si>
  <si>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</si>
  <si>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</si>
  <si>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</si>
  <si>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</si>
  <si>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</si>
  <si>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</si>
  <si>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</si>
  <si>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</si>
  <si>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</si>
  <si>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</si>
  <si>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</si>
  <si>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</si>
  <si>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</si>
  <si>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</si>
  <si>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</si>
  <si>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</si>
  <si>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</si>
  <si>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</si>
  <si>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</si>
  <si>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</si>
  <si>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</si>
  <si>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</si>
  <si>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</si>
  <si>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</si>
  <si>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</si>
  <si>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</si>
  <si>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</si>
  <si>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</si>
  <si>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</si>
  <si>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</si>
  <si>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</si>
  <si>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</si>
  <si>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</si>
  <si>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</si>
  <si>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</si>
  <si>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</si>
  <si>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</si>
  <si>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</si>
  <si>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</si>
  <si>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</si>
  <si>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</si>
  <si>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</si>
  <si>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</si>
  <si>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</si>
  <si>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</si>
  <si>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</si>
  <si>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</si>
  <si>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</si>
  <si>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</si>
  <si>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</si>
  <si>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</si>
  <si>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</si>
  <si>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</si>
  <si>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</si>
  <si>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</si>
  <si>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</si>
  <si>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</si>
  <si>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</si>
  <si>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</si>
  <si>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</si>
  <si>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</si>
  <si>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</si>
  <si>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</si>
  <si>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</si>
  <si>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</si>
  <si>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</si>
  <si>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</si>
  <si>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</si>
  <si>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</si>
  <si>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</si>
  <si>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</si>
  <si>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</si>
  <si>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</si>
  <si>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</si>
  <si>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</si>
  <si>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</si>
  <si>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</si>
  <si>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</si>
  <si>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</si>
  <si>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</si>
  <si>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</si>
  <si>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</si>
  <si>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</si>
  <si>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</si>
  <si>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</si>
  <si>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</si>
  <si>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</si>
  <si>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</si>
  <si>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</si>
  <si>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</si>
  <si>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</si>
  <si>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</si>
  <si>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</si>
  <si>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</si>
  <si>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</si>
  <si>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</si>
  <si>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</si>
  <si>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</si>
  <si>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</si>
  <si>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</si>
  <si>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</si>
  <si>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</si>
  <si>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</si>
  <si>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</si>
  <si>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企业</t>
  </si>
  <si>
    <t>土地证号</t>
    <phoneticPr fontId="225" type="noConversion"/>
  </si>
  <si>
    <t>A0102</t>
    <phoneticPr fontId="225" type="noConversion"/>
  </si>
  <si>
    <t>土地使用权人</t>
    <phoneticPr fontId="225" type="noConversion"/>
  </si>
  <si>
    <t>海口市新埠岛开发建设总公司</t>
    <phoneticPr fontId="225" type="noConversion"/>
  </si>
  <si>
    <t>土地面积</t>
    <phoneticPr fontId="225" type="noConversion"/>
  </si>
  <si>
    <t>用途</t>
    <phoneticPr fontId="225" type="noConversion"/>
  </si>
  <si>
    <t>城镇住宅用地</t>
    <phoneticPr fontId="225" type="noConversion"/>
  </si>
  <si>
    <t>终止日期</t>
    <phoneticPr fontId="225" type="noConversion"/>
  </si>
  <si>
    <t>1#</t>
    <phoneticPr fontId="225" type="noConversion"/>
  </si>
  <si>
    <t>2#</t>
  </si>
  <si>
    <t>2#</t>
    <phoneticPr fontId="225" type="noConversion"/>
  </si>
  <si>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</si>
  <si>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</si>
  <si>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</si>
  <si>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</si>
  <si>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</si>
  <si>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</si>
  <si>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</si>
  <si>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</si>
  <si>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</si>
  <si>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</si>
  <si>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</si>
  <si>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</si>
  <si>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</si>
  <si>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</si>
  <si>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</si>
  <si>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</si>
  <si>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</si>
  <si>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</si>
  <si>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</si>
  <si>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</si>
  <si>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</si>
  <si>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</si>
  <si>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</si>
  <si>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</si>
  <si>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</si>
  <si>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</si>
  <si>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</si>
  <si>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</si>
  <si>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</si>
  <si>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</si>
  <si>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</si>
  <si>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</si>
  <si>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</si>
  <si>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</si>
  <si>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</si>
  <si>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</si>
  <si>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</si>
  <si>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</si>
  <si>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</si>
  <si>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</si>
  <si>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</si>
  <si>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</si>
  <si>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</si>
  <si>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</si>
  <si>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</si>
  <si>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</si>
  <si>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</si>
  <si>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</si>
  <si>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</si>
  <si>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</si>
  <si>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</si>
  <si>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</si>
  <si>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</si>
  <si>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</si>
  <si>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</si>
  <si>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</si>
  <si>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地上</t>
  </si>
  <si>
    <t>地上</t>
    <phoneticPr fontId="225" type="noConversion"/>
  </si>
  <si>
    <t>地下</t>
  </si>
  <si>
    <t>地下</t>
    <phoneticPr fontId="225" type="noConversion"/>
  </si>
  <si>
    <t>地上楼层</t>
    <phoneticPr fontId="225" type="noConversion"/>
  </si>
  <si>
    <t>地下楼层</t>
    <phoneticPr fontId="225" type="noConversion"/>
  </si>
  <si>
    <t>合计</t>
    <phoneticPr fontId="225" type="noConversion"/>
  </si>
  <si>
    <t>59#</t>
  </si>
  <si>
    <t>60#</t>
  </si>
  <si>
    <t>61#</t>
  </si>
  <si>
    <t>62#</t>
  </si>
  <si>
    <t>63#</t>
  </si>
  <si>
    <t>64#</t>
  </si>
  <si>
    <t>65#</t>
  </si>
  <si>
    <t>地下室</t>
    <phoneticPr fontId="225" type="noConversion"/>
  </si>
  <si>
    <t>门楼</t>
    <phoneticPr fontId="225" type="noConversion"/>
  </si>
  <si>
    <t>配电房</t>
    <phoneticPr fontId="225" type="noConversion"/>
  </si>
  <si>
    <t>海口市国用（2013）第000969号</t>
    <phoneticPr fontId="225" type="noConversion"/>
  </si>
  <si>
    <t>A0102（0103）</t>
    <phoneticPr fontId="225" type="noConversion"/>
  </si>
  <si>
    <t>A0301（0202)</t>
    <phoneticPr fontId="225" type="noConversion"/>
  </si>
  <si>
    <t>A0301</t>
    <phoneticPr fontId="225" type="noConversion"/>
  </si>
  <si>
    <t>52#配电房</t>
    <phoneticPr fontId="225" type="noConversion"/>
  </si>
  <si>
    <t>53#门楼</t>
    <phoneticPr fontId="225" type="noConversion"/>
  </si>
  <si>
    <t>容积率</t>
    <phoneticPr fontId="225" type="noConversion"/>
  </si>
  <si>
    <t>计容面积（㎡）</t>
    <phoneticPr fontId="225" type="noConversion"/>
  </si>
  <si>
    <t>预估价格（万元）</t>
    <phoneticPr fontId="225" type="noConversion"/>
  </si>
  <si>
    <t>阅海台</t>
    <phoneticPr fontId="280" type="noConversion"/>
  </si>
  <si>
    <t>逸璟台</t>
    <phoneticPr fontId="280" type="noConversion"/>
  </si>
  <si>
    <t>分摊土地成本
（元）</t>
    <phoneticPr fontId="225" type="noConversion"/>
  </si>
  <si>
    <t>项目案名</t>
    <phoneticPr fontId="225" type="noConversion"/>
  </si>
  <si>
    <t>否</t>
  </si>
  <si>
    <t>预计洋房售价</t>
    <phoneticPr fontId="225" type="noConversion"/>
  </si>
  <si>
    <t>预计车位售价</t>
    <phoneticPr fontId="225" type="noConversion"/>
  </si>
  <si>
    <t>10万/个</t>
    <phoneticPr fontId="225" type="noConversion"/>
  </si>
  <si>
    <t>洋房</t>
  </si>
  <si>
    <t>车库</t>
  </si>
  <si>
    <t>洋房</t>
    <phoneticPr fontId="7" type="noConversion"/>
  </si>
  <si>
    <t>地下车库</t>
    <phoneticPr fontId="7" type="noConversion"/>
  </si>
  <si>
    <t>海口市新埠岛开发建设总公司</t>
    <phoneticPr fontId="225" type="noConversion"/>
  </si>
  <si>
    <t>海口市新埠岛</t>
    <phoneticPr fontId="6" type="noConversion"/>
  </si>
  <si>
    <t>海南省</t>
    <phoneticPr fontId="6" type="noConversion"/>
  </si>
  <si>
    <t>出让</t>
  </si>
  <si>
    <t>居住项目</t>
  </si>
  <si>
    <t>场地平整</t>
  </si>
  <si>
    <t>平整</t>
  </si>
  <si>
    <t>海口</t>
    <phoneticPr fontId="3" type="noConversion"/>
  </si>
  <si>
    <t>利息：取LPR加浮动点数</t>
  </si>
  <si>
    <t>工程进度</t>
  </si>
  <si>
    <t>售价</t>
  </si>
  <si>
    <t>碧桂园中央半岛</t>
    <phoneticPr fontId="3" type="noConversion"/>
  </si>
  <si>
    <t>新埠岛</t>
    <phoneticPr fontId="3" type="noConversion"/>
  </si>
  <si>
    <t>正常</t>
  </si>
  <si>
    <t>车库</t>
    <phoneticPr fontId="27" type="noConversion"/>
  </si>
  <si>
    <t>30-40（含）</t>
  </si>
  <si>
    <t>一般</t>
  </si>
  <si>
    <t>六通</t>
  </si>
  <si>
    <t>地下</t>
    <phoneticPr fontId="27" type="noConversion"/>
  </si>
  <si>
    <t>元/车位</t>
  </si>
  <si>
    <t>广物·海南之心</t>
    <phoneticPr fontId="3" type="noConversion"/>
  </si>
  <si>
    <t>广物·滨海国际</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</si>
  <si>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</si>
  <si>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</si>
  <si>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</si>
  <si>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</si>
  <si>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</si>
  <si>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</si>
  <si>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钢混</t>
  </si>
  <si>
    <t>钢混</t>
    <phoneticPr fontId="21" type="noConversion"/>
  </si>
  <si>
    <t>高档</t>
  </si>
  <si>
    <t>高档</t>
    <phoneticPr fontId="21" type="noConversion"/>
  </si>
  <si>
    <t>专业</t>
  </si>
  <si>
    <t>专业</t>
    <phoneticPr fontId="21" type="noConversion"/>
  </si>
  <si>
    <t>平层</t>
  </si>
  <si>
    <t>平层</t>
    <phoneticPr fontId="21" type="noConversion"/>
  </si>
  <si>
    <t>较好</t>
  </si>
  <si>
    <t>住宅</t>
    <phoneticPr fontId="21" type="noConversion"/>
  </si>
  <si>
    <t>50-60（含）</t>
  </si>
  <si>
    <t>60-70（含）</t>
  </si>
  <si>
    <t>地块名称</t>
  </si>
  <si>
    <t>城市</t>
  </si>
  <si>
    <t>省份</t>
  </si>
  <si>
    <t>地块编号</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</si>
  <si>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</si>
  <si>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</si>
  <si>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</si>
  <si>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</si>
  <si>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</si>
  <si>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</si>
  <si>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</si>
  <si>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</si>
  <si>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</si>
  <si>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</si>
  <si>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</si>
  <si>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</si>
  <si>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</si>
  <si>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</si>
  <si>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</si>
  <si>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</si>
  <si>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</si>
  <si>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</si>
  <si>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</si>
  <si>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</si>
  <si>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</si>
  <si>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</si>
  <si>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</si>
  <si>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</si>
  <si>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</si>
  <si>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</si>
  <si>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</si>
  <si>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</si>
  <si>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</si>
  <si>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</si>
  <si>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</si>
  <si>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</si>
  <si>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</si>
  <si>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</si>
  <si>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</si>
  <si>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</si>
  <si>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</si>
  <si>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</si>
  <si>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</si>
  <si>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</si>
  <si>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</si>
  <si>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</si>
  <si>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</si>
  <si>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</si>
  <si>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海口市</t>
  </si>
  <si>
    <t xml:space="preserve"> 海南省</t>
  </si>
  <si>
    <t xml:space="preserve"> 美兰区</t>
  </si>
  <si>
    <t xml:space="preserve"> 海甸岛北片区</t>
  </si>
  <si>
    <t xml:space="preserve"> 住宅用地</t>
  </si>
  <si>
    <t xml:space="preserve"> 挂牌</t>
  </si>
  <si>
    <t xml:space="preserve"> 城镇住宅-普通商品住房用地</t>
  </si>
  <si>
    <t xml:space="preserve">-- </t>
  </si>
  <si>
    <t xml:space="preserve"> -- </t>
  </si>
  <si>
    <t xml:space="preserve"> 小于或等于35</t>
  </si>
  <si>
    <t xml:space="preserve"> 50.0</t>
  </si>
  <si>
    <t xml:space="preserve"> --</t>
  </si>
  <si>
    <t xml:space="preserve"> 2021-12-17</t>
  </si>
  <si>
    <t xml:space="preserve"> 2022-01-10</t>
  </si>
  <si>
    <t xml:space="preserve"> 2022-01-20</t>
  </si>
  <si>
    <t xml:space="preserve"> 已成交</t>
  </si>
  <si>
    <t xml:space="preserve"> 10922.92</t>
  </si>
  <si>
    <t xml:space="preserve"> 10922.92 </t>
  </si>
  <si>
    <t xml:space="preserve"> 2022-01-18 16:00</t>
  </si>
  <si>
    <t xml:space="preserve"> 12561.36</t>
  </si>
  <si>
    <t xml:space="preserve"> 1200.00</t>
  </si>
  <si>
    <t xml:space="preserve"> 1380.00</t>
  </si>
  <si>
    <t xml:space="preserve"> 9000</t>
  </si>
  <si>
    <t xml:space="preserve"> 15.00</t>
  </si>
  <si>
    <t xml:space="preserve"> 70年</t>
  </si>
  <si>
    <t xml:space="preserve">海口市江东新区JDZH-02-A09-2地块   </t>
  </si>
  <si>
    <t xml:space="preserve"> 海口市市江东新区JDZH-02-A09-2地块</t>
  </si>
  <si>
    <t xml:space="preserve"> 桂林洋片区</t>
  </si>
  <si>
    <t xml:space="preserve"> 海口市江东新区JDZH-02-A09-2地块</t>
  </si>
  <si>
    <t xml:space="preserve"> 12701.71</t>
  </si>
  <si>
    <t xml:space="preserve"> 31754.27</t>
  </si>
  <si>
    <t xml:space="preserve"> 大于或等于1并且小于或等于2.5</t>
  </si>
  <si>
    <t xml:space="preserve"> 小于或等于30</t>
  </si>
  <si>
    <t xml:space="preserve"> 45.0</t>
  </si>
  <si>
    <t xml:space="preserve"> 2021-11-23</t>
  </si>
  <si>
    <t xml:space="preserve"> 2021-12-13</t>
  </si>
  <si>
    <t xml:space="preserve"> 2021-12-24</t>
  </si>
  <si>
    <t xml:space="preserve"> 网挂【2021】081[2021]81号</t>
  </si>
  <si>
    <t xml:space="preserve"> 海口江东新区安居置业有限公司  </t>
  </si>
  <si>
    <t xml:space="preserve"> 海口江东新区安居置业有限公司</t>
  </si>
  <si>
    <t xml:space="preserve"> 10899.34</t>
  </si>
  <si>
    <t xml:space="preserve"> 6539.60 </t>
  </si>
  <si>
    <t xml:space="preserve"> 2021-12-22 16:00</t>
  </si>
  <si>
    <t xml:space="preserve"> 572.07</t>
  </si>
  <si>
    <t xml:space="preserve"> 3432</t>
  </si>
  <si>
    <t xml:space="preserve"> 0.00</t>
  </si>
  <si>
    <t xml:space="preserve">海口市江东新区白驹大道南侧   </t>
  </si>
  <si>
    <t xml:space="preserve"> 海口市江东新区JDZH-02-C02地块</t>
  </si>
  <si>
    <t xml:space="preserve"> 海口市江东新区白驹大道南侧</t>
  </si>
  <si>
    <t xml:space="preserve"> 21340.38</t>
  </si>
  <si>
    <t xml:space="preserve"> 53350.95</t>
  </si>
  <si>
    <t xml:space="preserve"> 小于或等于40</t>
  </si>
  <si>
    <t xml:space="preserve"> 网挂【2021】080[2021]80号</t>
  </si>
  <si>
    <t xml:space="preserve"> 22543.98</t>
  </si>
  <si>
    <t xml:space="preserve"> 13526.39 </t>
  </si>
  <si>
    <t xml:space="preserve"> 704.27</t>
  </si>
  <si>
    <t xml:space="preserve"> 4226</t>
  </si>
  <si>
    <t xml:space="preserve">海口市江东新区国际高教科研团   </t>
  </si>
  <si>
    <t xml:space="preserve"> 海口市江东新区JDGJ-03-B16地块</t>
  </si>
  <si>
    <t xml:space="preserve"> 东海岸片区</t>
  </si>
  <si>
    <t xml:space="preserve"> 海口市江东新区国际高教科研团</t>
  </si>
  <si>
    <t xml:space="preserve"> 综合用地(含住宅)</t>
  </si>
  <si>
    <t xml:space="preserve"> 15961.49</t>
  </si>
  <si>
    <t xml:space="preserve"> 63845.96</t>
  </si>
  <si>
    <t xml:space="preserve"> 大于或等于1并且小于或等于4</t>
  </si>
  <si>
    <t xml:space="preserve"> 城镇住宅-租赁型商品住房用地</t>
  </si>
  <si>
    <t xml:space="preserve"> 20.00 </t>
  </si>
  <si>
    <t xml:space="preserve"> 小于或等于45</t>
  </si>
  <si>
    <t xml:space="preserve"> 80.0</t>
  </si>
  <si>
    <t xml:space="preserve"> 2021-11-09</t>
  </si>
  <si>
    <t xml:space="preserve"> 2021-12-03</t>
  </si>
  <si>
    <t xml:space="preserve"> 2021-12-15</t>
  </si>
  <si>
    <t xml:space="preserve"> 网挂【2021】067[2021]67号</t>
  </si>
  <si>
    <t xml:space="preserve"> 海南鲁启产业投资有限公司  </t>
  </si>
  <si>
    <t xml:space="preserve"> 海南鲁启产业投资有限公司</t>
  </si>
  <si>
    <t xml:space="preserve"> 19792.25</t>
  </si>
  <si>
    <t xml:space="preserve"> 19792.25 </t>
  </si>
  <si>
    <t xml:space="preserve"> 2021-12-13 16:00</t>
  </si>
  <si>
    <t xml:space="preserve"> 826.67</t>
  </si>
  <si>
    <t xml:space="preserve"> 3100</t>
  </si>
  <si>
    <t xml:space="preserve">海口市江东新区滨海生态总部聚集中心(CBD)   </t>
  </si>
  <si>
    <t xml:space="preserve"> JDQB-B03-13~15地块</t>
  </si>
  <si>
    <t xml:space="preserve"> 海口市江东新区滨海生态总部聚集中心(CBD)</t>
  </si>
  <si>
    <t xml:space="preserve"> 7790.87</t>
  </si>
  <si>
    <t xml:space="preserve"> 17841.09</t>
  </si>
  <si>
    <t xml:space="preserve"> 大于或等于1并且小于或等于2.29</t>
  </si>
  <si>
    <t xml:space="preserve"> 1.00 </t>
  </si>
  <si>
    <t xml:space="preserve"> 小于或等于36.65</t>
  </si>
  <si>
    <t xml:space="preserve"> 40.0</t>
  </si>
  <si>
    <t xml:space="preserve"> 含租赁用地</t>
  </si>
  <si>
    <t xml:space="preserve"> 网挂【2021】065[2021]65号</t>
  </si>
  <si>
    <t xml:space="preserve"> 海南德璟置业投资有限公司  </t>
  </si>
  <si>
    <t xml:space="preserve"> 5396.29</t>
  </si>
  <si>
    <t xml:space="preserve"> 5396.29 </t>
  </si>
  <si>
    <t xml:space="preserve"> 461.76</t>
  </si>
  <si>
    <t xml:space="preserve"> 3025</t>
  </si>
  <si>
    <t xml:space="preserve"> JDQB-B03-06~08、10地块</t>
  </si>
  <si>
    <t xml:space="preserve"> 11516.27</t>
  </si>
  <si>
    <t xml:space="preserve"> 24921.21</t>
  </si>
  <si>
    <t xml:space="preserve"> 大于或等于1并且小于或等于2.164</t>
  </si>
  <si>
    <t xml:space="preserve"> 小于或等于34.62</t>
  </si>
  <si>
    <t xml:space="preserve"> 网挂【2021】068[2021]68号</t>
  </si>
  <si>
    <t xml:space="preserve"> 7665.69</t>
  </si>
  <si>
    <t xml:space="preserve"> 7665.69 </t>
  </si>
  <si>
    <t xml:space="preserve"> 443.76</t>
  </si>
  <si>
    <t xml:space="preserve"> 3076</t>
  </si>
  <si>
    <t xml:space="preserve"> JDGJ-03-B20地块</t>
  </si>
  <si>
    <t xml:space="preserve"> 14870.37</t>
  </si>
  <si>
    <t xml:space="preserve"> 44611.11</t>
  </si>
  <si>
    <t xml:space="preserve"> 大于或等于1并且小于或等于3</t>
  </si>
  <si>
    <t xml:space="preserve"> 60.0</t>
  </si>
  <si>
    <t xml:space="preserve"> 网挂【2021】066[2021]66号</t>
  </si>
  <si>
    <t xml:space="preserve"> 13829.44</t>
  </si>
  <si>
    <t xml:space="preserve"> 13829.44 </t>
  </si>
  <si>
    <t xml:space="preserve"> 620.00</t>
  </si>
  <si>
    <t xml:space="preserve">海口市江东新区   </t>
  </si>
  <si>
    <t xml:space="preserve"> 海口市江东新区安置房(地块8)项目</t>
  </si>
  <si>
    <t xml:space="preserve"> 海口市江东新区</t>
  </si>
  <si>
    <t xml:space="preserve"> 96071.65</t>
  </si>
  <si>
    <t xml:space="preserve"> 240179.13</t>
  </si>
  <si>
    <t xml:space="preserve"> 其中城镇住宅用地占比99.81%,零售商业用地占比0.19%</t>
  </si>
  <si>
    <t xml:space="preserve"> 0.19 </t>
  </si>
  <si>
    <t xml:space="preserve"> 小于或等于25</t>
  </si>
  <si>
    <t xml:space="preserve"> 小于或等于54</t>
  </si>
  <si>
    <t xml:space="preserve"> 2021-10-13</t>
  </si>
  <si>
    <t xml:space="preserve"> 2021-11-03</t>
  </si>
  <si>
    <t xml:space="preserve"> 2021-11-18</t>
  </si>
  <si>
    <t xml:space="preserve"> 49[2021]49号</t>
  </si>
  <si>
    <t xml:space="preserve"> 海口市江东新居第壹置业有限公司  </t>
  </si>
  <si>
    <t xml:space="preserve"> 海口江东新居第壹置业有限公司</t>
  </si>
  <si>
    <t xml:space="preserve"> 36483.60</t>
  </si>
  <si>
    <t xml:space="preserve"> 36483.60 </t>
  </si>
  <si>
    <t xml:space="preserve"> 2021-11-16 16:00</t>
  </si>
  <si>
    <t xml:space="preserve"> 253.17</t>
  </si>
  <si>
    <t xml:space="preserve"> 1519</t>
  </si>
  <si>
    <t xml:space="preserve"> 城镇住宅用地70年,零售商业用地40年</t>
  </si>
  <si>
    <t xml:space="preserve"> 海口市江东新区安置房(地块7)项目</t>
  </si>
  <si>
    <t xml:space="preserve"> 94812.29</t>
  </si>
  <si>
    <t xml:space="preserve"> 237030.73</t>
  </si>
  <si>
    <t xml:space="preserve"> 城镇住宅用地占比97.85%,零售商业用地占比2.15%</t>
  </si>
  <si>
    <t xml:space="preserve"> 2.15 </t>
  </si>
  <si>
    <t xml:space="preserve"> 网挂【2021】048[2021]48号</t>
  </si>
  <si>
    <t xml:space="preserve"> 35902.70</t>
  </si>
  <si>
    <t xml:space="preserve"> 35902.70 </t>
  </si>
  <si>
    <t xml:space="preserve"> 252.45</t>
  </si>
  <si>
    <t xml:space="preserve"> 1515</t>
  </si>
  <si>
    <t xml:space="preserve">海口市江东新区JDZH-02-A11地块   </t>
  </si>
  <si>
    <t xml:space="preserve"> 海口市江东新区安置房(地块4)项目</t>
  </si>
  <si>
    <t xml:space="preserve"> 海口市江东新区JDZH-02-A11地块</t>
  </si>
  <si>
    <t xml:space="preserve"> 18887.71</t>
  </si>
  <si>
    <t xml:space="preserve"> 56663.13</t>
  </si>
  <si>
    <t xml:space="preserve"> 0.00 </t>
  </si>
  <si>
    <t xml:space="preserve"> 小于或等于60</t>
  </si>
  <si>
    <t xml:space="preserve"> 含保障房用地</t>
  </si>
  <si>
    <t xml:space="preserve"> 定向安置房</t>
  </si>
  <si>
    <t xml:space="preserve"> 2021-09-01</t>
  </si>
  <si>
    <t xml:space="preserve"> 2021-09-23</t>
  </si>
  <si>
    <t xml:space="preserve"> 网挂【2021】028[2021]28号</t>
  </si>
  <si>
    <t xml:space="preserve"> 海口江东新居第贰置业有限公司  </t>
  </si>
  <si>
    <t xml:space="preserve"> 7488.00</t>
  </si>
  <si>
    <t xml:space="preserve"> 7488.00 </t>
  </si>
  <si>
    <t xml:space="preserve"> 2021-10-11 16:00</t>
  </si>
  <si>
    <t xml:space="preserve"> 264.30</t>
  </si>
  <si>
    <t xml:space="preserve"> 1321</t>
  </si>
  <si>
    <t xml:space="preserve">海口市江东新区JDZH-02-A04地块   </t>
  </si>
  <si>
    <t xml:space="preserve"> 海口市江东新区安置房(地块5)项目</t>
  </si>
  <si>
    <t xml:space="preserve"> 海口市江东新区JDZH-02-A04地块</t>
  </si>
  <si>
    <t xml:space="preserve"> 32826.97</t>
  </si>
  <si>
    <t xml:space="preserve"> 98480.91</t>
  </si>
  <si>
    <t xml:space="preserve"> 网挂【2021】029[2021]29号</t>
  </si>
  <si>
    <t xml:space="preserve"> 海口江东新居第贰置业</t>
  </si>
  <si>
    <t xml:space="preserve"> 13226.00</t>
  </si>
  <si>
    <t xml:space="preserve"> 13226.00 </t>
  </si>
  <si>
    <t xml:space="preserve"> 268.60</t>
  </si>
  <si>
    <t xml:space="preserve"> 1343</t>
  </si>
  <si>
    <t xml:space="preserve">海口市江东新区JDZH-03-A14地块    </t>
  </si>
  <si>
    <t xml:space="preserve"> JDZH-03-A14</t>
  </si>
  <si>
    <t xml:space="preserve"> 海口市江东新区JDZH-03-A14地块</t>
  </si>
  <si>
    <t xml:space="preserve"> 85327.88</t>
  </si>
  <si>
    <t xml:space="preserve"> 279875.45</t>
  </si>
  <si>
    <t xml:space="preserve"> 大于或等于1并且小于或等于3.28</t>
  </si>
  <si>
    <t xml:space="preserve"> 小于或等于80</t>
  </si>
  <si>
    <t xml:space="preserve"> 2021-04-25</t>
  </si>
  <si>
    <t xml:space="preserve"> 2021-05-16</t>
  </si>
  <si>
    <t xml:space="preserve"> 2021-05-28</t>
  </si>
  <si>
    <t xml:space="preserve"> 网挂【2021】16[2021]16号</t>
  </si>
  <si>
    <t xml:space="preserve"> 海南发展控股置业集团有限公司  </t>
  </si>
  <si>
    <t xml:space="preserve"> 海南发展</t>
  </si>
  <si>
    <t xml:space="preserve"> 50377.58</t>
  </si>
  <si>
    <t xml:space="preserve"> 50377.58 </t>
  </si>
  <si>
    <t xml:space="preserve"> 2021-05-26 16:00</t>
  </si>
  <si>
    <t xml:space="preserve"> 393.60</t>
  </si>
  <si>
    <t xml:space="preserve"> 1800</t>
  </si>
  <si>
    <t xml:space="preserve"> -1800</t>
  </si>
  <si>
    <t xml:space="preserve"> 海口市江东新区安置房(地块6)项目</t>
  </si>
  <si>
    <t xml:space="preserve"> 28126.80</t>
  </si>
  <si>
    <t xml:space="preserve"> 129383.28</t>
  </si>
  <si>
    <t xml:space="preserve"> 大于或等于1并且小于或等于4.6</t>
  </si>
  <si>
    <t xml:space="preserve"> 2021-04-20</t>
  </si>
  <si>
    <t xml:space="preserve"> 2021-05-11</t>
  </si>
  <si>
    <t xml:space="preserve"> 2021-05-21</t>
  </si>
  <si>
    <t xml:space="preserve"> 网挂【2021】12[2021]12号</t>
  </si>
  <si>
    <t xml:space="preserve"> 海口江东新居第壹置业有限公司  </t>
  </si>
  <si>
    <t xml:space="preserve"> 中国交建,交通银行</t>
  </si>
  <si>
    <t xml:space="preserve"> 14426.24</t>
  </si>
  <si>
    <t xml:space="preserve"> 14426.24 </t>
  </si>
  <si>
    <t xml:space="preserve"> 2021-05-19 16:00</t>
  </si>
  <si>
    <t xml:space="preserve"> 341.93</t>
  </si>
  <si>
    <t xml:space="preserve"> 1115</t>
  </si>
  <si>
    <t xml:space="preserve"> -1115</t>
  </si>
  <si>
    <t xml:space="preserve">海口市江东新区JDZH-03-A12地块  </t>
  </si>
  <si>
    <t xml:space="preserve"> JDZH-03-A12</t>
  </si>
  <si>
    <t xml:space="preserve"> 海口市江东新区JDZH-03-A12地块</t>
  </si>
  <si>
    <t xml:space="preserve"> 11819.34</t>
  </si>
  <si>
    <t xml:space="preserve"> 41367.69</t>
  </si>
  <si>
    <t xml:space="preserve"> 大于或等于1并且小于或等于3.5</t>
  </si>
  <si>
    <t xml:space="preserve"> 2021-04-07</t>
  </si>
  <si>
    <t xml:space="preserve"> 2021-04-29</t>
  </si>
  <si>
    <t xml:space="preserve"> 2021-05-12</t>
  </si>
  <si>
    <t xml:space="preserve"> 11[2021]11号</t>
  </si>
  <si>
    <t xml:space="preserve"> 7446.18</t>
  </si>
  <si>
    <t xml:space="preserve"> 7446.18 </t>
  </si>
  <si>
    <t xml:space="preserve"> 2021-05-10 16:00</t>
  </si>
  <si>
    <t xml:space="preserve"> 420.00</t>
  </si>
  <si>
    <t xml:space="preserve">海口江东新区起步区CBD(JDQB-A06-20、21、22)地块  </t>
  </si>
  <si>
    <t xml:space="preserve"> (JDQB-A06-20、21、22)</t>
  </si>
  <si>
    <t xml:space="preserve"> 海口江东新区起步区CBD(JDQB-A06-20、21、22)地块</t>
  </si>
  <si>
    <t xml:space="preserve"> 7430.19</t>
  </si>
  <si>
    <t xml:space="preserve"> 23776.61</t>
  </si>
  <si>
    <t xml:space="preserve"> 大于或等于1并且小于或等于3.2</t>
  </si>
  <si>
    <t xml:space="preserve"> 城镇住宅-租赁型商品住房、零售商业混合用地</t>
  </si>
  <si>
    <t xml:space="preserve"> 15.00 </t>
  </si>
  <si>
    <t xml:space="preserve"> 小于或等于36.5</t>
  </si>
  <si>
    <t xml:space="preserve"> 2021-04-02</t>
  </si>
  <si>
    <t xml:space="preserve"> 2021-04-23</t>
  </si>
  <si>
    <t xml:space="preserve"> 2021-05-08</t>
  </si>
  <si>
    <t xml:space="preserve"> 9[2021]9号</t>
  </si>
  <si>
    <t xml:space="preserve"> 河南鸿宝集团有限公司  </t>
  </si>
  <si>
    <t xml:space="preserve"> 8321.82</t>
  </si>
  <si>
    <t xml:space="preserve"> 8321.82 </t>
  </si>
  <si>
    <t xml:space="preserve"> 2021-05-06 16:00</t>
  </si>
  <si>
    <t xml:space="preserve"> 746.67</t>
  </si>
  <si>
    <t xml:space="preserve"> 3500</t>
  </si>
  <si>
    <t xml:space="preserve"> 住宅70年、商服40年</t>
  </si>
  <si>
    <t xml:space="preserve"> -3500</t>
  </si>
  <si>
    <t xml:space="preserve">海口市江东新区白驹大道北侧  </t>
  </si>
  <si>
    <t xml:space="preserve"> JDWH-06-E18</t>
  </si>
  <si>
    <t xml:space="preserve"> 海口市江东新区白驹大道北侧</t>
  </si>
  <si>
    <t xml:space="preserve"> 44105.37</t>
  </si>
  <si>
    <t xml:space="preserve"> 110263.43</t>
  </si>
  <si>
    <t xml:space="preserve"> 城镇住宅-经济适用住房用地</t>
  </si>
  <si>
    <t xml:space="preserve"> 10.00 </t>
  </si>
  <si>
    <t xml:space="preserve"> 2020-11-30</t>
  </si>
  <si>
    <t xml:space="preserve"> 2020-12-20</t>
  </si>
  <si>
    <t xml:space="preserve"> 2020-12-29</t>
  </si>
  <si>
    <t xml:space="preserve"> 69[2020]69号</t>
  </si>
  <si>
    <t xml:space="preserve"> 海南中交海投房地产开发有限公司  </t>
  </si>
  <si>
    <t xml:space="preserve"> 海口高新发展控股</t>
  </si>
  <si>
    <t xml:space="preserve"> 41900.10</t>
  </si>
  <si>
    <t xml:space="preserve"> 41900.10 </t>
  </si>
  <si>
    <t xml:space="preserve"> 2020-12-27 16:00</t>
  </si>
  <si>
    <t xml:space="preserve"> 42311.00</t>
  </si>
  <si>
    <t xml:space="preserve"> 633.33</t>
  </si>
  <si>
    <t xml:space="preserve"> 639.54</t>
  </si>
  <si>
    <t xml:space="preserve"> 3800</t>
  </si>
  <si>
    <t xml:space="preserve"> 3837</t>
  </si>
  <si>
    <t xml:space="preserve"> 0.98</t>
  </si>
  <si>
    <t xml:space="preserve">海口市江东新区北师大海口附属学校北侧   </t>
  </si>
  <si>
    <t xml:space="preserve"> 44</t>
  </si>
  <si>
    <t xml:space="preserve"> 江东东片区</t>
  </si>
  <si>
    <t xml:space="preserve"> 海口市江东新区北师大海口附属学校北侧</t>
  </si>
  <si>
    <t xml:space="preserve"> 62411.57</t>
  </si>
  <si>
    <t xml:space="preserve"> 187234.71</t>
  </si>
  <si>
    <t xml:space="preserve"> ≥1.0,≤3.0</t>
  </si>
  <si>
    <t xml:space="preserve"> 城镇住宅用地和零售商业用地混合用地</t>
  </si>
  <si>
    <t xml:space="preserve"> 1.30 </t>
  </si>
  <si>
    <t xml:space="preserve"> ≤25%</t>
  </si>
  <si>
    <t xml:space="preserve"> ≤60米</t>
  </si>
  <si>
    <t xml:space="preserve"> 2020-09-25</t>
  </si>
  <si>
    <t xml:space="preserve"> 2020-10-16</t>
  </si>
  <si>
    <t xml:space="preserve"> 2020-10-28</t>
  </si>
  <si>
    <t xml:space="preserve"> 2020-10-29</t>
  </si>
  <si>
    <t xml:space="preserve"> 44[2020]44号</t>
  </si>
  <si>
    <t xml:space="preserve"> 海口市美兰区招商建设投资有限公司  </t>
  </si>
  <si>
    <t xml:space="preserve"> 美兰招商</t>
  </si>
  <si>
    <t xml:space="preserve"> 24522.13</t>
  </si>
  <si>
    <t xml:space="preserve"> 24522.13 </t>
  </si>
  <si>
    <t xml:space="preserve"> 2020-10-26 16:00</t>
  </si>
  <si>
    <t xml:space="preserve"> 261.94</t>
  </si>
  <si>
    <t xml:space="preserve"> 1310</t>
  </si>
  <si>
    <t xml:space="preserve"> 城镇住宅70年、零售商业用地40年</t>
  </si>
  <si>
    <t xml:space="preserve"> -1310</t>
  </si>
  <si>
    <t xml:space="preserve">海口市美兰区演丰镇东寨港大道东侧  </t>
  </si>
  <si>
    <t xml:space="preserve"> 海口江东新区临空经济区安置房项目(一期)</t>
  </si>
  <si>
    <t xml:space="preserve"> 东寨港片区</t>
  </si>
  <si>
    <t xml:space="preserve"> 海口市美兰区演丰镇东寨港大道东侧</t>
  </si>
  <si>
    <t xml:space="preserve"> 188098.31</t>
  </si>
  <si>
    <t xml:space="preserve"> 338576.96</t>
  </si>
  <si>
    <t xml:space="preserve"> 大于或等于1并且小于或等于1.8</t>
  </si>
  <si>
    <t xml:space="preserve"> 居住商业混合用地</t>
  </si>
  <si>
    <t xml:space="preserve"> 7.60 </t>
  </si>
  <si>
    <t xml:space="preserve"> 小于或等于59.6</t>
  </si>
  <si>
    <t xml:space="preserve"> 2020-05-16</t>
  </si>
  <si>
    <t xml:space="preserve"> 2020-06-07</t>
  </si>
  <si>
    <t xml:space="preserve"> 2020-06-19</t>
  </si>
  <si>
    <t xml:space="preserve"> 11[2020]11号</t>
  </si>
  <si>
    <t xml:space="preserve"> 57876.35</t>
  </si>
  <si>
    <t xml:space="preserve"> 57876.35 </t>
  </si>
  <si>
    <t xml:space="preserve"> 2020-06-17 16:00</t>
  </si>
  <si>
    <t xml:space="preserve"> 205.13</t>
  </si>
  <si>
    <t xml:space="preserve"> 1709</t>
  </si>
  <si>
    <t xml:space="preserve"> 住宅70年、商业40年</t>
  </si>
  <si>
    <t xml:space="preserve">美兰区灵山旧改东片区  </t>
  </si>
  <si>
    <t xml:space="preserve"> A-12</t>
  </si>
  <si>
    <t xml:space="preserve"> 灵山片区</t>
  </si>
  <si>
    <t xml:space="preserve"> 美兰区灵山旧改东片区</t>
  </si>
  <si>
    <t xml:space="preserve"> 54790.46</t>
  </si>
  <si>
    <t xml:space="preserve"> 164371.38</t>
  </si>
  <si>
    <t xml:space="preserve"> 城镇住宅、零售商业用地</t>
  </si>
  <si>
    <t xml:space="preserve"> 2019-11-15</t>
  </si>
  <si>
    <t xml:space="preserve"> 2019-12-08</t>
  </si>
  <si>
    <t xml:space="preserve"> 2019-12-18</t>
  </si>
  <si>
    <t xml:space="preserve"> 66[2019]66号</t>
  </si>
  <si>
    <t xml:space="preserve"> 绿地控股集团有限公司  </t>
  </si>
  <si>
    <t xml:space="preserve"> 绿地控股</t>
  </si>
  <si>
    <t xml:space="preserve"> 14727.70</t>
  </si>
  <si>
    <t xml:space="preserve"> 8839.89 </t>
  </si>
  <si>
    <t xml:space="preserve"> 2019-12-16 16:00</t>
  </si>
  <si>
    <t xml:space="preserve"> 14744.11</t>
  </si>
  <si>
    <t xml:space="preserve"> 179.20</t>
  </si>
  <si>
    <t xml:space="preserve"> 179.40</t>
  </si>
  <si>
    <t xml:space="preserve"> 896</t>
  </si>
  <si>
    <t xml:space="preserve"> 897</t>
  </si>
  <si>
    <t xml:space="preserve"> 0.11</t>
  </si>
  <si>
    <t xml:space="preserve"> 城镇住宅70年、零售商业40年</t>
  </si>
  <si>
    <t xml:space="preserve">美兰区灵山旧改西片区  </t>
  </si>
  <si>
    <t xml:space="preserve"> 9-11</t>
  </si>
  <si>
    <t xml:space="preserve"> 美兰区灵山旧改西片区</t>
  </si>
  <si>
    <t xml:space="preserve"> 47874.05</t>
  </si>
  <si>
    <t xml:space="preserve"> 132611.12</t>
  </si>
  <si>
    <t xml:space="preserve"> 大于或等于1并且小于或等于2.77</t>
  </si>
  <si>
    <t xml:space="preserve"> 12823.50</t>
  </si>
  <si>
    <t xml:space="preserve"> 7692.40 </t>
  </si>
  <si>
    <t xml:space="preserve"> 12836.76</t>
  </si>
  <si>
    <t xml:space="preserve"> 178.57</t>
  </si>
  <si>
    <t xml:space="preserve"> 178.76</t>
  </si>
  <si>
    <t xml:space="preserve"> 967</t>
  </si>
  <si>
    <t xml:space="preserve"> 968</t>
  </si>
  <si>
    <t xml:space="preserve"> 0.10</t>
  </si>
  <si>
    <t xml:space="preserve"> A-13</t>
  </si>
  <si>
    <t xml:space="preserve"> 52685.71</t>
  </si>
  <si>
    <t xml:space="preserve"> 158057.13</t>
  </si>
  <si>
    <t xml:space="preserve"> 13956.40</t>
  </si>
  <si>
    <t xml:space="preserve"> 8373.87 </t>
  </si>
  <si>
    <t xml:space="preserve"> 13972.25</t>
  </si>
  <si>
    <t xml:space="preserve"> 176.60</t>
  </si>
  <si>
    <t xml:space="preserve"> 176.80</t>
  </si>
  <si>
    <t xml:space="preserve"> 883</t>
  </si>
  <si>
    <t xml:space="preserve"> 884</t>
  </si>
  <si>
    <t xml:space="preserve">江东新区国际社区西侧地块一  </t>
  </si>
  <si>
    <t xml:space="preserve"> 地块一</t>
  </si>
  <si>
    <t xml:space="preserve"> 江东新区国际社区西侧地块一</t>
  </si>
  <si>
    <t xml:space="preserve"> 96451.57</t>
  </si>
  <si>
    <t xml:space="preserve"> 154322.51</t>
  </si>
  <si>
    <t xml:space="preserve"> ≤1.6</t>
  </si>
  <si>
    <t xml:space="preserve"> 城镇住宅用地(含零售商业用地)</t>
  </si>
  <si>
    <t xml:space="preserve"> 5.00 </t>
  </si>
  <si>
    <t xml:space="preserve"> ≤35%</t>
  </si>
  <si>
    <t xml:space="preserve"> ≤70米</t>
  </si>
  <si>
    <t xml:space="preserve"> 2019-10-23</t>
  </si>
  <si>
    <t xml:space="preserve"> 2019-11-14</t>
  </si>
  <si>
    <t xml:space="preserve"> 2019-11-27</t>
  </si>
  <si>
    <t xml:space="preserve"> (2019)第61号-1</t>
  </si>
  <si>
    <t xml:space="preserve"> 海南麓华商旅发展有限公司  </t>
  </si>
  <si>
    <t xml:space="preserve"> 96692.70</t>
  </si>
  <si>
    <t xml:space="preserve"> 96692.00 </t>
  </si>
  <si>
    <t xml:space="preserve"> 668.33</t>
  </si>
  <si>
    <t xml:space="preserve"> 6266</t>
  </si>
  <si>
    <t xml:space="preserve">江东新区国际社区东侧  </t>
  </si>
  <si>
    <t xml:space="preserve"> 62</t>
  </si>
  <si>
    <t xml:space="preserve"> 江东新区国际社区东侧</t>
  </si>
  <si>
    <t xml:space="preserve"> 187536.10</t>
  </si>
  <si>
    <t xml:space="preserve"> 337564.98</t>
  </si>
  <si>
    <t xml:space="preserve"> ≤1.8</t>
  </si>
  <si>
    <t xml:space="preserve"> 6.00 </t>
  </si>
  <si>
    <t xml:space="preserve"> ≤45米(局部70米)</t>
  </si>
  <si>
    <t xml:space="preserve"> (2019)第62号</t>
  </si>
  <si>
    <t xml:space="preserve"> 兴恒(深圳)投资实业有限公司  </t>
  </si>
  <si>
    <t xml:space="preserve"> 仁恒置地</t>
  </si>
  <si>
    <t xml:space="preserve"> 203645.45</t>
  </si>
  <si>
    <t xml:space="preserve"> 203645.00 </t>
  </si>
  <si>
    <t xml:space="preserve"> 723.93</t>
  </si>
  <si>
    <t xml:space="preserve"> 6033</t>
  </si>
  <si>
    <t xml:space="preserve">江东新区国际社区西侧地块二  </t>
  </si>
  <si>
    <t xml:space="preserve"> 地块二</t>
  </si>
  <si>
    <t xml:space="preserve"> 江东新区国际社区西侧地块二</t>
  </si>
  <si>
    <t xml:space="preserve"> 115949.73</t>
  </si>
  <si>
    <t xml:space="preserve"> 208709.51</t>
  </si>
  <si>
    <t xml:space="preserve"> (2019)第61号-2</t>
  </si>
  <si>
    <t xml:space="preserve"> 125306.87</t>
  </si>
  <si>
    <t xml:space="preserve"> 125306.00 </t>
  </si>
  <si>
    <t xml:space="preserve"> 720.47</t>
  </si>
  <si>
    <t xml:space="preserve"> 6004</t>
  </si>
  <si>
    <t xml:space="preserve">市江东新区琼山大道西侧  </t>
  </si>
  <si>
    <t xml:space="preserve"> 46</t>
  </si>
  <si>
    <t xml:space="preserve"> 江东沿江片区</t>
  </si>
  <si>
    <t xml:space="preserve"> 市江东新区琼山大道西侧</t>
  </si>
  <si>
    <t xml:space="preserve"> 36586.46</t>
  </si>
  <si>
    <t xml:space="preserve"> 128052.61</t>
  </si>
  <si>
    <t xml:space="preserve"> 城镇住宅用地(其中城镇住宅85%,零售商业15%)</t>
  </si>
  <si>
    <t xml:space="preserve"> 小于或等于20</t>
  </si>
  <si>
    <t xml:space="preserve"> 2019-09-12</t>
  </si>
  <si>
    <t xml:space="preserve"> 2019-10-04</t>
  </si>
  <si>
    <t xml:space="preserve"> 2019-10-16</t>
  </si>
  <si>
    <t xml:space="preserve"> 46[2019]46号</t>
  </si>
  <si>
    <t xml:space="preserve"> 海口市美兰区招商投资有限公司  </t>
  </si>
  <si>
    <t xml:space="preserve"> 15494.37</t>
  </si>
  <si>
    <t xml:space="preserve"> 15494.37 </t>
  </si>
  <si>
    <t xml:space="preserve"> 2019-10-14 16:00</t>
  </si>
  <si>
    <t xml:space="preserve"> 15507.17</t>
  </si>
  <si>
    <t xml:space="preserve"> 282.33</t>
  </si>
  <si>
    <t xml:space="preserve"> 282.57</t>
  </si>
  <si>
    <t xml:space="preserve"> 1210</t>
  </si>
  <si>
    <t xml:space="preserve"> 1211</t>
  </si>
  <si>
    <t xml:space="preserve"> 0.08</t>
  </si>
  <si>
    <t xml:space="preserve">海口市美苑路以西、美祥路南侧  </t>
  </si>
  <si>
    <t xml:space="preserve"> C0503-2</t>
  </si>
  <si>
    <t xml:space="preserve"> 海口市美苑路以西、美祥路南侧</t>
  </si>
  <si>
    <t xml:space="preserve"> 8851.22</t>
  </si>
  <si>
    <t xml:space="preserve"> 37706.20</t>
  </si>
  <si>
    <t xml:space="preserve"> 大于或等于1并且小于或等于4.259</t>
  </si>
  <si>
    <t xml:space="preserve"> 城镇住宅用地、商业</t>
  </si>
  <si>
    <t xml:space="preserve"> 4.00 </t>
  </si>
  <si>
    <t xml:space="preserve"> 小于或等于29</t>
  </si>
  <si>
    <t xml:space="preserve"> 小于或等于100</t>
  </si>
  <si>
    <t xml:space="preserve"> 2019-06-21</t>
  </si>
  <si>
    <t xml:space="preserve"> 2019-07-12</t>
  </si>
  <si>
    <t xml:space="preserve"> 2019-07-24</t>
  </si>
  <si>
    <t xml:space="preserve"> 海口市自然资源和规划局国有土地使用权挂牌出让公告(29[2019]29号)</t>
  </si>
  <si>
    <t xml:space="preserve"> 山西建设发展有限公司  </t>
  </si>
  <si>
    <t xml:space="preserve"> 4248.49</t>
  </si>
  <si>
    <t xml:space="preserve"> 4248.59 </t>
  </si>
  <si>
    <t xml:space="preserve"> 2019-07-22 16:00</t>
  </si>
  <si>
    <t xml:space="preserve"> 319.99</t>
  </si>
  <si>
    <t xml:space="preserve"> 1127</t>
  </si>
  <si>
    <t xml:space="preserve"> 住宅70年 商业40年</t>
  </si>
  <si>
    <t xml:space="preserve">海口市美兰区滨江路南侧A0508-4地块  </t>
  </si>
  <si>
    <t xml:space="preserve"> A0508-4</t>
  </si>
  <si>
    <t xml:space="preserve"> 流水坡片区</t>
  </si>
  <si>
    <t xml:space="preserve"> 海口市美兰区滨江路南侧A0508-4地块</t>
  </si>
  <si>
    <t xml:space="preserve"> 4844.65</t>
  </si>
  <si>
    <t xml:space="preserve"> 16810.94</t>
  </si>
  <si>
    <t xml:space="preserve"> ≥1且≤3.47</t>
  </si>
  <si>
    <t xml:space="preserve"> 城镇住宅用地</t>
  </si>
  <si>
    <t xml:space="preserve"> ≤28%</t>
  </si>
  <si>
    <t xml:space="preserve"> ≤80米</t>
  </si>
  <si>
    <t xml:space="preserve"> 2019-01-15</t>
  </si>
  <si>
    <t xml:space="preserve"> 2019-02-08</t>
  </si>
  <si>
    <t xml:space="preserve"> 2019-02-21</t>
  </si>
  <si>
    <t xml:space="preserve"> 5[2019]5号</t>
  </si>
  <si>
    <t xml:space="preserve"> 海南积星房地产开发有限公司  </t>
  </si>
  <si>
    <t xml:space="preserve"> 1165.00</t>
  </si>
  <si>
    <t xml:space="preserve"> 1165.14 </t>
  </si>
  <si>
    <t xml:space="preserve"> 160.31</t>
  </si>
  <si>
    <t xml:space="preserve"> 693</t>
  </si>
  <si>
    <t xml:space="preserve">海口市美苑路以西、美祥路南侧,下洋瓦灶片区棚户区改造项目C0502地块  </t>
  </si>
  <si>
    <t xml:space="preserve"> 17</t>
  </si>
  <si>
    <t xml:space="preserve"> 海口市美苑路以西、美祥路南侧,下洋瓦灶片区棚户区改造项目C0502地块</t>
  </si>
  <si>
    <t xml:space="preserve"> 34448.11</t>
  </si>
  <si>
    <t xml:space="preserve"> 186502.10</t>
  </si>
  <si>
    <t xml:space="preserve"> ≥1且≤5.414</t>
  </si>
  <si>
    <t xml:space="preserve"> 其他普通商品住房用地</t>
  </si>
  <si>
    <t xml:space="preserve"> ≤30%</t>
  </si>
  <si>
    <t xml:space="preserve"> 2018-11-06</t>
  </si>
  <si>
    <t xml:space="preserve"> 2018-11-26</t>
  </si>
  <si>
    <t xml:space="preserve"> 2018-12-06</t>
  </si>
  <si>
    <t xml:space="preserve"> 17[2018]17号</t>
  </si>
  <si>
    <t xml:space="preserve"> 山西建投</t>
  </si>
  <si>
    <t xml:space="preserve"> 12066.68</t>
  </si>
  <si>
    <t xml:space="preserve"> 12000.00 </t>
  </si>
  <si>
    <t xml:space="preserve"> 39538.44</t>
  </si>
  <si>
    <t xml:space="preserve"> 233.52</t>
  </si>
  <si>
    <t xml:space="preserve"> 765.18</t>
  </si>
  <si>
    <t xml:space="preserve"> 647</t>
  </si>
  <si>
    <t xml:space="preserve"> 2120</t>
  </si>
  <si>
    <t xml:space="preserve"> 227.67</t>
  </si>
  <si>
    <t xml:space="preserve"> 住宅70年,商业40年</t>
  </si>
  <si>
    <t xml:space="preserve">海口市龙岐村  </t>
  </si>
  <si>
    <t xml:space="preserve"> 13</t>
  </si>
  <si>
    <t xml:space="preserve"> 东山镇</t>
  </si>
  <si>
    <t xml:space="preserve"> 海口市龙岐村</t>
  </si>
  <si>
    <t xml:space="preserve"> 9168.48</t>
  </si>
  <si>
    <t xml:space="preserve"> 45842.40</t>
  </si>
  <si>
    <t xml:space="preserve"> ≥1且≤5</t>
  </si>
  <si>
    <t xml:space="preserve"> 住宅、商业用地</t>
  </si>
  <si>
    <t xml:space="preserve"> ≤100米</t>
  </si>
  <si>
    <t xml:space="preserve"> 2018-10-17</t>
  </si>
  <si>
    <t xml:space="preserve"> 2018-11-16</t>
  </si>
  <si>
    <t xml:space="preserve"> 13[2018]13号</t>
  </si>
  <si>
    <t xml:space="preserve"> 中交第四公路工程局有限公司  </t>
  </si>
  <si>
    <t xml:space="preserve"> 中国交建</t>
  </si>
  <si>
    <t xml:space="preserve"> 5643.20</t>
  </si>
  <si>
    <t xml:space="preserve"> 5600.00 </t>
  </si>
  <si>
    <t xml:space="preserve"> 7706.10</t>
  </si>
  <si>
    <t xml:space="preserve"> 410.33</t>
  </si>
  <si>
    <t xml:space="preserve"> 560.33</t>
  </si>
  <si>
    <t xml:space="preserve"> 1231</t>
  </si>
  <si>
    <t xml:space="preserve"> 1681</t>
  </si>
  <si>
    <t xml:space="preserve"> 36.56</t>
  </si>
  <si>
    <t xml:space="preserve"> 城镇住宅70年,商业40年</t>
  </si>
  <si>
    <t xml:space="preserve">海口市滨江西路西侧白沙坊棚户区  </t>
  </si>
  <si>
    <t xml:space="preserve"> 15</t>
  </si>
  <si>
    <t xml:space="preserve"> 海口市滨江西路西侧白沙坊棚户区</t>
  </si>
  <si>
    <t xml:space="preserve"> 31473.12</t>
  </si>
  <si>
    <t xml:space="preserve"> 180026.30</t>
  </si>
  <si>
    <t xml:space="preserve"> ≥1且≤5.72</t>
  </si>
  <si>
    <t xml:space="preserve"> 二类居住兼容商业用地</t>
  </si>
  <si>
    <t xml:space="preserve"> 15[2018]15号</t>
  </si>
  <si>
    <t xml:space="preserve"> 11143.62</t>
  </si>
  <si>
    <t xml:space="preserve"> 11000.00 </t>
  </si>
  <si>
    <t xml:space="preserve"> 27526.01</t>
  </si>
  <si>
    <t xml:space="preserve"> 236.05</t>
  </si>
  <si>
    <t xml:space="preserve"> 583.06</t>
  </si>
  <si>
    <t xml:space="preserve"> 619</t>
  </si>
  <si>
    <t xml:space="preserve"> 1529</t>
  </si>
  <si>
    <t xml:space="preserve"> 147.01</t>
  </si>
  <si>
    <t xml:space="preserve"> 14</t>
  </si>
  <si>
    <t xml:space="preserve"> 老机场片区</t>
  </si>
  <si>
    <t xml:space="preserve"> 29223.83</t>
  </si>
  <si>
    <t xml:space="preserve"> 160731.10</t>
  </si>
  <si>
    <t xml:space="preserve"> ≥1且≤5.5</t>
  </si>
  <si>
    <t xml:space="preserve"> 14[2018]14号</t>
  </si>
  <si>
    <t xml:space="preserve"> 18451.93</t>
  </si>
  <si>
    <t xml:space="preserve"> 18500.00 </t>
  </si>
  <si>
    <t xml:space="preserve"> 25202.63</t>
  </si>
  <si>
    <t xml:space="preserve"> 420.93</t>
  </si>
  <si>
    <t xml:space="preserve"> 574.93</t>
  </si>
  <si>
    <t xml:space="preserve"> 1148</t>
  </si>
  <si>
    <t xml:space="preserve"> 1568</t>
  </si>
  <si>
    <t xml:space="preserve"> 36.59</t>
  </si>
  <si>
    <t xml:space="preserve">海口市江东组团白驹大道南侧E4002地块  </t>
  </si>
  <si>
    <t xml:space="preserve"> 10</t>
  </si>
  <si>
    <t xml:space="preserve"> 海口市江东组团白驹大道南侧E4002地块</t>
  </si>
  <si>
    <t xml:space="preserve"> 18626.39</t>
  </si>
  <si>
    <t xml:space="preserve"> 55879.17</t>
  </si>
  <si>
    <t xml:space="preserve"> ≥1且≤3</t>
  </si>
  <si>
    <t xml:space="preserve"> 拍卖</t>
  </si>
  <si>
    <t xml:space="preserve"> ≤20%</t>
  </si>
  <si>
    <t xml:space="preserve"> 2017-11-15</t>
  </si>
  <si>
    <t xml:space="preserve"> 2017-12-12</t>
  </si>
  <si>
    <t xml:space="preserve"> 10[2017]10号</t>
  </si>
  <si>
    <t xml:space="preserve"> 2624.46</t>
  </si>
  <si>
    <t xml:space="preserve"> 7873.38 </t>
  </si>
  <si>
    <t xml:space="preserve"> 7873.38</t>
  </si>
  <si>
    <t xml:space="preserve"> 93.93</t>
  </si>
  <si>
    <t xml:space="preserve"> 281.80</t>
  </si>
  <si>
    <t xml:space="preserve"> 470</t>
  </si>
  <si>
    <t xml:space="preserve"> 1409</t>
  </si>
  <si>
    <t xml:space="preserve"> 200.00</t>
  </si>
  <si>
    <t xml:space="preserve">海口市江东组团白驹大道南侧E4502地块  </t>
  </si>
  <si>
    <t xml:space="preserve"> 12</t>
  </si>
  <si>
    <t xml:space="preserve"> 海口市江东组团白驹大道南侧E4502地块</t>
  </si>
  <si>
    <t xml:space="preserve"> 132627.70</t>
  </si>
  <si>
    <t xml:space="preserve"> 344832.10</t>
  </si>
  <si>
    <t xml:space="preserve"> ≥1且≤2.6</t>
  </si>
  <si>
    <t xml:space="preserve"> ≤20 %</t>
  </si>
  <si>
    <t xml:space="preserve"> ≤80 米</t>
  </si>
  <si>
    <t xml:space="preserve"> 12[2017]12号</t>
  </si>
  <si>
    <t xml:space="preserve"> 50120.02 </t>
  </si>
  <si>
    <t xml:space="preserve"> 50121.34</t>
  </si>
  <si>
    <t xml:space="preserve"> 251.94</t>
  </si>
  <si>
    <t xml:space="preserve"> 1454</t>
  </si>
  <si>
    <t xml:space="preserve">海口市江东组团白驹大道南侧E4302地块  </t>
  </si>
  <si>
    <t xml:space="preserve"> 11</t>
  </si>
  <si>
    <t xml:space="preserve"> 海口市江东组团白驹大道南侧E4302地块</t>
  </si>
  <si>
    <t xml:space="preserve"> 32361.18</t>
  </si>
  <si>
    <t xml:space="preserve"> 84139.07</t>
  </si>
  <si>
    <t xml:space="preserve"> 11[2017]11号</t>
  </si>
  <si>
    <t xml:space="preserve"> 12226.05 </t>
  </si>
  <si>
    <t xml:space="preserve"> 12225.41</t>
  </si>
  <si>
    <t xml:space="preserve"> 251.85</t>
  </si>
  <si>
    <t xml:space="preserve"> 1453</t>
  </si>
  <si>
    <t xml:space="preserve">海口市白驹大道北侧  </t>
  </si>
  <si>
    <t xml:space="preserve"> 35</t>
  </si>
  <si>
    <t xml:space="preserve"> 海口市白驹大道北侧</t>
  </si>
  <si>
    <t xml:space="preserve"> 8000.48</t>
  </si>
  <si>
    <t xml:space="preserve"> 23201.39</t>
  </si>
  <si>
    <t xml:space="preserve"> ≥1且≤2.9</t>
  </si>
  <si>
    <t xml:space="preserve"> ≤15</t>
  </si>
  <si>
    <t xml:space="preserve"> ≤70</t>
  </si>
  <si>
    <t xml:space="preserve"> 2016-12-06</t>
  </si>
  <si>
    <t xml:space="preserve"> 2017-01-12</t>
  </si>
  <si>
    <t xml:space="preserve"> 35[2016]35号</t>
  </si>
  <si>
    <t xml:space="preserve"> 3100.19</t>
  </si>
  <si>
    <t xml:space="preserve"> 3100.19 </t>
  </si>
  <si>
    <t xml:space="preserve"> 3108.19</t>
  </si>
  <si>
    <t xml:space="preserve"> 258.33</t>
  </si>
  <si>
    <t xml:space="preserve"> 259.00</t>
  </si>
  <si>
    <t xml:space="preserve"> 1336</t>
  </si>
  <si>
    <t xml:space="preserve"> 1340</t>
  </si>
  <si>
    <t xml:space="preserve"> 0.26</t>
  </si>
  <si>
    <t xml:space="preserve">海口市灵山镇西片区  </t>
  </si>
  <si>
    <t xml:space="preserve"> A-01</t>
  </si>
  <si>
    <t xml:space="preserve"> 海口市灵山镇西片区</t>
  </si>
  <si>
    <t xml:space="preserve"> 43169.09</t>
  </si>
  <si>
    <t xml:space="preserve"> 107922.70</t>
  </si>
  <si>
    <t xml:space="preserve"> ≥1且≤2.5</t>
  </si>
  <si>
    <t xml:space="preserve"> ≤30</t>
  </si>
  <si>
    <t xml:space="preserve"> ≤50</t>
  </si>
  <si>
    <t xml:space="preserve"> 2016-12-02</t>
  </si>
  <si>
    <t xml:space="preserve"> 2016-12-28</t>
  </si>
  <si>
    <t xml:space="preserve"> 34[2016]34号-1</t>
  </si>
  <si>
    <t xml:space="preserve"> 海口绿地鸿翔置业有限公司  </t>
  </si>
  <si>
    <t xml:space="preserve"> 16650.32</t>
  </si>
  <si>
    <t xml:space="preserve"> 9990.19 </t>
  </si>
  <si>
    <t xml:space="preserve"> 16682.44</t>
  </si>
  <si>
    <t xml:space="preserve"> 257.13</t>
  </si>
  <si>
    <t xml:space="preserve"> 257.63</t>
  </si>
  <si>
    <t xml:space="preserve"> 1543</t>
  </si>
  <si>
    <t xml:space="preserve"> 1546</t>
  </si>
  <si>
    <t xml:space="preserve"> 0.19</t>
  </si>
  <si>
    <t xml:space="preserve"> 住宅70年商业40年</t>
  </si>
  <si>
    <t xml:space="preserve"> A-17</t>
  </si>
  <si>
    <t xml:space="preserve"> 53531.85</t>
  </si>
  <si>
    <t xml:space="preserve"> 133829.60</t>
  </si>
  <si>
    <t xml:space="preserve"> 34[2016]34号-3</t>
  </si>
  <si>
    <t xml:space="preserve"> 16923.61</t>
  </si>
  <si>
    <t xml:space="preserve"> 10154.17 </t>
  </si>
  <si>
    <t xml:space="preserve"> 16956.70</t>
  </si>
  <si>
    <t xml:space="preserve"> 210.76</t>
  </si>
  <si>
    <t xml:space="preserve"> 211.17</t>
  </si>
  <si>
    <t xml:space="preserve"> 1265</t>
  </si>
  <si>
    <t xml:space="preserve"> 1267</t>
  </si>
  <si>
    <t xml:space="preserve"> 0.20</t>
  </si>
  <si>
    <t xml:space="preserve"> A-10</t>
  </si>
  <si>
    <t xml:space="preserve"> 56832.42</t>
  </si>
  <si>
    <t xml:space="preserve"> 142081.00</t>
  </si>
  <si>
    <t xml:space="preserve"> 34[2016]34号-2</t>
  </si>
  <si>
    <t xml:space="preserve"> 17976.09</t>
  </si>
  <si>
    <t xml:space="preserve"> 10785.66 </t>
  </si>
  <si>
    <t xml:space="preserve"> 18010.88</t>
  </si>
  <si>
    <t xml:space="preserve"> 210.87</t>
  </si>
  <si>
    <t xml:space="preserve"> 211.27</t>
  </si>
  <si>
    <t xml:space="preserve"> 1268</t>
  </si>
  <si>
    <t xml:space="preserve">海口市灵山镇  </t>
  </si>
  <si>
    <t xml:space="preserve"> A-05</t>
  </si>
  <si>
    <t xml:space="preserve"> 海口市灵山镇</t>
  </si>
  <si>
    <t xml:space="preserve"> 10830.02</t>
  </si>
  <si>
    <t xml:space="preserve"> 27075.05</t>
  </si>
  <si>
    <t xml:space="preserve"> 城镇住宅用地(二类居住兼容商业用地)</t>
  </si>
  <si>
    <t xml:space="preserve"> 2016-12-27</t>
  </si>
  <si>
    <t xml:space="preserve"> 33[2016]33号-1</t>
  </si>
  <si>
    <t xml:space="preserve"> 3411.46</t>
  </si>
  <si>
    <t xml:space="preserve"> 3411.46 </t>
  </si>
  <si>
    <t xml:space="preserve"> 3467.12</t>
  </si>
  <si>
    <t xml:space="preserve"> 210.00</t>
  </si>
  <si>
    <t xml:space="preserve"> 213.43</t>
  </si>
  <si>
    <t xml:space="preserve"> 1260</t>
  </si>
  <si>
    <t xml:space="preserve"> 1281</t>
  </si>
  <si>
    <t xml:space="preserve"> 1.63</t>
  </si>
  <si>
    <t xml:space="preserve"> 住宅至2084年11月25日;商业40年</t>
  </si>
  <si>
    <t xml:space="preserve"> A-32</t>
  </si>
  <si>
    <t xml:space="preserve"> 28557.58</t>
  </si>
  <si>
    <t xml:space="preserve"> 71393.95</t>
  </si>
  <si>
    <t xml:space="preserve"> ≤25</t>
  </si>
  <si>
    <t xml:space="preserve"> 33[2016]33号-2</t>
  </si>
  <si>
    <t xml:space="preserve"> 8847.14</t>
  </si>
  <si>
    <t xml:space="preserve"> 8847.14 </t>
  </si>
  <si>
    <t xml:space="preserve"> 8991.48</t>
  </si>
  <si>
    <t xml:space="preserve"> 206.53</t>
  </si>
  <si>
    <t xml:space="preserve"> 209.90</t>
  </si>
  <si>
    <t xml:space="preserve"> 1239</t>
  </si>
  <si>
    <t xml:space="preserve"> 1259</t>
  </si>
  <si>
    <t xml:space="preserve">美苑路以西、美祥路以南,下洋瓦灶棚户区改造项目  </t>
  </si>
  <si>
    <t xml:space="preserve"> C0503-1、C0505-1</t>
  </si>
  <si>
    <t xml:space="preserve"> 下洋村片区</t>
  </si>
  <si>
    <t xml:space="preserve"> 美苑路以西、美祥路以南,下洋瓦灶棚户区改造项目</t>
  </si>
  <si>
    <t xml:space="preserve"> 22148.12</t>
  </si>
  <si>
    <t xml:space="preserve"> 139164.20</t>
  </si>
  <si>
    <t xml:space="preserve"> 地块一:≤5.9;地块二:≤6.9</t>
  </si>
  <si>
    <t xml:space="preserve"> 地块一:≤30;地块二:≤40</t>
  </si>
  <si>
    <t xml:space="preserve"> ≤100</t>
  </si>
  <si>
    <t xml:space="preserve"> 2016-10-14</t>
  </si>
  <si>
    <t xml:space="preserve"> 2016-11-07</t>
  </si>
  <si>
    <t xml:space="preserve"> 28[2016]28号</t>
  </si>
  <si>
    <t xml:space="preserve"> 23701.16</t>
  </si>
  <si>
    <t xml:space="preserve"> 23701.16 </t>
  </si>
  <si>
    <t xml:space="preserve"> 35000.00</t>
  </si>
  <si>
    <t xml:space="preserve"> 713.41</t>
  </si>
  <si>
    <t xml:space="preserve"> 1053.51</t>
  </si>
  <si>
    <t xml:space="preserve"> 1703</t>
  </si>
  <si>
    <t xml:space="preserve"> 2515</t>
  </si>
  <si>
    <t xml:space="preserve"> 47.67</t>
  </si>
  <si>
    <t xml:space="preserve">海口市海甸一西路南侧  </t>
  </si>
  <si>
    <t xml:space="preserve"> 19</t>
  </si>
  <si>
    <t xml:space="preserve"> 海甸岛南片区</t>
  </si>
  <si>
    <t xml:space="preserve"> 海口市海甸一西路南侧</t>
  </si>
  <si>
    <t xml:space="preserve"> 1729.00</t>
  </si>
  <si>
    <t xml:space="preserve"> 4322.50</t>
  </si>
  <si>
    <t xml:space="preserve"> 城镇住宅用地、商业用地</t>
  </si>
  <si>
    <t xml:space="preserve"> 15.70 </t>
  </si>
  <si>
    <t xml:space="preserve"> ≤96</t>
  </si>
  <si>
    <t xml:space="preserve"> 2016-07-22</t>
  </si>
  <si>
    <t xml:space="preserve"> 2016-08-16</t>
  </si>
  <si>
    <t xml:space="preserve"> 19[2016]19号</t>
  </si>
  <si>
    <t xml:space="preserve"> 海口新城水岸房地产开发有限公司  </t>
  </si>
  <si>
    <t xml:space="preserve"> 1251.29</t>
  </si>
  <si>
    <t xml:space="preserve"> 1251.29 </t>
  </si>
  <si>
    <t xml:space="preserve"> 1311.29</t>
  </si>
  <si>
    <t xml:space="preserve"> 482.47</t>
  </si>
  <si>
    <t xml:space="preserve"> 505.61</t>
  </si>
  <si>
    <t xml:space="preserve"> 2895</t>
  </si>
  <si>
    <t xml:space="preserve"> 3034</t>
  </si>
  <si>
    <t xml:space="preserve"> 4.80</t>
  </si>
  <si>
    <t xml:space="preserve">市海甸岛沿江二西路南侧  </t>
  </si>
  <si>
    <t xml:space="preserve"> 市海甸岛沿江二西路南侧</t>
  </si>
  <si>
    <t xml:space="preserve"> 310.25</t>
  </si>
  <si>
    <t xml:space="preserve"> 1085.88</t>
  </si>
  <si>
    <t xml:space="preserve"> ≥1且≤3.5</t>
  </si>
  <si>
    <t xml:space="preserve"> 2016-05-31</t>
  </si>
  <si>
    <t xml:space="preserve"> 2016-06-24</t>
  </si>
  <si>
    <t xml:space="preserve"> 14[2016]14号</t>
  </si>
  <si>
    <t xml:space="preserve"> 海南厚土实业有限公司  </t>
  </si>
  <si>
    <t xml:space="preserve"> 214.04</t>
  </si>
  <si>
    <t xml:space="preserve"> 214.04 </t>
  </si>
  <si>
    <t xml:space="preserve"> 214.07</t>
  </si>
  <si>
    <t xml:space="preserve"> 459.93</t>
  </si>
  <si>
    <t xml:space="preserve"> 459.99</t>
  </si>
  <si>
    <t xml:space="preserve"> 1971</t>
  </si>
  <si>
    <t xml:space="preserve"> 0.01</t>
  </si>
  <si>
    <t xml:space="preserve">市国兴大道北侧、美苑路东侧、省委办公区西侧  </t>
  </si>
  <si>
    <t xml:space="preserve"> 市国兴大道北侧、美苑路东侧、省委办公区西侧</t>
  </si>
  <si>
    <t xml:space="preserve"> 110915.80</t>
  </si>
  <si>
    <t xml:space="preserve"> 410331.90</t>
  </si>
  <si>
    <t xml:space="preserve"> ≤3.7</t>
  </si>
  <si>
    <t xml:space="preserve"> 城镇住宅、商服</t>
  </si>
  <si>
    <t xml:space="preserve"> ≤39</t>
  </si>
  <si>
    <t xml:space="preserve"> 2016-05-15</t>
  </si>
  <si>
    <t xml:space="preserve"> 2016-06-08</t>
  </si>
  <si>
    <t xml:space="preserve"> 11[2016]11号</t>
  </si>
  <si>
    <t xml:space="preserve"> 海南盛达房地产开发有限公司  </t>
  </si>
  <si>
    <t xml:space="preserve"> 71500.00</t>
  </si>
  <si>
    <t xml:space="preserve"> 200265.09 </t>
  </si>
  <si>
    <t xml:space="preserve"> 72000.00</t>
  </si>
  <si>
    <t xml:space="preserve"> 429.76</t>
  </si>
  <si>
    <t xml:space="preserve"> 432.76</t>
  </si>
  <si>
    <t xml:space="preserve"> 1742</t>
  </si>
  <si>
    <t xml:space="preserve"> 1755</t>
  </si>
  <si>
    <t xml:space="preserve"> 0.70</t>
  </si>
  <si>
    <t xml:space="preserve"> 14804.98</t>
  </si>
  <si>
    <t xml:space="preserve"> 22207.47</t>
  </si>
  <si>
    <t xml:space="preserve"> ≥1且≤1.5</t>
  </si>
  <si>
    <t xml:space="preserve"> 二类居住用地</t>
  </si>
  <si>
    <t xml:space="preserve"> ≤20</t>
  </si>
  <si>
    <t xml:space="preserve"> ≤36</t>
  </si>
  <si>
    <t xml:space="preserve"> 2016-02-06</t>
  </si>
  <si>
    <t xml:space="preserve"> 2016-03-10</t>
  </si>
  <si>
    <t xml:space="preserve"> 3[2016]3号-1</t>
  </si>
  <si>
    <t xml:space="preserve"> 5075.30</t>
  </si>
  <si>
    <t xml:space="preserve"> 5075.30 </t>
  </si>
  <si>
    <t xml:space="preserve"> 5076.78</t>
  </si>
  <si>
    <t xml:space="preserve"> 228.54</t>
  </si>
  <si>
    <t xml:space="preserve"> 228.61</t>
  </si>
  <si>
    <t xml:space="preserve"> 2285</t>
  </si>
  <si>
    <t xml:space="preserve"> 2286</t>
  </si>
  <si>
    <t xml:space="preserve"> 0.03</t>
  </si>
  <si>
    <t xml:space="preserve"> 18530.34</t>
  </si>
  <si>
    <t xml:space="preserve"> 34744.39</t>
  </si>
  <si>
    <t xml:space="preserve"> ≥1且≤1.875</t>
  </si>
  <si>
    <t xml:space="preserve"> 商住混合用地</t>
  </si>
  <si>
    <t xml:space="preserve"> 3[2016]3号-2</t>
  </si>
  <si>
    <t xml:space="preserve"> 7549.63</t>
  </si>
  <si>
    <t xml:space="preserve"> 7549.63 </t>
  </si>
  <si>
    <t xml:space="preserve"> 7551.48</t>
  </si>
  <si>
    <t xml:space="preserve"> 271.61</t>
  </si>
  <si>
    <t xml:space="preserve"> 271.68</t>
  </si>
  <si>
    <t xml:space="preserve"> 2173</t>
  </si>
  <si>
    <t xml:space="preserve"> 0.02</t>
  </si>
  <si>
    <t xml:space="preserve">灵山镇  </t>
  </si>
  <si>
    <t xml:space="preserve"> 21</t>
  </si>
  <si>
    <t xml:space="preserve"> 灵山镇</t>
  </si>
  <si>
    <t xml:space="preserve"> 47259.34</t>
  </si>
  <si>
    <t xml:space="preserve"> 118148.40</t>
  </si>
  <si>
    <t xml:space="preserve"> ≤2.5</t>
  </si>
  <si>
    <t xml:space="preserve"> 批发零售用地(含商务金融、住宿餐饮、其他商服)兼容城镇住宅</t>
  </si>
  <si>
    <t xml:space="preserve"> 65.00 </t>
  </si>
  <si>
    <t xml:space="preserve"> ≤45</t>
  </si>
  <si>
    <t xml:space="preserve"> ≤40</t>
  </si>
  <si>
    <t xml:space="preserve"> 2015-09-30</t>
  </si>
  <si>
    <t xml:space="preserve"> 2015-11-05</t>
  </si>
  <si>
    <t xml:space="preserve"> 21[2015]21号</t>
  </si>
  <si>
    <t xml:space="preserve"> 14461.36</t>
  </si>
  <si>
    <t xml:space="preserve"> 14461.36 </t>
  </si>
  <si>
    <t xml:space="preserve"> 14481.36</t>
  </si>
  <si>
    <t xml:space="preserve"> 204.00</t>
  </si>
  <si>
    <t xml:space="preserve"> 204.28</t>
  </si>
  <si>
    <t xml:space="preserve"> 1224</t>
  </si>
  <si>
    <t xml:space="preserve"> 1226</t>
  </si>
  <si>
    <t xml:space="preserve"> 0.14</t>
  </si>
  <si>
    <t xml:space="preserve"> 20</t>
  </si>
  <si>
    <t xml:space="preserve"> 65479.34</t>
  </si>
  <si>
    <t xml:space="preserve"> 163698.30</t>
  </si>
  <si>
    <t xml:space="preserve"> ≥1,≤2.5</t>
  </si>
  <si>
    <t xml:space="preserve"> 商住用地</t>
  </si>
  <si>
    <t xml:space="preserve"> 2015-11-04</t>
  </si>
  <si>
    <t xml:space="preserve"> 20[2015]20号</t>
  </si>
  <si>
    <t xml:space="preserve"> 20272.40</t>
  </si>
  <si>
    <t xml:space="preserve"> 20272.40 </t>
  </si>
  <si>
    <t xml:space="preserve"> 206.40</t>
  </si>
  <si>
    <t xml:space="preserve"> 1238</t>
  </si>
  <si>
    <t xml:space="preserve">海口市新大洲大道西侧  </t>
  </si>
  <si>
    <t xml:space="preserve"> 18</t>
  </si>
  <si>
    <t xml:space="preserve"> 海口市新大洲大道西侧</t>
  </si>
  <si>
    <t xml:space="preserve"> 17361.29</t>
  </si>
  <si>
    <t xml:space="preserve"> 48611.61</t>
  </si>
  <si>
    <t xml:space="preserve"> ≥1,≤2.8</t>
  </si>
  <si>
    <t xml:space="preserve"> ≤80</t>
  </si>
  <si>
    <t xml:space="preserve"> 2015-09-16</t>
  </si>
  <si>
    <t xml:space="preserve"> 2015-09-15</t>
  </si>
  <si>
    <t xml:space="preserve"> 2015-10-15</t>
  </si>
  <si>
    <t xml:space="preserve"> 18[2015]18号</t>
  </si>
  <si>
    <t xml:space="preserve"> 海南新业乐房地产开发有限公司  </t>
  </si>
  <si>
    <t xml:space="preserve"> 6307.36</t>
  </si>
  <si>
    <t xml:space="preserve"> 6307.36 </t>
  </si>
  <si>
    <t xml:space="preserve"> 6309.09</t>
  </si>
  <si>
    <t xml:space="preserve"> 242.20</t>
  </si>
  <si>
    <t xml:space="preserve"> 242.27</t>
  </si>
  <si>
    <t xml:space="preserve"> 1298</t>
  </si>
  <si>
    <t xml:space="preserve">海口市滨江西路南北两侧  </t>
  </si>
  <si>
    <t xml:space="preserve"> 2</t>
  </si>
  <si>
    <t xml:space="preserve"> 滨江西南片区</t>
  </si>
  <si>
    <t xml:space="preserve"> 海口市滨江西路南北两侧</t>
  </si>
  <si>
    <t xml:space="preserve"> 88.21</t>
  </si>
  <si>
    <t xml:space="preserve"> 220.52</t>
  </si>
  <si>
    <t xml:space="preserve"> ≤18</t>
  </si>
  <si>
    <t xml:space="preserve"> 2015-09-02</t>
  </si>
  <si>
    <t xml:space="preserve"> 2015-09-29</t>
  </si>
  <si>
    <t xml:space="preserve"> 16[2015]16号-2</t>
  </si>
  <si>
    <t xml:space="preserve"> 海口凯利盛房地产开发有限公司  </t>
  </si>
  <si>
    <t xml:space="preserve"> 37.31</t>
  </si>
  <si>
    <t xml:space="preserve"> 37.31 </t>
  </si>
  <si>
    <t xml:space="preserve"> 37.32</t>
  </si>
  <si>
    <t xml:space="preserve"> 281.98</t>
  </si>
  <si>
    <t xml:space="preserve"> 282.05</t>
  </si>
  <si>
    <t xml:space="preserve"> 1692</t>
  </si>
  <si>
    <t>拿地成本单价</t>
    <phoneticPr fontId="225" type="noConversion"/>
  </si>
  <si>
    <t>——</t>
    <phoneticPr fontId="225" type="noConversion"/>
  </si>
  <si>
    <t>C-7-6</t>
  </si>
  <si>
    <t>美兰区</t>
    <phoneticPr fontId="3" type="noConversion"/>
  </si>
  <si>
    <t>美兰区</t>
    <phoneticPr fontId="3" type="noConversion"/>
  </si>
  <si>
    <t>龙华区</t>
    <phoneticPr fontId="3" type="noConversion"/>
  </si>
  <si>
    <r>
      <rPr>
        <sz val="9"/>
        <color rgb="FFFF0000"/>
        <rFont val="Verdana"/>
        <family val="2"/>
      </rPr>
      <t>住宅用地</t>
    </r>
  </si>
  <si>
    <r>
      <rPr>
        <sz val="9"/>
        <color rgb="FFFF0000"/>
        <rFont val="Verdana"/>
        <family val="2"/>
      </rPr>
      <t>二类居住用地</t>
    </r>
  </si>
  <si>
    <r>
      <rPr>
        <sz val="9"/>
        <color rgb="FFFF0000"/>
        <rFont val="Verdana"/>
        <family val="2"/>
      </rPr>
      <t>龙华区金垦</t>
    </r>
    <r>
      <rPr>
        <sz val="9"/>
        <color rgb="FFFF0000"/>
        <rFont val="Arial"/>
        <family val="2"/>
      </rPr>
      <t>/</t>
    </r>
    <r>
      <rPr>
        <sz val="9"/>
        <color rgb="FFFF0000"/>
        <rFont val="Verdana"/>
        <family val="2"/>
      </rPr>
      <t>坡博片区</t>
    </r>
  </si>
  <si>
    <r>
      <rPr>
        <sz val="9"/>
        <color rgb="FFFF0000"/>
        <rFont val="Verdana"/>
        <family val="2"/>
      </rPr>
      <t>城镇住宅</t>
    </r>
    <r>
      <rPr>
        <sz val="9"/>
        <color rgb="FFFF0000"/>
        <rFont val="Arial"/>
        <family val="2"/>
      </rPr>
      <t>-</t>
    </r>
    <r>
      <rPr>
        <sz val="9"/>
        <color rgb="FFFF0000"/>
        <rFont val="Verdana"/>
        <family val="2"/>
      </rPr>
      <t>普通商品住房用地</t>
    </r>
  </si>
  <si>
    <r>
      <rPr>
        <sz val="9"/>
        <color rgb="FFFF0000"/>
        <rFont val="Verdana"/>
        <family val="2"/>
      </rPr>
      <t>大于或等于</t>
    </r>
    <r>
      <rPr>
        <sz val="9"/>
        <color rgb="FFFF0000"/>
        <rFont val="Arial"/>
        <family val="2"/>
      </rPr>
      <t>1</t>
    </r>
    <r>
      <rPr>
        <sz val="9"/>
        <color rgb="FFFF0000"/>
        <rFont val="Verdana"/>
        <family val="2"/>
      </rPr>
      <t>并且小于或等于</t>
    </r>
    <r>
      <rPr>
        <sz val="9"/>
        <color rgb="FFFF0000"/>
        <rFont val="Arial"/>
        <family val="2"/>
      </rPr>
      <t>3</t>
    </r>
  </si>
  <si>
    <r>
      <rPr>
        <sz val="10"/>
        <color rgb="FFFF0000"/>
        <rFont val="宋体"/>
        <family val="2"/>
      </rPr>
      <t>海口市龙华区金牛岭南侧</t>
    </r>
    <phoneticPr fontId="225" type="noConversion"/>
  </si>
  <si>
    <r>
      <rPr>
        <sz val="10"/>
        <color rgb="FFFF0000"/>
        <rFont val="宋体"/>
        <family val="2"/>
      </rPr>
      <t>海口市金牛岭片区</t>
    </r>
    <r>
      <rPr>
        <sz val="10"/>
        <color rgb="FFFF0000"/>
        <rFont val="Arial"/>
        <family val="2"/>
      </rPr>
      <t>B-1-54</t>
    </r>
    <r>
      <rPr>
        <sz val="10"/>
        <color rgb="FFFF0000"/>
        <rFont val="宋体"/>
        <family val="2"/>
      </rPr>
      <t>地块金垦</t>
    </r>
    <r>
      <rPr>
        <sz val="10"/>
        <color rgb="FFFF0000"/>
        <rFont val="Arial"/>
        <family val="2"/>
      </rPr>
      <t>/</t>
    </r>
    <r>
      <rPr>
        <sz val="10"/>
        <color rgb="FFFF0000"/>
        <rFont val="宋体"/>
        <family val="2"/>
      </rPr>
      <t>坡博片区</t>
    </r>
    <phoneticPr fontId="225" type="noConversion"/>
  </si>
  <si>
    <r>
      <t xml:space="preserve"> </t>
    </r>
    <r>
      <rPr>
        <sz val="10"/>
        <color rgb="FFFF0000"/>
        <rFont val="宋体"/>
        <family val="2"/>
      </rPr>
      <t>住宅用地</t>
    </r>
  </si>
  <si>
    <r>
      <rPr>
        <sz val="10"/>
        <color rgb="FFFF0000"/>
        <rFont val="宋体"/>
        <family val="2"/>
      </rPr>
      <t>大于或等于</t>
    </r>
    <r>
      <rPr>
        <sz val="10"/>
        <color rgb="FFFF0000"/>
        <rFont val="Arial"/>
        <family val="2"/>
      </rPr>
      <t>1</t>
    </r>
    <r>
      <rPr>
        <sz val="10"/>
        <color rgb="FFFF0000"/>
        <rFont val="宋体"/>
        <family val="2"/>
      </rPr>
      <t>并且小于或等于</t>
    </r>
    <r>
      <rPr>
        <sz val="10"/>
        <color rgb="FFFF0000"/>
        <rFont val="Arial"/>
        <family val="2"/>
      </rPr>
      <t>2.6</t>
    </r>
    <phoneticPr fontId="225" type="noConversion"/>
  </si>
  <si>
    <r>
      <rPr>
        <sz val="10"/>
        <color rgb="FFFF0000"/>
        <rFont val="宋体"/>
        <family val="2"/>
      </rPr>
      <t>海南吉祥置业有限公司</t>
    </r>
    <phoneticPr fontId="225" type="noConversion"/>
  </si>
  <si>
    <r>
      <t xml:space="preserve"> 70</t>
    </r>
    <r>
      <rPr>
        <sz val="10"/>
        <color rgb="FFFF0000"/>
        <rFont val="宋体"/>
        <family val="2"/>
      </rPr>
      <t>年</t>
    </r>
  </si>
  <si>
    <r>
      <rPr>
        <sz val="10"/>
        <color rgb="FFFF0000"/>
        <rFont val="宋体"/>
        <family val="2"/>
      </rPr>
      <t>海口市和平大道东侧</t>
    </r>
    <r>
      <rPr>
        <sz val="10"/>
        <color rgb="FFFF0000"/>
        <rFont val="Arial"/>
        <family val="2"/>
      </rPr>
      <t>H0406</t>
    </r>
    <r>
      <rPr>
        <sz val="10"/>
        <color rgb="FFFF0000"/>
        <rFont val="宋体"/>
        <family val="2"/>
      </rPr>
      <t>地块</t>
    </r>
    <r>
      <rPr>
        <sz val="10"/>
        <color rgb="FFFF0000"/>
        <rFont val="Arial"/>
        <family val="2"/>
      </rPr>
      <t xml:space="preserve">   </t>
    </r>
  </si>
  <si>
    <r>
      <rPr>
        <sz val="10"/>
        <color rgb="FFFF0000"/>
        <rFont val="宋体"/>
        <family val="2"/>
      </rPr>
      <t>海口市</t>
    </r>
  </si>
  <si>
    <r>
      <t xml:space="preserve"> </t>
    </r>
    <r>
      <rPr>
        <sz val="10"/>
        <color rgb="FFFF0000"/>
        <rFont val="宋体"/>
        <family val="2"/>
      </rPr>
      <t>海南省</t>
    </r>
  </si>
  <si>
    <r>
      <t xml:space="preserve"> </t>
    </r>
    <r>
      <rPr>
        <sz val="10"/>
        <color rgb="FFFF0000"/>
        <rFont val="宋体"/>
        <family val="2"/>
      </rPr>
      <t>海口市海甸岛片区</t>
    </r>
    <r>
      <rPr>
        <sz val="10"/>
        <color rgb="FFFF0000"/>
        <rFont val="Arial"/>
        <family val="2"/>
      </rPr>
      <t>H0406</t>
    </r>
    <r>
      <rPr>
        <sz val="10"/>
        <color rgb="FFFF0000"/>
        <rFont val="宋体"/>
        <family val="2"/>
      </rPr>
      <t>地块</t>
    </r>
  </si>
  <si>
    <r>
      <t xml:space="preserve"> </t>
    </r>
    <r>
      <rPr>
        <sz val="10"/>
        <color rgb="FFFF0000"/>
        <rFont val="宋体"/>
        <family val="2"/>
      </rPr>
      <t>美兰区</t>
    </r>
  </si>
  <si>
    <r>
      <t xml:space="preserve"> </t>
    </r>
    <r>
      <rPr>
        <sz val="10"/>
        <color rgb="FFFF0000"/>
        <rFont val="宋体"/>
        <family val="2"/>
      </rPr>
      <t>海甸岛北片区</t>
    </r>
  </si>
  <si>
    <r>
      <t xml:space="preserve"> </t>
    </r>
    <r>
      <rPr>
        <sz val="10"/>
        <color rgb="FFFF0000"/>
        <rFont val="宋体"/>
        <family val="2"/>
      </rPr>
      <t>海口市和平大道东侧</t>
    </r>
    <r>
      <rPr>
        <sz val="10"/>
        <color rgb="FFFF0000"/>
        <rFont val="Arial"/>
        <family val="2"/>
      </rPr>
      <t>H0406</t>
    </r>
    <r>
      <rPr>
        <sz val="10"/>
        <color rgb="FFFF0000"/>
        <rFont val="宋体"/>
        <family val="2"/>
      </rPr>
      <t>地块</t>
    </r>
  </si>
  <si>
    <r>
      <t xml:space="preserve"> </t>
    </r>
    <r>
      <rPr>
        <sz val="10"/>
        <color rgb="FFFF0000"/>
        <rFont val="宋体"/>
        <family val="2"/>
      </rPr>
      <t>大于或等于</t>
    </r>
    <r>
      <rPr>
        <sz val="10"/>
        <color rgb="FFFF0000"/>
        <rFont val="Arial"/>
        <family val="2"/>
      </rPr>
      <t>1</t>
    </r>
    <r>
      <rPr>
        <sz val="10"/>
        <color rgb="FFFF0000"/>
        <rFont val="宋体"/>
        <family val="2"/>
      </rPr>
      <t>并且小于或等于</t>
    </r>
    <r>
      <rPr>
        <sz val="10"/>
        <color rgb="FFFF0000"/>
        <rFont val="Arial"/>
        <family val="2"/>
      </rPr>
      <t>2</t>
    </r>
  </si>
  <si>
    <r>
      <t xml:space="preserve"> </t>
    </r>
    <r>
      <rPr>
        <sz val="10"/>
        <color rgb="FFFF0000"/>
        <rFont val="宋体"/>
        <family val="2"/>
      </rPr>
      <t>挂牌</t>
    </r>
  </si>
  <si>
    <r>
      <t xml:space="preserve"> </t>
    </r>
    <r>
      <rPr>
        <sz val="10"/>
        <color rgb="FFFF0000"/>
        <rFont val="宋体"/>
        <family val="2"/>
      </rPr>
      <t>城镇住宅</t>
    </r>
    <r>
      <rPr>
        <sz val="10"/>
        <color rgb="FFFF0000"/>
        <rFont val="Arial"/>
        <family val="2"/>
      </rPr>
      <t>-</t>
    </r>
    <r>
      <rPr>
        <sz val="10"/>
        <color rgb="FFFF0000"/>
        <rFont val="宋体"/>
        <family val="2"/>
      </rPr>
      <t>普通商品住房用地</t>
    </r>
  </si>
  <si>
    <r>
      <t xml:space="preserve"> </t>
    </r>
    <r>
      <rPr>
        <sz val="10"/>
        <color rgb="FFFF0000"/>
        <rFont val="宋体"/>
        <family val="2"/>
      </rPr>
      <t>小于或等于</t>
    </r>
    <r>
      <rPr>
        <sz val="10"/>
        <color rgb="FFFF0000"/>
        <rFont val="Arial"/>
        <family val="2"/>
      </rPr>
      <t>35</t>
    </r>
  </si>
  <si>
    <r>
      <t xml:space="preserve"> </t>
    </r>
    <r>
      <rPr>
        <sz val="10"/>
        <color rgb="FFFF0000"/>
        <rFont val="宋体"/>
        <family val="2"/>
      </rPr>
      <t>网挂【</t>
    </r>
    <r>
      <rPr>
        <sz val="10"/>
        <color rgb="FFFF0000"/>
        <rFont val="Arial"/>
        <family val="2"/>
      </rPr>
      <t>2021</t>
    </r>
    <r>
      <rPr>
        <sz val="10"/>
        <color rgb="FFFF0000"/>
        <rFont val="宋体"/>
        <family val="2"/>
      </rPr>
      <t>】</t>
    </r>
    <r>
      <rPr>
        <sz val="10"/>
        <color rgb="FFFF0000"/>
        <rFont val="Arial"/>
        <family val="2"/>
      </rPr>
      <t>097[2021]97</t>
    </r>
    <r>
      <rPr>
        <sz val="10"/>
        <color rgb="FFFF0000"/>
        <rFont val="宋体"/>
        <family val="2"/>
      </rPr>
      <t>号</t>
    </r>
  </si>
  <si>
    <r>
      <t xml:space="preserve"> </t>
    </r>
    <r>
      <rPr>
        <sz val="10"/>
        <color rgb="FFFF0000"/>
        <rFont val="宋体"/>
        <family val="2"/>
      </rPr>
      <t>已成交</t>
    </r>
  </si>
  <si>
    <r>
      <t xml:space="preserve"> </t>
    </r>
    <r>
      <rPr>
        <sz val="10"/>
        <color rgb="FFFF0000"/>
        <rFont val="宋体"/>
        <family val="2"/>
      </rPr>
      <t>海南新投置业有限公司</t>
    </r>
    <r>
      <rPr>
        <sz val="10"/>
        <color rgb="FFFF0000"/>
        <rFont val="Arial"/>
        <family val="2"/>
      </rPr>
      <t xml:space="preserve">  </t>
    </r>
  </si>
  <si>
    <r>
      <t xml:space="preserve"> </t>
    </r>
    <r>
      <rPr>
        <sz val="10"/>
        <color rgb="FFFF0000"/>
        <rFont val="宋体"/>
        <family val="2"/>
      </rPr>
      <t>海南新投置业有限公司</t>
    </r>
  </si>
  <si>
    <r>
      <rPr>
        <sz val="10"/>
        <color rgb="FFFF0000"/>
        <rFont val="宋体"/>
        <family val="2"/>
      </rPr>
      <t>海口市坡博坡巷棚改片区</t>
    </r>
    <r>
      <rPr>
        <sz val="10"/>
        <color rgb="FFFF0000"/>
        <rFont val="Arial"/>
        <family val="2"/>
      </rPr>
      <t>C-7-6</t>
    </r>
    <r>
      <rPr>
        <sz val="10"/>
        <color rgb="FFFF0000"/>
        <rFont val="宋体"/>
        <family val="2"/>
      </rPr>
      <t>地块</t>
    </r>
    <phoneticPr fontId="225" type="noConversion"/>
  </si>
  <si>
    <r>
      <rPr>
        <sz val="10"/>
        <color rgb="FFFF0000"/>
        <rFont val="宋体"/>
        <family val="2"/>
      </rPr>
      <t>海口中海兴业房地产开发有限公司</t>
    </r>
    <phoneticPr fontId="225" type="noConversion"/>
  </si>
  <si>
    <t>住宅</t>
    <phoneticPr fontId="26" type="noConversion"/>
  </si>
  <si>
    <t>楼面地价</t>
  </si>
  <si>
    <t>好</t>
  </si>
  <si>
    <t>较规则</t>
  </si>
  <si>
    <t>较规则</t>
    <phoneticPr fontId="26" type="noConversion"/>
  </si>
  <si>
    <t>较适宜</t>
  </si>
  <si>
    <t>较适宜</t>
    <phoneticPr fontId="26" type="noConversion"/>
  </si>
  <si>
    <t>六通</t>
    <phoneticPr fontId="26" type="noConversion"/>
  </si>
  <si>
    <t>较好</t>
    <phoneticPr fontId="26" type="noConversion"/>
  </si>
  <si>
    <t>比较法-住宅、综合</t>
  </si>
  <si>
    <t>剩余法-待开发</t>
  </si>
  <si>
    <t>叠拼</t>
    <phoneticPr fontId="21" type="noConversion"/>
  </si>
  <si>
    <t>洋房</t>
    <phoneticPr fontId="21" type="noConversion"/>
  </si>
  <si>
    <t>高层</t>
  </si>
  <si>
    <t>高层</t>
    <phoneticPr fontId="21" type="noConversion"/>
  </si>
  <si>
    <t>汇元江海汇</t>
    <phoneticPr fontId="3" type="noConversion"/>
  </si>
  <si>
    <t>滨海丽景二期</t>
    <phoneticPr fontId="3" type="noConversion"/>
  </si>
  <si>
    <t>宝源花园三期</t>
    <phoneticPr fontId="3" type="noConversion"/>
  </si>
  <si>
    <t>龙华区</t>
    <phoneticPr fontId="3" type="noConversion"/>
  </si>
  <si>
    <t>已部分缴纳</t>
  </si>
  <si>
    <t>海口市国用（2013）第000970号</t>
    <phoneticPr fontId="225" type="noConversion"/>
  </si>
  <si>
    <t>情况3</t>
  </si>
  <si>
    <t>自行开发建设</t>
  </si>
  <si>
    <t>非个人房产</t>
  </si>
  <si>
    <t>出让金+开发费</t>
  </si>
  <si>
    <t>是否临海</t>
    <phoneticPr fontId="21" type="noConversion"/>
  </si>
  <si>
    <t>是</t>
    <phoneticPr fontId="21" type="noConversion"/>
  </si>
  <si>
    <t>否</t>
    <phoneticPr fontId="21" type="noConversion"/>
  </si>
  <si>
    <t>否</t>
    <phoneticPr fontId="21" type="noConversion"/>
  </si>
  <si>
    <t>是</t>
    <phoneticPr fontId="3" type="noConversion"/>
  </si>
  <si>
    <t>否</t>
    <phoneticPr fontId="3" type="noConversion"/>
  </si>
  <si>
    <t>70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</si>
</sst>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sz val="10"/>
      <color theme="1"/>
      <name val="宋体"/>
      <family val="2"/>
      <scheme val="minor"/>
    </font>
    <font>
      <sz val="10"/>
      <color rgb="FFFF0000"/>
      <name val="宋体"/>
      <family val="2"/>
      <scheme val="minor"/>
    </font>
    <font>
      <sz val="9"/>
      <color rgb="FFFF0000"/>
      <name val="Verdana"/>
      <family val="2"/>
    </font>
    <font>
      <sz val="9"/>
      <color rgb="FFFF0000"/>
      <name val="Arial"/>
      <family val="2"/>
    </font>
    <font>
      <sz val="10"/>
      <color rgb="FFFF0000"/>
      <name val="宋体"/>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pplyAlignment="1">
      <alignment vertical="center" wrapText="1"/>
    </xf>
    <xf numFmtId="14" fontId="161" fillId="0" borderId="0" xfId="0" applyNumberFormat="1" applyFont="1" applyAlignment="1">
      <alignment vertical="center" wrapText="1"/>
    </xf>
    <xf numFmtId="0" fontId="161" fillId="0" borderId="0" xfId="0" applyFont="1" applyAlignment="1">
      <alignment horizontal="left" vertical="center" wrapText="1"/>
    </xf>
    <xf numFmtId="1" fontId="161" fillId="0" borderId="0" xfId="0" applyNumberFormat="1" applyFont="1" applyAlignment="1">
      <alignment vertical="center" wrapText="1"/>
    </xf>
    <xf numFmtId="0" fontId="78" fillId="0" borderId="5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281" fillId="0" borderId="0" xfId="0" applyNumberFormat="1" applyFont="1" applyAlignment="1"/>
    <xf numFmtId="0" fontId="161" fillId="0" borderId="0" xfId="0" applyNumberFormat="1" applyFont="1" applyAlignment="1"/>
    <xf numFmtId="0" fontId="282" fillId="0" borderId="0" xfId="0" applyNumberFormat="1" applyFont="1" applyAlignment="1"/>
    <xf numFmtId="0" fontId="167" fillId="0" borderId="0" xfId="0" applyNumberFormat="1" applyFont="1" applyAlignment="1"/>
    <xf numFmtId="0" fontId="155" fillId="0" borderId="0" xfId="0" applyNumberFormat="1" applyFont="1" applyAlignment="1">
      <alignment horizontal="left"/>
    </xf>
    <xf numFmtId="0" fontId="284" fillId="0" borderId="0" xfId="0" applyFont="1" applyAlignment="1">
      <alignment horizontal="left" vertical="center"/>
    </xf>
    <xf numFmtId="14" fontId="155" fillId="0" borderId="0" xfId="0" applyNumberFormat="1" applyFont="1" applyAlignment="1">
      <alignment horizontal="left"/>
    </xf>
    <xf numFmtId="10" fontId="284" fillId="0" borderId="0" xfId="0" applyNumberFormat="1" applyFont="1" applyAlignment="1">
      <alignment horizontal="left" vertical="center"/>
    </xf>
    <xf numFmtId="0" fontId="284" fillId="0" borderId="0" xfId="0" applyNumberFormat="1" applyFont="1" applyAlignment="1">
      <alignment horizontal="lef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4</xdr:col>
      <xdr:colOff>399602</xdr:colOff>
      <xdr:row>108</xdr:row>
      <xdr:rowOff>104171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753975"/>
          <a:ext cx="3580952" cy="4828571"/>
        </a:xfrm>
        <a:prstGeom prst="rect">
          <a:avLst/>
        </a:prstGeom>
      </xdr:spPr>
    </xdr:pic>
    <xdr:clientData/>
  </xdr:twoCellAnchor>
  <xdr:twoCellAnchor editAs="oneCell">
    <xdr:from>
      <xdr:col>7</xdr:col>
      <xdr:colOff>0</xdr:colOff>
      <xdr:row>62</xdr:row>
      <xdr:rowOff>0</xdr:rowOff>
    </xdr:from>
    <xdr:to>
      <xdr:col>12</xdr:col>
      <xdr:colOff>323374</xdr:colOff>
      <xdr:row>95</xdr:row>
      <xdr:rowOff>75562</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10467975"/>
          <a:ext cx="3809524" cy="5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7</xdr:col>
      <xdr:colOff>584209</xdr:colOff>
      <xdr:row>23</xdr:row>
      <xdr:rowOff>27894</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0"/>
          <a:ext cx="5318134" cy="3971244"/>
        </a:xfrm>
        <a:prstGeom prst="rect">
          <a:avLst/>
        </a:prstGeom>
      </xdr:spPr>
    </xdr:pic>
    <xdr:clientData/>
  </xdr:twoCellAnchor>
  <xdr:twoCellAnchor editAs="oneCell">
    <xdr:from>
      <xdr:col>8</xdr:col>
      <xdr:colOff>98490</xdr:colOff>
      <xdr:row>0</xdr:row>
      <xdr:rowOff>19050</xdr:rowOff>
    </xdr:from>
    <xdr:to>
      <xdr:col>16</xdr:col>
      <xdr:colOff>35771</xdr:colOff>
      <xdr:row>23</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5584890" y="19050"/>
          <a:ext cx="5423681" cy="4010025"/>
        </a:xfrm>
        <a:prstGeom prst="rect">
          <a:avLst/>
        </a:prstGeom>
      </xdr:spPr>
    </xdr:pic>
    <xdr:clientData/>
  </xdr:twoCellAnchor>
  <xdr:twoCellAnchor editAs="oneCell">
    <xdr:from>
      <xdr:col>16</xdr:col>
      <xdr:colOff>152400</xdr:colOff>
      <xdr:row>1</xdr:row>
      <xdr:rowOff>0</xdr:rowOff>
    </xdr:from>
    <xdr:to>
      <xdr:col>23</xdr:col>
      <xdr:colOff>122968</xdr:colOff>
      <xdr:row>22</xdr:row>
      <xdr:rowOff>130339</xdr:rowOff>
    </xdr:to>
    <xdr:pic>
      <xdr:nvPicPr>
        <xdr:cNvPr id="4" name="图片 3"/>
        <xdr:cNvPicPr>
          <a:picLocks noChangeAspect="1"/>
        </xdr:cNvPicPr>
      </xdr:nvPicPr>
      <xdr:blipFill>
        <a:blip xmlns:r="http://schemas.openxmlformats.org/officeDocument/2006/relationships" r:embed="rId3"/>
        <a:stretch>
          <a:fillRect/>
        </a:stretch>
      </xdr:blipFill>
      <xdr:spPr>
        <a:xfrm>
          <a:off x="11125200" y="171450"/>
          <a:ext cx="4771168" cy="3730789"/>
        </a:xfrm>
        <a:prstGeom prst="rect">
          <a:avLst/>
        </a:prstGeom>
      </xdr:spPr>
    </xdr:pic>
    <xdr:clientData/>
  </xdr:twoCellAnchor>
  <xdr:twoCellAnchor editAs="oneCell">
    <xdr:from>
      <xdr:col>0</xdr:col>
      <xdr:colOff>0</xdr:colOff>
      <xdr:row>24</xdr:row>
      <xdr:rowOff>23260</xdr:rowOff>
    </xdr:from>
    <xdr:to>
      <xdr:col>8</xdr:col>
      <xdr:colOff>590550</xdr:colOff>
      <xdr:row>48</xdr:row>
      <xdr:rowOff>65992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38060"/>
          <a:ext cx="6076950" cy="4157532"/>
        </a:xfrm>
        <a:prstGeom prst="rect">
          <a:avLst/>
        </a:prstGeom>
      </xdr:spPr>
    </xdr:pic>
    <xdr:clientData/>
  </xdr:twoCellAnchor>
  <xdr:twoCellAnchor editAs="oneCell">
    <xdr:from>
      <xdr:col>9</xdr:col>
      <xdr:colOff>0</xdr:colOff>
      <xdr:row>24</xdr:row>
      <xdr:rowOff>0</xdr:rowOff>
    </xdr:from>
    <xdr:to>
      <xdr:col>21</xdr:col>
      <xdr:colOff>484686</xdr:colOff>
      <xdr:row>49</xdr:row>
      <xdr:rowOff>170893</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4114800"/>
          <a:ext cx="8714286" cy="4457143"/>
        </a:xfrm>
        <a:prstGeom prst="rect">
          <a:avLst/>
        </a:prstGeom>
      </xdr:spPr>
    </xdr:pic>
    <xdr:clientData/>
  </xdr:twoCellAnchor>
  <xdr:twoCellAnchor editAs="oneCell">
    <xdr:from>
      <xdr:col>0</xdr:col>
      <xdr:colOff>0</xdr:colOff>
      <xdr:row>50</xdr:row>
      <xdr:rowOff>0</xdr:rowOff>
    </xdr:from>
    <xdr:to>
      <xdr:col>17</xdr:col>
      <xdr:colOff>569971</xdr:colOff>
      <xdr:row>82</xdr:row>
      <xdr:rowOff>104076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572500"/>
          <a:ext cx="12228571" cy="5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48</xdr:col>
      <xdr:colOff>0</xdr:colOff>
      <xdr:row>1</xdr:row>
      <xdr:rowOff>0</xdr:rowOff>
    </xdr:from>
    <xdr:to>
      <xdr:col>58</xdr:col>
      <xdr:colOff>37219</xdr:colOff>
      <xdr:row>33</xdr:row>
      <xdr:rowOff>47006</xdr:rowOff>
    </xdr:to>
    <xdr:pic>
      <xdr:nvPicPr>
        <xdr:cNvPr id="2" name="图片 1"/>
        <xdr:cNvPicPr>
          <a:picLocks noChangeAspect="1"/>
        </xdr:cNvPicPr>
      </xdr:nvPicPr>
      <xdr:blipFill>
        <a:blip xmlns:r="http://schemas.openxmlformats.org/officeDocument/2006/relationships" r:embed="rId1"/>
        <a:stretch>
          <a:fillRect/>
        </a:stretch>
      </xdr:blipFill>
      <xdr:spPr>
        <a:xfrm>
          <a:off x="16925925" y="152400"/>
          <a:ext cx="7047619"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0301&#22320;&#22359;&#65288;0202&#65289;-&#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57094.65</v>
          </cell>
          <cell r="C14">
            <v>96040.29</v>
          </cell>
          <cell r="D14">
            <v>41902</v>
          </cell>
          <cell r="I14">
            <v>30045</v>
          </cell>
        </row>
      </sheetData>
      <sheetData sheetId="17"/>
      <sheetData sheetId="18">
        <row r="8">
          <cell r="C8">
            <v>21374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海南省海口市新埠岛出让国有建设用地使用权抵押价格预评估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受贵公司委托，我公司对海南省海口市新埠岛出让国有建设用地使用权抵押价格进行了预评估。</v>
      </c>
      <c r="AM6" s="2541"/>
    </row>
    <row r="7" spans="1:55" s="2515" customFormat="1">
      <c r="A7" s="2516" t="s">
        <v>2374</v>
      </c>
      <c r="B7" s="2517" t="str">
        <f>'预评函-1'!A6</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2022年5月20日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根据《国有土地使用证》[]，估价对象（分摊）出让国有建设用地使用权面积为97473.98平方米。根据《建设工程规划许可证》[]、《出让合同》[]，估价对象规划建筑面积为51575.14平方米。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11日车库2057年9月11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估价期日：2022年5月20日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红线外七通、宗地红线内场地平整</v>
      </c>
    </row>
    <row r="39" spans="1:2">
      <c r="A39" s="2516" t="s">
        <v>2436</v>
      </c>
      <c r="B39" s="2517" t="str">
        <f>'预评函-2'!L5</f>
        <v>红线外七通、宗地红线内场地平整</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97473.98</v>
      </c>
    </row>
    <row r="44" spans="1:2">
      <c r="A44" s="2516" t="s">
        <v>2457</v>
      </c>
      <c r="B44" s="2517" t="str">
        <f>'预评函-2'!O3</f>
        <v>规划建筑面积/㎡</v>
      </c>
    </row>
    <row r="45" spans="1:2">
      <c r="A45" s="2516" t="s">
        <v>2439</v>
      </c>
      <c r="B45" s="2517">
        <f>'预评函-2'!O5</f>
        <v>51575.14</v>
      </c>
    </row>
    <row r="46" spans="1:2">
      <c r="A46" s="2516" t="s">
        <v>2440</v>
      </c>
      <c r="B46" s="2517">
        <f ca="1">'预评函-2'!P5</f>
        <v>4399</v>
      </c>
    </row>
    <row r="47" spans="1:2">
      <c r="A47" s="2516" t="s">
        <v>2441</v>
      </c>
      <c r="B47" s="2517">
        <f ca="1">'预评函-2'!Q5</f>
        <v>8314</v>
      </c>
    </row>
    <row r="48" spans="1:2">
      <c r="A48" s="2516" t="s">
        <v>2442</v>
      </c>
      <c r="B48" s="2517">
        <f ca="1">'预评函-2'!R5</f>
        <v>42878</v>
      </c>
    </row>
    <row r="49" spans="1:2">
      <c r="A49" s="2516" t="s">
        <v>2458</v>
      </c>
      <c r="B49" s="2517" t="str">
        <f>'预评函-2'!A6</f>
        <v>抵押价格</v>
      </c>
    </row>
    <row r="50" spans="1:2">
      <c r="A50" s="2516" t="s">
        <v>2443</v>
      </c>
      <c r="B50" s="2517">
        <f ca="1">'预评函-2'!R6</f>
        <v>42878</v>
      </c>
    </row>
    <row r="51" spans="1:2">
      <c r="A51" s="2516" t="s">
        <v>2459</v>
      </c>
      <c r="B51" s="2517" t="str">
        <f>'预评函-2'!A7</f>
        <v>——</v>
      </c>
    </row>
    <row r="52" spans="1:2">
      <c r="A52" s="2516" t="s">
        <v>2444</v>
      </c>
      <c r="B52" s="2517" t="str">
        <f>'预评函-2'!R7</f>
        <v>——</v>
      </c>
    </row>
    <row r="53" spans="1:2">
      <c r="A53" s="2516" t="s">
        <v>2460</v>
      </c>
      <c r="B53" s="2517" t="str">
        <f>'预评函-2'!A8</f>
        <v>抵押净值</v>
      </c>
    </row>
    <row r="54" spans="1:2" s="2531" customFormat="1" ht="15" thickBot="1">
      <c r="A54" s="2538" t="s">
        <v>2445</v>
      </c>
      <c r="B54" s="2539">
        <f ca="1">'预评函-2'!R8</f>
        <v>30661</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2.基础设施条件：估价对象实际开发程度为红线外七通、宗地红线内场地平整；本次评估设定开发程度为红线外七通、宗地红线内场地平整。</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26" sqref="G26"/>
    </sheetView>
  </sheetViews>
  <sheetFormatPr defaultColWidth="10" defaultRowHeight="14.25"/>
  <cols>
    <col min="1" max="1" width="15.375" style="1567" customWidth="1"/>
    <col min="2" max="2" width="11.375" style="1567" customWidth="1"/>
    <col min="3" max="3" width="12.625" style="1567" customWidth="1"/>
    <col min="4" max="4" width="11.62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497" t="str">
        <f>IF(B10="北京市","北京市",C10)&amp;F10&amp;B16&amp;"国有建设用地使用权"&amp;B9&amp;"预评估"</f>
        <v>海南省海口市新埠岛出让国有建设用地使用权抵押价格预评估</v>
      </c>
      <c r="C1" s="3498"/>
      <c r="D1" s="3498"/>
      <c r="E1" s="3498"/>
      <c r="F1" s="3498"/>
      <c r="G1" s="3498"/>
      <c r="H1" s="3498"/>
      <c r="I1" s="3499"/>
      <c r="J1" s="2981"/>
      <c r="K1" s="2263" t="str">
        <f>IF(B10="北京市","北京市",C10)&amp;F10&amp;B16&amp;"国有建设用地使用权"&amp;B9</f>
        <v>海南省海口市新埠岛出让国有建设用地使用权抵押价格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海南省海口市新埠岛出让国有建设用地使用权</v>
      </c>
      <c r="L2" s="2960"/>
      <c r="M2" s="2960"/>
      <c r="N2" s="2961"/>
      <c r="O2" s="2962"/>
      <c r="P2" s="2961"/>
      <c r="Q2" s="2961"/>
      <c r="R2" s="2961"/>
      <c r="S2" s="2961"/>
      <c r="T2" s="2961"/>
      <c r="U2" s="2961"/>
    </row>
    <row r="3" spans="1:21">
      <c r="A3" s="1542" t="s">
        <v>1731</v>
      </c>
      <c r="B3" s="1543"/>
      <c r="C3" s="2904" t="s">
        <v>1787</v>
      </c>
      <c r="D3" s="1543">
        <v>44701</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2683</v>
      </c>
      <c r="C8" s="1552"/>
      <c r="D8" s="3503" t="s">
        <v>1736</v>
      </c>
      <c r="E8" s="1711" t="s">
        <v>3113</v>
      </c>
      <c r="F8" s="1553"/>
      <c r="G8" s="2982"/>
      <c r="H8" s="2982"/>
      <c r="I8" s="2985"/>
      <c r="J8" s="2981"/>
      <c r="K8" s="2964"/>
      <c r="L8" s="2960"/>
      <c r="M8" s="2960"/>
      <c r="N8" s="2961"/>
      <c r="O8" s="2962"/>
      <c r="P8" s="2961"/>
      <c r="Q8" s="2961"/>
      <c r="R8" s="2961"/>
      <c r="S8" s="2961"/>
      <c r="T8" s="2961"/>
      <c r="U8" s="2961"/>
    </row>
    <row r="9" spans="1:21" ht="15" thickBot="1">
      <c r="A9" s="2906" t="s">
        <v>1735</v>
      </c>
      <c r="B9" s="1554" t="s">
        <v>3113</v>
      </c>
      <c r="C9" s="1555"/>
      <c r="D9" s="3504"/>
      <c r="E9" s="1554" t="s">
        <v>2567</v>
      </c>
      <c r="F9" s="1618"/>
      <c r="G9" s="2986"/>
      <c r="H9" s="2986"/>
      <c r="I9" s="2987"/>
      <c r="J9" s="2981"/>
      <c r="K9" s="2964"/>
      <c r="L9" s="2960"/>
      <c r="M9" s="2960"/>
      <c r="N9" s="2961"/>
      <c r="O9" s="2962"/>
      <c r="P9" s="2961"/>
      <c r="Q9" s="2961"/>
      <c r="R9" s="2961"/>
      <c r="S9" s="2961"/>
      <c r="T9" s="2961"/>
      <c r="U9" s="2961"/>
    </row>
    <row r="10" spans="1:21" ht="15" thickTop="1">
      <c r="A10" s="2907" t="s">
        <v>1791</v>
      </c>
      <c r="B10" s="1594" t="s">
        <v>3114</v>
      </c>
      <c r="C10" s="1556" t="s">
        <v>3223</v>
      </c>
      <c r="D10" s="1548"/>
      <c r="E10" s="1557" t="s">
        <v>1738</v>
      </c>
      <c r="F10" s="1558" t="s">
        <v>3222</v>
      </c>
      <c r="G10" s="1616"/>
      <c r="H10" s="1617"/>
      <c r="I10" s="1548"/>
      <c r="J10" s="2981"/>
      <c r="K10" s="2964"/>
      <c r="L10" s="2960"/>
      <c r="M10" s="2960"/>
      <c r="N10" s="2961"/>
      <c r="O10" s="2962"/>
      <c r="P10" s="2961"/>
      <c r="Q10" s="2961"/>
      <c r="R10" s="2961"/>
      <c r="S10" s="2961"/>
      <c r="T10" s="2961"/>
      <c r="U10" s="2961"/>
    </row>
    <row r="11" spans="1:21">
      <c r="A11" s="2908" t="s">
        <v>1792</v>
      </c>
      <c r="B11" s="1573" t="s">
        <v>3115</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00"/>
      <c r="C12" s="3501"/>
      <c r="D12" s="3502"/>
      <c r="E12" s="1574" t="s">
        <v>1853</v>
      </c>
      <c r="F12" s="3518" t="s">
        <v>2602</v>
      </c>
      <c r="G12" s="3519"/>
      <c r="H12" s="3519"/>
      <c r="I12" s="3520"/>
      <c r="J12" s="2981"/>
      <c r="K12" s="2964"/>
      <c r="L12" s="2960"/>
      <c r="M12" s="2960"/>
      <c r="N12" s="2961"/>
      <c r="O12" s="2962"/>
      <c r="P12" s="2961"/>
      <c r="Q12" s="2961"/>
      <c r="R12" s="2961"/>
      <c r="S12" s="2961"/>
      <c r="T12" s="2961"/>
      <c r="U12" s="2961"/>
    </row>
    <row r="13" spans="1:21">
      <c r="A13" s="1565" t="s">
        <v>1851</v>
      </c>
      <c r="B13" s="3500"/>
      <c r="C13" s="3501"/>
      <c r="D13" s="3502"/>
      <c r="E13" s="1574" t="s">
        <v>1853</v>
      </c>
      <c r="F13" s="3518" t="s">
        <v>2603</v>
      </c>
      <c r="G13" s="3519"/>
      <c r="H13" s="3519"/>
      <c r="I13" s="3520"/>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3224</v>
      </c>
      <c r="C16" s="1574" t="s">
        <v>1740</v>
      </c>
      <c r="D16" s="2409" t="s">
        <v>1741</v>
      </c>
      <c r="E16" s="1597"/>
      <c r="F16" s="1597"/>
      <c r="G16" s="1597" t="s">
        <v>3218</v>
      </c>
      <c r="H16" s="1597"/>
      <c r="I16" s="1564" t="s">
        <v>1746</v>
      </c>
      <c r="J16" s="2981"/>
      <c r="K16" s="2264" t="str">
        <f>IF(D17="","",D16&amp;TEXT(D17,"yyyy年m月d日;;"))</f>
        <v>住宅2077年9月11日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车库2057年9月11日</v>
      </c>
      <c r="R16" s="1574" t="str">
        <f>IF(OR(Q16="",S16=""),"","、")</f>
        <v/>
      </c>
      <c r="S16" s="2264" t="str">
        <f>IF(H17="","",H16&amp;TEXT(H17,"yyyy年m月d日;;"))</f>
        <v/>
      </c>
      <c r="T16" s="1574" t="str">
        <f>IF(OR(S16="",U16=""),"","、")</f>
        <v/>
      </c>
      <c r="U16" s="2264" t="str">
        <f>IF(I17="","",I16&amp;TEXT(I17,"yyyy年m月d日;;"))</f>
        <v/>
      </c>
    </row>
    <row r="17" spans="1:21">
      <c r="A17" s="1634"/>
      <c r="B17" s="1561"/>
      <c r="C17" s="2910" t="s">
        <v>1747</v>
      </c>
      <c r="D17" s="1575">
        <f>面积表!G2</f>
        <v>64904</v>
      </c>
      <c r="E17" s="1575"/>
      <c r="F17" s="1575"/>
      <c r="G17" s="1575">
        <v>57599</v>
      </c>
      <c r="H17" s="1575"/>
      <c r="I17" s="1575"/>
      <c r="J17" s="2981"/>
      <c r="K17" s="2959" t="str">
        <f>CONCATENATE(K16,L16,M16,N16,O16,P16,Q16,R16,S16,T16,,U16)</f>
        <v>住宅2077年9月11日车库2057年9月11日</v>
      </c>
      <c r="L17" s="2960"/>
      <c r="M17" s="2960"/>
      <c r="N17" s="2961"/>
      <c r="O17" s="2962"/>
      <c r="P17" s="2961"/>
      <c r="Q17" s="2961"/>
      <c r="R17" s="2961"/>
      <c r="S17" s="2961"/>
      <c r="T17" s="2961"/>
      <c r="U17" s="2961"/>
    </row>
    <row r="18" spans="1:21">
      <c r="A18" s="1634"/>
      <c r="B18" s="1561"/>
      <c r="C18" s="2910" t="s">
        <v>1748</v>
      </c>
      <c r="D18" s="1562">
        <v>70</v>
      </c>
      <c r="E18" s="1562"/>
      <c r="F18" s="1562"/>
      <c r="G18" s="1562">
        <v>50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55.35</v>
      </c>
      <c r="E19" s="1563" t="str">
        <f>IF(B16="出让",IF(E17="","",ROUNDDOWN(MIN((E17-$D$3)/365,E18),2)),E18)</f>
        <v/>
      </c>
      <c r="F19" s="1563" t="str">
        <f>IF(B16="出让",IF(F17="","",ROUNDDOWN(MIN((F17-$D$3)/365,F18),2)),F18)</f>
        <v/>
      </c>
      <c r="G19" s="1563">
        <f>IF(B16="出让",IF(G17="","",ROUNDDOWN(MIN((G17-$D$3)/365,G18),2)),G18)</f>
        <v>35.33</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15"/>
      <c r="E20" s="3516"/>
      <c r="F20" s="3516"/>
      <c r="G20" s="3516"/>
      <c r="H20" s="3516"/>
      <c r="I20" s="3517"/>
      <c r="J20" s="2981"/>
      <c r="K20" s="2964"/>
      <c r="L20" s="2960"/>
      <c r="M20" s="2960"/>
      <c r="N20" s="2961"/>
      <c r="O20" s="2962"/>
      <c r="P20" s="2961"/>
      <c r="Q20" s="2961"/>
      <c r="R20" s="2961"/>
      <c r="S20" s="2961"/>
      <c r="T20" s="2961"/>
      <c r="U20" s="2961"/>
    </row>
    <row r="21" spans="1:21">
      <c r="A21" s="1634" t="s">
        <v>1750</v>
      </c>
      <c r="B21" s="1635" t="s">
        <v>1751</v>
      </c>
      <c r="C21" s="1630">
        <f>'数据-汇总表'!E3</f>
        <v>51575.14</v>
      </c>
      <c r="D21" s="1631" t="s">
        <v>1752</v>
      </c>
      <c r="E21" s="3505" t="s">
        <v>1790</v>
      </c>
      <c r="F21" s="3506"/>
      <c r="G21" s="3506"/>
      <c r="H21" s="3506"/>
      <c r="I21" s="3507"/>
      <c r="J21" s="2981"/>
      <c r="K21" s="2964"/>
      <c r="L21" s="2960"/>
      <c r="M21" s="2960"/>
      <c r="N21" s="2961"/>
      <c r="O21" s="2962"/>
      <c r="P21" s="2961"/>
      <c r="Q21" s="2961"/>
      <c r="R21" s="2961"/>
      <c r="S21" s="2961"/>
      <c r="T21" s="2961"/>
      <c r="U21" s="2961"/>
    </row>
    <row r="22" spans="1:21">
      <c r="A22" s="2719" t="s">
        <v>931</v>
      </c>
      <c r="B22" s="1542" t="s">
        <v>1753</v>
      </c>
      <c r="C22" s="1564">
        <f>'数据-汇总表'!D3</f>
        <v>97473.98</v>
      </c>
      <c r="D22" s="1565" t="s">
        <v>1752</v>
      </c>
      <c r="E22" s="3505" t="s">
        <v>2604</v>
      </c>
      <c r="F22" s="3506"/>
      <c r="G22" s="3506"/>
      <c r="H22" s="3506"/>
      <c r="I22" s="3507"/>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08" t="s">
        <v>1758</v>
      </c>
      <c r="C24" s="3509"/>
      <c r="D24" s="3510" t="s">
        <v>1759</v>
      </c>
      <c r="E24" s="3511"/>
      <c r="F24" s="1583" t="s">
        <v>1760</v>
      </c>
      <c r="G24" s="2981"/>
      <c r="H24" s="2981"/>
      <c r="I24" s="2985"/>
      <c r="J24" s="2981"/>
      <c r="K24" s="3496"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496"/>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496"/>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23" t="s">
        <v>1793</v>
      </c>
      <c r="B31" s="1635" t="s">
        <v>1794</v>
      </c>
      <c r="C31" s="3521" t="s">
        <v>3225</v>
      </c>
      <c r="D31" s="3522"/>
      <c r="E31" s="2981"/>
      <c r="F31" s="2981"/>
      <c r="G31" s="2981"/>
      <c r="H31" s="2981"/>
      <c r="I31" s="2985"/>
      <c r="J31" s="2981"/>
      <c r="K31" s="2967"/>
      <c r="L31" s="2961"/>
      <c r="M31" s="2961"/>
      <c r="N31" s="2961"/>
      <c r="O31" s="2961"/>
      <c r="P31" s="2961"/>
      <c r="Q31" s="2961"/>
      <c r="R31" s="2961"/>
      <c r="S31" s="2961"/>
      <c r="T31" s="2961"/>
      <c r="U31" s="2961"/>
    </row>
    <row r="32" spans="1:21">
      <c r="A32" s="3523"/>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23"/>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24"/>
      <c r="B34" s="1542" t="s">
        <v>1797</v>
      </c>
      <c r="C34" s="3525"/>
      <c r="D34" s="3526"/>
      <c r="E34" s="2981"/>
      <c r="F34" s="2981"/>
      <c r="G34" s="2981"/>
      <c r="H34" s="2981"/>
      <c r="I34" s="2985"/>
      <c r="J34" s="2981"/>
      <c r="K34" s="2967"/>
      <c r="L34" s="2961"/>
      <c r="M34" s="2961"/>
      <c r="N34" s="2961"/>
      <c r="O34" s="2961"/>
      <c r="P34" s="2961"/>
      <c r="Q34" s="2961"/>
      <c r="R34" s="2961"/>
      <c r="S34" s="2961"/>
      <c r="T34" s="2961"/>
      <c r="U34" s="2961"/>
    </row>
    <row r="35" spans="1:28">
      <c r="A35" s="3527" t="s">
        <v>827</v>
      </c>
      <c r="B35" s="1597" t="s">
        <v>3226</v>
      </c>
      <c r="C35" s="1644" t="str">
        <f>IF(B35="场地平整","——","具体情况：")</f>
        <v>——</v>
      </c>
      <c r="D35" s="3529"/>
      <c r="E35" s="3530"/>
      <c r="F35" s="3530"/>
      <c r="G35" s="3530"/>
      <c r="H35" s="3530"/>
      <c r="I35" s="3531"/>
      <c r="J35" s="2981"/>
      <c r="K35" s="2968"/>
      <c r="L35" s="2960"/>
      <c r="M35" s="2960"/>
      <c r="N35" s="2961"/>
      <c r="O35" s="2962"/>
      <c r="P35" s="2961"/>
      <c r="Q35" s="2961"/>
      <c r="R35" s="2961"/>
      <c r="S35" s="2961"/>
      <c r="T35" s="2961"/>
      <c r="U35" s="2961"/>
    </row>
    <row r="36" spans="1:28">
      <c r="A36" s="3523"/>
      <c r="B36" s="3532" t="s">
        <v>1846</v>
      </c>
      <c r="C36" s="3533"/>
      <c r="D36" s="1660" t="s">
        <v>3227</v>
      </c>
      <c r="E36" s="3534"/>
      <c r="F36" s="3534"/>
      <c r="G36" s="1565" t="str">
        <f>IF(B35="场地未平整","估价结果处理","")</f>
        <v/>
      </c>
      <c r="H36" s="3535"/>
      <c r="I36" s="3535"/>
      <c r="J36" s="2981"/>
      <c r="K36" s="2968"/>
      <c r="L36" s="2960"/>
      <c r="M36" s="2960"/>
      <c r="N36" s="2961"/>
      <c r="O36" s="2962"/>
      <c r="P36" s="2961"/>
      <c r="Q36" s="2961"/>
      <c r="R36" s="2961"/>
      <c r="S36" s="2961"/>
      <c r="T36" s="2961"/>
      <c r="U36" s="2961"/>
    </row>
    <row r="37" spans="1:28" ht="28.5">
      <c r="A37" s="3523"/>
      <c r="B37" s="3512"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23"/>
      <c r="B38" s="3513"/>
      <c r="C38" s="1550" t="s">
        <v>830</v>
      </c>
      <c r="D38" s="1659">
        <f>ROUNDDOWN(MIN(('数据-取费表'!$B$2-D37)/365,D34),1)</f>
        <v>122.4</v>
      </c>
      <c r="E38" s="1602" t="s">
        <v>831</v>
      </c>
      <c r="F38" s="2981"/>
      <c r="G38" s="2981"/>
      <c r="H38" s="2981"/>
      <c r="I38" s="2985"/>
      <c r="J38" s="2981"/>
      <c r="K38" s="2968"/>
      <c r="L38" s="2961"/>
      <c r="M38" s="2961"/>
      <c r="N38" s="2961"/>
      <c r="O38" s="2961"/>
      <c r="P38" s="2961"/>
      <c r="Q38" s="2961"/>
      <c r="R38" s="2961"/>
      <c r="S38" s="2961"/>
      <c r="T38" s="2961"/>
      <c r="U38" s="2961"/>
    </row>
    <row r="39" spans="1:28">
      <c r="A39" s="3524"/>
      <c r="B39" s="3514"/>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495" t="s">
        <v>1777</v>
      </c>
      <c r="T40" s="1606" t="str">
        <f>NUMBERSTRING(7-K40,1)&amp;"通"</f>
        <v>七通</v>
      </c>
      <c r="U40" s="2961"/>
    </row>
    <row r="41" spans="1:28">
      <c r="A41" s="1544"/>
      <c r="B41" s="3528" t="s">
        <v>1521</v>
      </c>
      <c r="C41" s="3528"/>
      <c r="D41" s="3528"/>
      <c r="E41" s="3528"/>
      <c r="F41" s="1607" t="str">
        <f>C10</f>
        <v>海南省</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495"/>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AS13" activePane="bottomRight" state="frozen"/>
      <selection pane="topRight" activeCell="E1" sqref="E1"/>
      <selection pane="bottomLeft" activeCell="A12" sqref="A12"/>
      <selection pane="bottomRight" activeCell="AT13" sqref="AT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面积表!E2</f>
        <v>97473.98</v>
      </c>
      <c r="B3" s="22">
        <f>IF(C3="否",G5-AT5,G5)</f>
        <v>51575.14</v>
      </c>
      <c r="C3" s="23" t="s">
        <v>3213</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55174.02</v>
      </c>
      <c r="H5" s="27">
        <f t="shared" ref="H5:AT5" si="0">SUM(H13:H641)</f>
        <v>51237.62</v>
      </c>
      <c r="I5" s="27">
        <f t="shared" si="0"/>
        <v>43511.83</v>
      </c>
      <c r="J5" s="27">
        <f t="shared" si="0"/>
        <v>0</v>
      </c>
      <c r="K5" s="27">
        <f t="shared" si="0"/>
        <v>7725.79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337.52</v>
      </c>
      <c r="AD5" s="27">
        <f t="shared" si="0"/>
        <v>297.52</v>
      </c>
      <c r="AE5" s="27">
        <f t="shared" si="0"/>
        <v>0</v>
      </c>
      <c r="AF5" s="27">
        <f t="shared" si="0"/>
        <v>0</v>
      </c>
      <c r="AG5" s="27">
        <f t="shared" si="0"/>
        <v>0</v>
      </c>
      <c r="AH5" s="27">
        <f t="shared" si="0"/>
        <v>0</v>
      </c>
      <c r="AI5" s="27">
        <f t="shared" si="0"/>
        <v>0</v>
      </c>
      <c r="AJ5" s="27">
        <f t="shared" si="0"/>
        <v>0</v>
      </c>
      <c r="AK5" s="27">
        <f t="shared" si="0"/>
        <v>0</v>
      </c>
      <c r="AL5" s="27">
        <f t="shared" si="0"/>
        <v>40</v>
      </c>
      <c r="AM5" s="27">
        <f t="shared" si="0"/>
        <v>0</v>
      </c>
      <c r="AN5" s="27">
        <f t="shared" si="0"/>
        <v>0</v>
      </c>
      <c r="AO5" s="27">
        <f t="shared" si="0"/>
        <v>0</v>
      </c>
      <c r="AP5" s="27">
        <f t="shared" si="0"/>
        <v>0</v>
      </c>
      <c r="AQ5" s="27">
        <f t="shared" si="0"/>
        <v>0</v>
      </c>
      <c r="AR5" s="27">
        <f t="shared" si="0"/>
        <v>0</v>
      </c>
      <c r="AS5" s="27">
        <f t="shared" si="0"/>
        <v>0</v>
      </c>
      <c r="AT5" s="27">
        <f t="shared" si="0"/>
        <v>3598.88</v>
      </c>
      <c r="AU5" s="958"/>
      <c r="AV5" s="26" t="s">
        <v>168</v>
      </c>
      <c r="AW5" s="959"/>
      <c r="AX5" s="959"/>
      <c r="AY5" s="28" t="s">
        <v>3</v>
      </c>
      <c r="AZ5" s="29">
        <f t="shared" ref="AZ5:BT5" si="1">SUM(AZ13:AZ641)</f>
        <v>51575.14</v>
      </c>
      <c r="BA5" s="29">
        <f t="shared" si="1"/>
        <v>51237.62</v>
      </c>
      <c r="BB5" s="29">
        <f t="shared" si="1"/>
        <v>43511.83</v>
      </c>
      <c r="BC5" s="29">
        <f t="shared" si="1"/>
        <v>7725.79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337.52</v>
      </c>
      <c r="BM5" s="29">
        <f t="shared" si="1"/>
        <v>297.52</v>
      </c>
      <c r="BN5" s="29">
        <f t="shared" si="1"/>
        <v>0</v>
      </c>
      <c r="BO5" s="29">
        <f t="shared" si="1"/>
        <v>0</v>
      </c>
      <c r="BP5" s="29">
        <f t="shared" si="1"/>
        <v>0</v>
      </c>
      <c r="BQ5" s="29">
        <f t="shared" si="1"/>
        <v>40</v>
      </c>
      <c r="BR5" s="29">
        <f t="shared" si="1"/>
        <v>0</v>
      </c>
      <c r="BS5" s="29">
        <f t="shared" si="1"/>
        <v>0</v>
      </c>
      <c r="BT5" s="30">
        <f t="shared" si="1"/>
        <v>0</v>
      </c>
    </row>
    <row r="6" spans="1:72" s="37" customFormat="1" ht="12.75">
      <c r="A6" s="26" t="s">
        <v>169</v>
      </c>
      <c r="B6" s="31"/>
      <c r="C6" s="31"/>
      <c r="D6" s="32"/>
      <c r="E6" s="27">
        <f>H6+AC6+AT6</f>
        <v>97473.989999999991</v>
      </c>
      <c r="F6" s="27" t="s">
        <v>1</v>
      </c>
      <c r="G6" s="27" t="s">
        <v>2</v>
      </c>
      <c r="H6" s="33">
        <f>SUMIF(I$12:AB$12,"总值",I6:AB6)</f>
        <v>96836.09</v>
      </c>
      <c r="I6" s="27">
        <f t="shared" ref="I6:AB6" si="2">ROUND($A$3*I5/$B$3,2)</f>
        <v>82234.8</v>
      </c>
      <c r="J6" s="27">
        <f t="shared" si="2"/>
        <v>0</v>
      </c>
      <c r="K6" s="27">
        <f t="shared" si="2"/>
        <v>14601.29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637.9</v>
      </c>
      <c r="AD6" s="27">
        <f t="shared" ref="AD6:AS6" si="3">ROUND($A$3*AD5/$B$3,2)</f>
        <v>562.29999999999995</v>
      </c>
      <c r="AE6" s="27">
        <f t="shared" si="3"/>
        <v>0</v>
      </c>
      <c r="AF6" s="27">
        <f t="shared" si="3"/>
        <v>0</v>
      </c>
      <c r="AG6" s="27">
        <f t="shared" si="3"/>
        <v>0</v>
      </c>
      <c r="AH6" s="27">
        <f t="shared" si="3"/>
        <v>0</v>
      </c>
      <c r="AI6" s="27">
        <f t="shared" si="3"/>
        <v>0</v>
      </c>
      <c r="AJ6" s="27">
        <f t="shared" si="3"/>
        <v>0</v>
      </c>
      <c r="AK6" s="27">
        <f t="shared" si="3"/>
        <v>0</v>
      </c>
      <c r="AL6" s="27">
        <f t="shared" si="3"/>
        <v>75.599999999999994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97473.98</v>
      </c>
      <c r="AZ6" s="27" t="s">
        <v>3</v>
      </c>
      <c r="BA6" s="27">
        <f>ROUND($AY$6*BA5/$AZ$5,2)</f>
        <v>96836.09</v>
      </c>
      <c r="BB6" s="27">
        <f>ROUND($AY$6*BB5/$AZ$5,2)</f>
        <v>82234.8</v>
      </c>
      <c r="BC6" s="27">
        <f t="shared" ref="BC6:BH6" si="4">ROUND($AY$6*BC5/$AZ$5,2)</f>
        <v>14601.29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637.89</v>
      </c>
      <c r="BM6" s="27">
        <f t="shared" si="5"/>
        <v>562.29999999999995</v>
      </c>
      <c r="BN6" s="27">
        <f t="shared" si="5"/>
        <v>0</v>
      </c>
      <c r="BO6" s="27">
        <f t="shared" si="5"/>
        <v>0</v>
      </c>
      <c r="BP6" s="27">
        <f t="shared" si="5"/>
        <v>0</v>
      </c>
      <c r="BQ6" s="27">
        <f t="shared" si="5"/>
        <v>75.599999999999994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3183</v>
      </c>
      <c r="J9" s="51"/>
      <c r="K9" s="2652" t="s">
        <v>3185</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3218</v>
      </c>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t="s">
        <v>3217</v>
      </c>
      <c r="J11" s="71"/>
      <c r="K11" s="2653" t="s">
        <v>3218</v>
      </c>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洋房</v>
      </c>
      <c r="BC12" s="79" t="str">
        <f>K11</f>
        <v>车库</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f>46513.77+11324.67</f>
        <v>57838.439999999995</v>
      </c>
      <c r="B13" s="2647"/>
      <c r="C13" s="2647"/>
      <c r="D13" s="2648" t="s">
        <v>1478</v>
      </c>
      <c r="E13" s="27">
        <f t="shared" ref="E13:E20" si="6">IF($C$3="是",ROUND($A$3*G13/$B$3,2),ROUND($A$3*(G13-AT13)/$B$3,2))</f>
        <v>97473.98</v>
      </c>
      <c r="F13" s="81"/>
      <c r="G13" s="82">
        <f t="shared" ref="G13:G20" si="7">H13+AC13+AT13</f>
        <v>55174.02</v>
      </c>
      <c r="H13" s="33">
        <f t="shared" ref="H13:H20" si="8">SUMIF(I$12:AB$12,"总值",I13:AB13)</f>
        <v>51237.62</v>
      </c>
      <c r="I13" s="2651">
        <v>43511.83</v>
      </c>
      <c r="J13" s="2651"/>
      <c r="K13" s="2651">
        <v>7725.79</v>
      </c>
      <c r="L13" s="2651"/>
      <c r="M13" s="2651"/>
      <c r="N13" s="83"/>
      <c r="O13" s="83"/>
      <c r="P13" s="83"/>
      <c r="Q13" s="83"/>
      <c r="R13" s="83"/>
      <c r="S13" s="83"/>
      <c r="T13" s="83"/>
      <c r="U13" s="83"/>
      <c r="V13" s="83"/>
      <c r="W13" s="83"/>
      <c r="X13" s="83"/>
      <c r="Y13" s="83"/>
      <c r="Z13" s="83"/>
      <c r="AA13" s="83"/>
      <c r="AB13" s="83"/>
      <c r="AC13" s="27">
        <f t="shared" ref="AC13:AC20" si="9">SUMIF(AD$12:AS$12,"总值",AD13:AS13)</f>
        <v>337.52</v>
      </c>
      <c r="AD13" s="2655">
        <f>154.77+142.75</f>
        <v>297.52</v>
      </c>
      <c r="AE13" s="2655"/>
      <c r="AF13" s="2655"/>
      <c r="AG13" s="2655"/>
      <c r="AH13" s="2655"/>
      <c r="AI13" s="2655"/>
      <c r="AJ13" s="2655"/>
      <c r="AK13" s="2655"/>
      <c r="AL13" s="2655">
        <v>40</v>
      </c>
      <c r="AM13" s="2655"/>
      <c r="AN13" s="2655"/>
      <c r="AO13" s="2655"/>
      <c r="AP13" s="2655"/>
      <c r="AQ13" s="2655"/>
      <c r="AR13" s="2655"/>
      <c r="AS13" s="2655"/>
      <c r="AT13" s="2656">
        <f>3598.88</f>
        <v>3598.88</v>
      </c>
      <c r="AU13" s="2657"/>
      <c r="AV13" s="17">
        <f t="shared" ref="AV13:AX20" si="10">A13</f>
        <v>57838.439999999995</v>
      </c>
      <c r="AW13" s="17">
        <f t="shared" si="10"/>
        <v>0</v>
      </c>
      <c r="AX13" s="17">
        <f t="shared" si="10"/>
        <v>0</v>
      </c>
      <c r="AY13" s="966">
        <f t="shared" ref="AY13:AY20" si="11">ROUND($AY$6*AZ13/$AZ$5,2)</f>
        <v>97473.98</v>
      </c>
      <c r="AZ13" s="27">
        <f t="shared" ref="AZ13:AZ20" si="12">BA13+BL13</f>
        <v>51575.14</v>
      </c>
      <c r="BA13" s="27">
        <f t="shared" ref="BA13:BA20" si="13">SUM(BB13:BK13)</f>
        <v>51237.62</v>
      </c>
      <c r="BB13" s="27">
        <f t="shared" ref="BB13:BB20" si="14">IF($D13="是",I13-J13,0)</f>
        <v>43511.83</v>
      </c>
      <c r="BC13" s="27">
        <f t="shared" ref="BC13:BC20" si="15">IF($D13="是",K13-L13,0)</f>
        <v>7725.79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337.52</v>
      </c>
      <c r="BM13" s="27">
        <f t="shared" ref="BM13:BM20" si="25">IF($D13="是",AD13-AE13,0)</f>
        <v>297.52</v>
      </c>
      <c r="BN13" s="27">
        <f t="shared" ref="BN13:BN20" si="26">IF($D13="是",AF13-AG13,0)</f>
        <v>0</v>
      </c>
      <c r="BO13" s="27">
        <f t="shared" ref="BO13:BO20" si="27">IF($D13="是",AH13-AI13,0)</f>
        <v>0</v>
      </c>
      <c r="BP13" s="27">
        <f t="shared" ref="BP13:BP20" si="28">IF($D13="是",AJ13-AK13,0)</f>
        <v>0</v>
      </c>
      <c r="BQ13" s="27">
        <f t="shared" ref="BQ13:BQ20" si="29">IF($D13="是",AL13-AM13,0)</f>
        <v>40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6" t="s">
        <v>0</v>
      </c>
      <c r="B1" s="3536" t="s">
        <v>4</v>
      </c>
      <c r="C1" s="3536" t="s">
        <v>5</v>
      </c>
      <c r="D1" s="3537" t="s">
        <v>40</v>
      </c>
      <c r="E1" s="3537" t="s">
        <v>41</v>
      </c>
      <c r="F1" s="3537"/>
      <c r="G1" s="3537"/>
      <c r="H1" s="3537"/>
      <c r="I1" s="3537"/>
      <c r="J1" s="3537"/>
      <c r="K1" s="3537"/>
      <c r="L1" s="3537"/>
      <c r="M1" s="3537"/>
    </row>
    <row r="2" spans="1:13" ht="27" customHeight="1">
      <c r="A2" s="3536"/>
      <c r="B2" s="3536"/>
      <c r="C2" s="3536"/>
      <c r="D2" s="3537"/>
      <c r="E2" s="3537" t="s">
        <v>24</v>
      </c>
      <c r="F2" s="3537" t="s">
        <v>25</v>
      </c>
      <c r="G2" s="3537"/>
      <c r="H2" s="3537"/>
      <c r="I2" s="3537"/>
      <c r="J2" s="3537" t="s">
        <v>26</v>
      </c>
      <c r="K2" s="3537"/>
      <c r="L2" s="3537"/>
      <c r="M2" s="3537"/>
    </row>
    <row r="3" spans="1:13" ht="28.5">
      <c r="A3" s="3536"/>
      <c r="B3" s="3536"/>
      <c r="C3" s="3536"/>
      <c r="D3" s="3537"/>
      <c r="E3" s="35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7" t="s">
        <v>42</v>
      </c>
      <c r="B9" s="3537"/>
      <c r="C9" s="35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76"/>
  <sheetViews>
    <sheetView workbookViewId="0">
      <selection activeCell="G10" sqref="G10"/>
    </sheetView>
  </sheetViews>
  <sheetFormatPr defaultRowHeight="12"/>
  <cols>
    <col min="1" max="2" width="9" style="3447"/>
    <col min="3" max="3" width="12.375" style="3447" customWidth="1"/>
    <col min="4" max="4" width="11.375" style="3447" customWidth="1"/>
    <col min="5" max="6" width="9" style="3447"/>
    <col min="7" max="7" width="9.375" style="3447" bestFit="1" customWidth="1"/>
    <col min="8" max="10" width="9" style="3447"/>
    <col min="11" max="11" width="9.75" style="3447" customWidth="1"/>
    <col min="12" max="14" width="9" style="3447"/>
    <col min="15" max="15" width="8.5" style="3447" customWidth="1"/>
    <col min="16" max="16384" width="9" style="3447"/>
  </cols>
  <sheetData>
    <row r="1" spans="1:15" ht="36">
      <c r="C1" s="3447" t="s">
        <v>3116</v>
      </c>
      <c r="D1" s="3447" t="s">
        <v>3118</v>
      </c>
      <c r="E1" s="3447" t="s">
        <v>3120</v>
      </c>
      <c r="F1" s="3447" t="s">
        <v>3121</v>
      </c>
      <c r="G1" s="3447" t="s">
        <v>3123</v>
      </c>
      <c r="H1" s="3447" t="s">
        <v>3206</v>
      </c>
      <c r="I1" s="3447" t="s">
        <v>3207</v>
      </c>
      <c r="J1" s="3447" t="s">
        <v>3208</v>
      </c>
      <c r="K1" s="3447" t="s">
        <v>3211</v>
      </c>
      <c r="L1" s="3447" t="s">
        <v>3212</v>
      </c>
      <c r="M1" s="3447" t="s">
        <v>3214</v>
      </c>
      <c r="N1" s="3447" t="s">
        <v>3215</v>
      </c>
      <c r="O1" s="3447" t="s">
        <v>4154</v>
      </c>
    </row>
    <row r="2" spans="1:15" ht="44.25" customHeight="1">
      <c r="B2" s="3447" t="s">
        <v>3201</v>
      </c>
      <c r="C2" s="3447" t="s">
        <v>4208</v>
      </c>
      <c r="D2" s="3447" t="s">
        <v>3221</v>
      </c>
      <c r="E2" s="3447">
        <v>97473.98</v>
      </c>
      <c r="F2" s="3447" t="s">
        <v>3122</v>
      </c>
      <c r="G2" s="3448">
        <v>64904</v>
      </c>
      <c r="H2" s="3447">
        <v>0.45</v>
      </c>
      <c r="I2" s="3447">
        <v>43863.29</v>
      </c>
      <c r="J2" s="3447">
        <v>87000</v>
      </c>
      <c r="K2" s="3450">
        <f>154292279.268257/10000</f>
        <v>15429.227926825699</v>
      </c>
      <c r="L2" s="3447" t="s">
        <v>3209</v>
      </c>
      <c r="M2" s="3447">
        <v>23000</v>
      </c>
      <c r="N2" s="3447" t="s">
        <v>3216</v>
      </c>
      <c r="O2" s="3447">
        <f>ROUND(K2/I2*10000,0)</f>
        <v>3518</v>
      </c>
    </row>
    <row r="3" spans="1:15" ht="36">
      <c r="B3" s="3447" t="s">
        <v>3202</v>
      </c>
      <c r="C3" s="3447" t="s">
        <v>3200</v>
      </c>
      <c r="D3" s="3447" t="s">
        <v>3119</v>
      </c>
      <c r="E3" s="3447">
        <v>96040.29</v>
      </c>
      <c r="F3" s="3447" t="s">
        <v>3122</v>
      </c>
      <c r="G3" s="3448">
        <v>64904</v>
      </c>
      <c r="H3" s="3447">
        <v>0.45</v>
      </c>
      <c r="I3" s="3447">
        <v>43218.13</v>
      </c>
      <c r="J3" s="3447">
        <v>86000</v>
      </c>
      <c r="K3" s="3450">
        <f>152022880.831217/10000</f>
        <v>15202.288083121699</v>
      </c>
      <c r="L3" s="3447" t="s">
        <v>3210</v>
      </c>
      <c r="M3" s="3447">
        <v>23000</v>
      </c>
      <c r="N3" s="3447" t="s">
        <v>3216</v>
      </c>
      <c r="O3" s="3447">
        <f>ROUND(K3/I3*10000,0)</f>
        <v>3518</v>
      </c>
    </row>
    <row r="6" spans="1:15">
      <c r="A6" s="3449" t="s">
        <v>3117</v>
      </c>
      <c r="B6" s="3449"/>
      <c r="C6" s="3449"/>
      <c r="D6" s="3449"/>
      <c r="E6" s="3449"/>
      <c r="F6" s="3449"/>
      <c r="H6" s="3449" t="s">
        <v>3203</v>
      </c>
      <c r="I6" s="3449"/>
      <c r="J6" s="3449"/>
      <c r="K6" s="3449"/>
      <c r="L6" s="3449"/>
      <c r="M6" s="3449"/>
    </row>
    <row r="7" spans="1:15">
      <c r="A7" s="3449"/>
      <c r="B7" s="3449" t="s">
        <v>3184</v>
      </c>
      <c r="C7" s="3449" t="s">
        <v>3186</v>
      </c>
      <c r="D7" s="3449" t="s">
        <v>3189</v>
      </c>
      <c r="E7" s="3449" t="s">
        <v>3187</v>
      </c>
      <c r="F7" s="3449" t="s">
        <v>3188</v>
      </c>
      <c r="H7" s="3449"/>
      <c r="I7" s="3449" t="s">
        <v>3184</v>
      </c>
      <c r="J7" s="3449" t="s">
        <v>3186</v>
      </c>
      <c r="K7" s="3449" t="s">
        <v>3189</v>
      </c>
      <c r="L7" s="3449" t="s">
        <v>3187</v>
      </c>
      <c r="M7" s="3449" t="s">
        <v>3188</v>
      </c>
    </row>
    <row r="8" spans="1:15">
      <c r="A8" s="3449" t="s">
        <v>3124</v>
      </c>
      <c r="B8" s="3449">
        <v>785.99</v>
      </c>
      <c r="C8" s="3449">
        <v>0</v>
      </c>
      <c r="D8" s="3449">
        <f>B8+C8</f>
        <v>785.99</v>
      </c>
      <c r="E8" s="3449">
        <v>4</v>
      </c>
      <c r="F8" s="3449">
        <v>0</v>
      </c>
      <c r="H8" s="3449" t="s">
        <v>3124</v>
      </c>
      <c r="I8" s="3449">
        <v>785.99</v>
      </c>
      <c r="J8" s="3449">
        <v>0</v>
      </c>
      <c r="K8" s="3449">
        <f>I8+J8</f>
        <v>785.99</v>
      </c>
      <c r="L8" s="3449">
        <v>4</v>
      </c>
      <c r="M8" s="3449">
        <v>0</v>
      </c>
    </row>
    <row r="9" spans="1:15">
      <c r="A9" s="3447" t="s">
        <v>3126</v>
      </c>
      <c r="B9" s="3449">
        <v>785.99</v>
      </c>
      <c r="C9" s="3449">
        <v>0</v>
      </c>
      <c r="D9" s="3449">
        <f t="shared" ref="D9:D15" si="0">B9+C9</f>
        <v>785.99</v>
      </c>
      <c r="E9" s="3449">
        <v>4</v>
      </c>
      <c r="F9" s="3449">
        <v>0</v>
      </c>
      <c r="H9" s="3449" t="s">
        <v>3125</v>
      </c>
      <c r="I9" s="3449">
        <v>785.99</v>
      </c>
      <c r="J9" s="3449">
        <v>0</v>
      </c>
      <c r="K9" s="3449">
        <f t="shared" ref="K9:K26" si="1">I9+J9</f>
        <v>785.99</v>
      </c>
      <c r="L9" s="3449">
        <v>4</v>
      </c>
      <c r="M9" s="3449">
        <v>0</v>
      </c>
    </row>
    <row r="10" spans="1:15">
      <c r="A10" s="3447" t="s">
        <v>3127</v>
      </c>
      <c r="B10" s="3449">
        <v>785.99</v>
      </c>
      <c r="C10" s="3449">
        <v>0</v>
      </c>
      <c r="D10" s="3449">
        <f t="shared" si="0"/>
        <v>785.99</v>
      </c>
      <c r="E10" s="3449">
        <v>4</v>
      </c>
      <c r="F10" s="3449">
        <v>0</v>
      </c>
      <c r="H10" s="3449" t="s">
        <v>3127</v>
      </c>
      <c r="I10" s="3449">
        <v>785.99</v>
      </c>
      <c r="J10" s="3449">
        <v>0</v>
      </c>
      <c r="K10" s="3449">
        <f t="shared" si="1"/>
        <v>785.99</v>
      </c>
      <c r="L10" s="3449">
        <v>4</v>
      </c>
      <c r="M10" s="3449">
        <v>0</v>
      </c>
    </row>
    <row r="11" spans="1:15">
      <c r="A11" s="3447" t="s">
        <v>3128</v>
      </c>
      <c r="B11" s="3449">
        <v>785.99</v>
      </c>
      <c r="C11" s="3449">
        <v>0</v>
      </c>
      <c r="D11" s="3449">
        <f t="shared" si="0"/>
        <v>785.99</v>
      </c>
      <c r="E11" s="3449">
        <v>4</v>
      </c>
      <c r="F11" s="3449">
        <v>0</v>
      </c>
      <c r="H11" s="3449" t="s">
        <v>3128</v>
      </c>
      <c r="I11" s="3449">
        <v>785.99</v>
      </c>
      <c r="J11" s="3449">
        <v>0</v>
      </c>
      <c r="K11" s="3449">
        <f t="shared" si="1"/>
        <v>785.99</v>
      </c>
      <c r="L11" s="3449">
        <v>4</v>
      </c>
      <c r="M11" s="3449">
        <v>0</v>
      </c>
    </row>
    <row r="12" spans="1:15">
      <c r="A12" s="3447" t="s">
        <v>3129</v>
      </c>
      <c r="B12" s="3449">
        <v>785.99</v>
      </c>
      <c r="C12" s="3449">
        <v>0</v>
      </c>
      <c r="D12" s="3449">
        <f t="shared" si="0"/>
        <v>785.99</v>
      </c>
      <c r="E12" s="3449">
        <v>4</v>
      </c>
      <c r="F12" s="3449">
        <v>0</v>
      </c>
      <c r="H12" s="3449" t="s">
        <v>3129</v>
      </c>
      <c r="I12" s="3449">
        <v>785.99</v>
      </c>
      <c r="J12" s="3449">
        <v>0</v>
      </c>
      <c r="K12" s="3449">
        <f t="shared" si="1"/>
        <v>785.99</v>
      </c>
      <c r="L12" s="3449">
        <v>4</v>
      </c>
      <c r="M12" s="3449">
        <v>0</v>
      </c>
    </row>
    <row r="13" spans="1:15">
      <c r="A13" s="3447" t="s">
        <v>3130</v>
      </c>
      <c r="B13" s="3449">
        <v>785.99</v>
      </c>
      <c r="C13" s="3449">
        <v>0</v>
      </c>
      <c r="D13" s="3449">
        <f t="shared" si="0"/>
        <v>785.99</v>
      </c>
      <c r="E13" s="3449">
        <v>4</v>
      </c>
      <c r="F13" s="3449">
        <v>0</v>
      </c>
      <c r="H13" s="3449" t="s">
        <v>3130</v>
      </c>
      <c r="I13" s="3449">
        <v>785.99</v>
      </c>
      <c r="J13" s="3449">
        <v>0</v>
      </c>
      <c r="K13" s="3449">
        <f t="shared" si="1"/>
        <v>785.99</v>
      </c>
      <c r="L13" s="3449">
        <v>4</v>
      </c>
      <c r="M13" s="3449">
        <v>0</v>
      </c>
    </row>
    <row r="14" spans="1:15">
      <c r="A14" s="3447" t="s">
        <v>3131</v>
      </c>
      <c r="B14" s="3449">
        <v>785.99</v>
      </c>
      <c r="C14" s="3449">
        <v>0</v>
      </c>
      <c r="D14" s="3449">
        <f t="shared" si="0"/>
        <v>785.99</v>
      </c>
      <c r="E14" s="3449">
        <v>4</v>
      </c>
      <c r="F14" s="3449">
        <v>0</v>
      </c>
      <c r="H14" s="3449" t="s">
        <v>3131</v>
      </c>
      <c r="I14" s="3449">
        <v>785.99</v>
      </c>
      <c r="J14" s="3449">
        <v>0</v>
      </c>
      <c r="K14" s="3449">
        <f t="shared" si="1"/>
        <v>785.99</v>
      </c>
      <c r="L14" s="3449">
        <v>4</v>
      </c>
      <c r="M14" s="3449">
        <v>0</v>
      </c>
    </row>
    <row r="15" spans="1:15">
      <c r="A15" s="3447" t="s">
        <v>3132</v>
      </c>
      <c r="B15" s="3449">
        <v>920.53</v>
      </c>
      <c r="C15" s="3449">
        <v>0</v>
      </c>
      <c r="D15" s="3449">
        <f t="shared" si="0"/>
        <v>920.53</v>
      </c>
      <c r="E15" s="3449">
        <v>4</v>
      </c>
      <c r="F15" s="3449">
        <v>0</v>
      </c>
      <c r="H15" s="3449" t="s">
        <v>3132</v>
      </c>
      <c r="I15" s="3449">
        <v>785.99</v>
      </c>
      <c r="J15" s="3449">
        <v>0</v>
      </c>
      <c r="K15" s="3449">
        <f t="shared" si="1"/>
        <v>785.99</v>
      </c>
      <c r="L15" s="3449">
        <v>4</v>
      </c>
      <c r="M15" s="3449">
        <v>0</v>
      </c>
    </row>
    <row r="16" spans="1:15">
      <c r="A16" s="3447" t="s">
        <v>3133</v>
      </c>
      <c r="B16" s="3449">
        <v>920.53</v>
      </c>
      <c r="C16" s="3449">
        <v>0</v>
      </c>
      <c r="D16" s="3449">
        <f t="shared" ref="D16:D20" si="2">B16+C16</f>
        <v>920.53</v>
      </c>
      <c r="E16" s="3449">
        <v>4</v>
      </c>
      <c r="F16" s="3449">
        <v>0</v>
      </c>
      <c r="H16" s="3449" t="s">
        <v>3133</v>
      </c>
      <c r="I16" s="3449">
        <v>920.53</v>
      </c>
      <c r="J16" s="3449">
        <v>0</v>
      </c>
      <c r="K16" s="3449">
        <f t="shared" si="1"/>
        <v>920.53</v>
      </c>
      <c r="L16" s="3449">
        <v>4</v>
      </c>
      <c r="M16" s="3449">
        <v>0</v>
      </c>
    </row>
    <row r="17" spans="1:13">
      <c r="A17" s="3447" t="s">
        <v>3134</v>
      </c>
      <c r="B17" s="3449">
        <v>920.53</v>
      </c>
      <c r="C17" s="3449">
        <v>0</v>
      </c>
      <c r="D17" s="3449">
        <f t="shared" si="2"/>
        <v>920.53</v>
      </c>
      <c r="E17" s="3449">
        <v>4</v>
      </c>
      <c r="F17" s="3449">
        <v>0</v>
      </c>
      <c r="H17" s="3449" t="s">
        <v>3134</v>
      </c>
      <c r="I17" s="3449">
        <v>920.53</v>
      </c>
      <c r="J17" s="3449">
        <v>0</v>
      </c>
      <c r="K17" s="3449">
        <f t="shared" si="1"/>
        <v>920.53</v>
      </c>
      <c r="L17" s="3449">
        <v>4</v>
      </c>
      <c r="M17" s="3449">
        <v>0</v>
      </c>
    </row>
    <row r="18" spans="1:13">
      <c r="A18" s="3447" t="s">
        <v>3135</v>
      </c>
      <c r="B18" s="3449">
        <v>920.53</v>
      </c>
      <c r="C18" s="3449">
        <v>0</v>
      </c>
      <c r="D18" s="3449">
        <f t="shared" si="2"/>
        <v>920.53</v>
      </c>
      <c r="E18" s="3449">
        <v>4</v>
      </c>
      <c r="F18" s="3449">
        <v>0</v>
      </c>
      <c r="H18" s="3449" t="s">
        <v>3135</v>
      </c>
      <c r="I18" s="3449">
        <v>920.53</v>
      </c>
      <c r="J18" s="3449">
        <v>0</v>
      </c>
      <c r="K18" s="3449">
        <f t="shared" si="1"/>
        <v>920.53</v>
      </c>
      <c r="L18" s="3449">
        <v>4</v>
      </c>
      <c r="M18" s="3449">
        <v>0</v>
      </c>
    </row>
    <row r="19" spans="1:13">
      <c r="A19" s="3447" t="s">
        <v>3136</v>
      </c>
      <c r="B19" s="3449">
        <v>920.53</v>
      </c>
      <c r="C19" s="3449">
        <v>0</v>
      </c>
      <c r="D19" s="3449">
        <f t="shared" si="2"/>
        <v>920.53</v>
      </c>
      <c r="E19" s="3449">
        <v>4</v>
      </c>
      <c r="F19" s="3449">
        <v>0</v>
      </c>
      <c r="H19" s="3449" t="s">
        <v>3136</v>
      </c>
      <c r="I19" s="3449">
        <v>920.53</v>
      </c>
      <c r="J19" s="3449">
        <v>0</v>
      </c>
      <c r="K19" s="3449">
        <f t="shared" si="1"/>
        <v>920.53</v>
      </c>
      <c r="L19" s="3449">
        <v>4</v>
      </c>
      <c r="M19" s="3449">
        <v>0</v>
      </c>
    </row>
    <row r="20" spans="1:13">
      <c r="A20" s="3447" t="s">
        <v>3137</v>
      </c>
      <c r="B20" s="3449">
        <v>594.99</v>
      </c>
      <c r="C20" s="3449">
        <v>0</v>
      </c>
      <c r="D20" s="3449">
        <f t="shared" si="2"/>
        <v>594.99</v>
      </c>
      <c r="E20" s="3449">
        <v>4</v>
      </c>
      <c r="F20" s="3449">
        <v>0</v>
      </c>
      <c r="H20" s="3449" t="s">
        <v>3137</v>
      </c>
      <c r="I20" s="3449">
        <v>920.53</v>
      </c>
      <c r="J20" s="3449">
        <v>0</v>
      </c>
      <c r="K20" s="3449">
        <f t="shared" si="1"/>
        <v>920.53</v>
      </c>
      <c r="L20" s="3449">
        <v>4</v>
      </c>
      <c r="M20" s="3449">
        <v>0</v>
      </c>
    </row>
    <row r="21" spans="1:13">
      <c r="A21" s="3447" t="s">
        <v>3138</v>
      </c>
      <c r="B21" s="3449">
        <v>594.99</v>
      </c>
      <c r="C21" s="3449">
        <v>0</v>
      </c>
      <c r="D21" s="3449">
        <f t="shared" ref="D21:D22" si="3">B21+C21</f>
        <v>594.99</v>
      </c>
      <c r="E21" s="3449">
        <v>4</v>
      </c>
      <c r="F21" s="3449">
        <v>0</v>
      </c>
      <c r="H21" s="3449" t="s">
        <v>3138</v>
      </c>
      <c r="I21" s="3449">
        <v>920.53</v>
      </c>
      <c r="J21" s="3449">
        <v>0</v>
      </c>
      <c r="K21" s="3449">
        <f t="shared" si="1"/>
        <v>920.53</v>
      </c>
      <c r="L21" s="3449">
        <v>4</v>
      </c>
      <c r="M21" s="3449">
        <v>0</v>
      </c>
    </row>
    <row r="22" spans="1:13">
      <c r="A22" s="3447" t="s">
        <v>3139</v>
      </c>
      <c r="B22" s="3449">
        <v>594.99</v>
      </c>
      <c r="C22" s="3449">
        <v>0</v>
      </c>
      <c r="D22" s="3449">
        <f t="shared" si="3"/>
        <v>594.99</v>
      </c>
      <c r="E22" s="3449">
        <v>4</v>
      </c>
      <c r="F22" s="3449">
        <v>0</v>
      </c>
      <c r="H22" s="3449" t="s">
        <v>3139</v>
      </c>
      <c r="I22" s="3449">
        <v>920.53</v>
      </c>
      <c r="J22" s="3449">
        <v>0</v>
      </c>
      <c r="K22" s="3449">
        <f t="shared" si="1"/>
        <v>920.53</v>
      </c>
      <c r="L22" s="3449">
        <v>4</v>
      </c>
      <c r="M22" s="3449">
        <v>0</v>
      </c>
    </row>
    <row r="23" spans="1:13">
      <c r="A23" s="3447" t="s">
        <v>3140</v>
      </c>
      <c r="B23" s="3449">
        <v>594.99</v>
      </c>
      <c r="C23" s="3449">
        <v>0</v>
      </c>
      <c r="D23" s="3449">
        <f t="shared" ref="D23:D28" si="4">B23+C23</f>
        <v>594.99</v>
      </c>
      <c r="E23" s="3449">
        <v>4</v>
      </c>
      <c r="F23" s="3449">
        <v>0</v>
      </c>
      <c r="H23" s="3449" t="s">
        <v>3140</v>
      </c>
      <c r="I23" s="3449">
        <v>922.57</v>
      </c>
      <c r="J23" s="3449">
        <v>0</v>
      </c>
      <c r="K23" s="3449">
        <f t="shared" si="1"/>
        <v>922.57</v>
      </c>
      <c r="L23" s="3449">
        <v>4</v>
      </c>
      <c r="M23" s="3449">
        <v>0</v>
      </c>
    </row>
    <row r="24" spans="1:13">
      <c r="A24" s="3447" t="s">
        <v>3141</v>
      </c>
      <c r="B24" s="3449">
        <v>594.99</v>
      </c>
      <c r="C24" s="3449">
        <v>0</v>
      </c>
      <c r="D24" s="3449">
        <f t="shared" si="4"/>
        <v>594.99</v>
      </c>
      <c r="E24" s="3449">
        <v>4</v>
      </c>
      <c r="F24" s="3449">
        <v>0</v>
      </c>
      <c r="H24" s="3449" t="s">
        <v>3141</v>
      </c>
      <c r="I24" s="3449">
        <v>922.57</v>
      </c>
      <c r="J24" s="3449">
        <v>0</v>
      </c>
      <c r="K24" s="3449">
        <f t="shared" si="1"/>
        <v>922.57</v>
      </c>
      <c r="L24" s="3449">
        <v>4</v>
      </c>
      <c r="M24" s="3449">
        <v>0</v>
      </c>
    </row>
    <row r="25" spans="1:13">
      <c r="A25" s="3447" t="s">
        <v>3142</v>
      </c>
      <c r="B25" s="3449">
        <v>594.99</v>
      </c>
      <c r="C25" s="3449">
        <v>0</v>
      </c>
      <c r="D25" s="3449">
        <f t="shared" si="4"/>
        <v>594.99</v>
      </c>
      <c r="E25" s="3449">
        <v>4</v>
      </c>
      <c r="F25" s="3449">
        <v>0</v>
      </c>
      <c r="H25" s="3449" t="s">
        <v>3142</v>
      </c>
      <c r="I25" s="3449">
        <v>922.57</v>
      </c>
      <c r="J25" s="3449">
        <v>0</v>
      </c>
      <c r="K25" s="3449">
        <f t="shared" si="1"/>
        <v>922.57</v>
      </c>
      <c r="L25" s="3449">
        <v>4</v>
      </c>
      <c r="M25" s="3449">
        <v>0</v>
      </c>
    </row>
    <row r="26" spans="1:13">
      <c r="A26" s="3447" t="s">
        <v>3143</v>
      </c>
      <c r="B26" s="3449">
        <v>594.99</v>
      </c>
      <c r="C26" s="3449">
        <v>0</v>
      </c>
      <c r="D26" s="3449">
        <f t="shared" si="4"/>
        <v>594.99</v>
      </c>
      <c r="E26" s="3449">
        <v>4</v>
      </c>
      <c r="F26" s="3449">
        <v>0</v>
      </c>
      <c r="H26" s="3449" t="s">
        <v>3143</v>
      </c>
      <c r="I26" s="3449">
        <v>594.99</v>
      </c>
      <c r="J26" s="3449">
        <v>0</v>
      </c>
      <c r="K26" s="3449">
        <f t="shared" si="1"/>
        <v>594.99</v>
      </c>
      <c r="L26" s="3449">
        <v>4</v>
      </c>
      <c r="M26" s="3449">
        <v>0</v>
      </c>
    </row>
    <row r="27" spans="1:13">
      <c r="A27" s="3447" t="s">
        <v>3144</v>
      </c>
      <c r="B27" s="3449">
        <v>922.57</v>
      </c>
      <c r="C27" s="3449">
        <v>0</v>
      </c>
      <c r="D27" s="3449">
        <f t="shared" si="4"/>
        <v>922.57</v>
      </c>
      <c r="E27" s="3449">
        <v>4</v>
      </c>
      <c r="F27" s="3449">
        <v>0</v>
      </c>
      <c r="H27" s="3449" t="s">
        <v>3144</v>
      </c>
      <c r="I27" s="3449">
        <v>920.53</v>
      </c>
      <c r="J27" s="3449">
        <v>0</v>
      </c>
      <c r="K27" s="3449">
        <f t="shared" ref="K27" si="5">I27+J27</f>
        <v>920.53</v>
      </c>
      <c r="L27" s="3449">
        <v>4</v>
      </c>
      <c r="M27" s="3449">
        <v>0</v>
      </c>
    </row>
    <row r="28" spans="1:13">
      <c r="A28" s="3449" t="s">
        <v>3145</v>
      </c>
      <c r="B28" s="3449">
        <v>920.53</v>
      </c>
      <c r="C28" s="3449">
        <v>0</v>
      </c>
      <c r="D28" s="3449">
        <f t="shared" si="4"/>
        <v>920.53</v>
      </c>
      <c r="E28" s="3449">
        <v>4</v>
      </c>
      <c r="F28" s="3449">
        <v>0</v>
      </c>
      <c r="H28" s="3449" t="s">
        <v>3145</v>
      </c>
      <c r="I28" s="3449">
        <v>920.53</v>
      </c>
      <c r="J28" s="3449">
        <v>0</v>
      </c>
      <c r="K28" s="3449">
        <f t="shared" ref="K28:K36" si="6">I28+J28</f>
        <v>920.53</v>
      </c>
      <c r="L28" s="3449">
        <v>4</v>
      </c>
      <c r="M28" s="3449">
        <v>0</v>
      </c>
    </row>
    <row r="29" spans="1:13">
      <c r="A29" s="3449" t="s">
        <v>3146</v>
      </c>
      <c r="B29" s="3449">
        <v>922.57</v>
      </c>
      <c r="C29" s="3449">
        <v>0</v>
      </c>
      <c r="D29" s="3449">
        <f t="shared" ref="D29:D36" si="7">B29+C29</f>
        <v>922.57</v>
      </c>
      <c r="E29" s="3449">
        <v>4</v>
      </c>
      <c r="F29" s="3449">
        <v>0</v>
      </c>
      <c r="H29" s="3449" t="s">
        <v>3146</v>
      </c>
      <c r="I29" s="3449">
        <v>923.08</v>
      </c>
      <c r="J29" s="3449">
        <v>0</v>
      </c>
      <c r="K29" s="3449">
        <f t="shared" si="6"/>
        <v>923.08</v>
      </c>
      <c r="L29" s="3449">
        <v>4</v>
      </c>
      <c r="M29" s="3449">
        <v>0</v>
      </c>
    </row>
    <row r="30" spans="1:13">
      <c r="A30" s="3449" t="s">
        <v>3147</v>
      </c>
      <c r="B30" s="3449">
        <v>924.32</v>
      </c>
      <c r="C30" s="3449">
        <v>0</v>
      </c>
      <c r="D30" s="3449">
        <f t="shared" si="7"/>
        <v>924.32</v>
      </c>
      <c r="E30" s="3449">
        <v>4</v>
      </c>
      <c r="F30" s="3449">
        <v>0</v>
      </c>
      <c r="H30" s="3449" t="s">
        <v>3147</v>
      </c>
      <c r="I30" s="3449">
        <v>920.53</v>
      </c>
      <c r="J30" s="3449">
        <v>0</v>
      </c>
      <c r="K30" s="3449">
        <f t="shared" si="6"/>
        <v>920.53</v>
      </c>
      <c r="L30" s="3449">
        <v>4</v>
      </c>
      <c r="M30" s="3449">
        <v>0</v>
      </c>
    </row>
    <row r="31" spans="1:13">
      <c r="A31" s="3449" t="s">
        <v>3148</v>
      </c>
      <c r="B31" s="3449">
        <v>924.28</v>
      </c>
      <c r="C31" s="3449">
        <v>0</v>
      </c>
      <c r="D31" s="3449">
        <f t="shared" si="7"/>
        <v>924.28</v>
      </c>
      <c r="E31" s="3449">
        <v>4</v>
      </c>
      <c r="F31" s="3449">
        <v>0</v>
      </c>
      <c r="H31" s="3449" t="s">
        <v>3148</v>
      </c>
      <c r="I31" s="3449">
        <v>920.53</v>
      </c>
      <c r="J31" s="3449">
        <v>0</v>
      </c>
      <c r="K31" s="3449">
        <f t="shared" si="6"/>
        <v>920.53</v>
      </c>
      <c r="L31" s="3449">
        <v>4</v>
      </c>
      <c r="M31" s="3449">
        <v>0</v>
      </c>
    </row>
    <row r="32" spans="1:13">
      <c r="A32" s="3449" t="s">
        <v>3149</v>
      </c>
      <c r="B32" s="3449">
        <v>920.53</v>
      </c>
      <c r="C32" s="3449">
        <v>0</v>
      </c>
      <c r="D32" s="3449">
        <f t="shared" si="7"/>
        <v>920.53</v>
      </c>
      <c r="E32" s="3449">
        <v>4</v>
      </c>
      <c r="F32" s="3449">
        <v>0</v>
      </c>
      <c r="H32" s="3449" t="s">
        <v>3149</v>
      </c>
      <c r="I32" s="3449">
        <v>920.53</v>
      </c>
      <c r="J32" s="3449">
        <v>0</v>
      </c>
      <c r="K32" s="3449">
        <f t="shared" si="6"/>
        <v>920.53</v>
      </c>
      <c r="L32" s="3449">
        <v>4</v>
      </c>
      <c r="M32" s="3449">
        <v>0</v>
      </c>
    </row>
    <row r="33" spans="1:13">
      <c r="A33" s="3449" t="s">
        <v>3150</v>
      </c>
      <c r="B33" s="3449">
        <v>594.99</v>
      </c>
      <c r="C33" s="3449">
        <v>0</v>
      </c>
      <c r="D33" s="3449">
        <f t="shared" si="7"/>
        <v>594.99</v>
      </c>
      <c r="E33" s="3449">
        <v>4</v>
      </c>
      <c r="F33" s="3449">
        <v>0</v>
      </c>
      <c r="H33" s="3449" t="s">
        <v>3150</v>
      </c>
      <c r="I33" s="3449">
        <v>920.53</v>
      </c>
      <c r="J33" s="3449">
        <v>0</v>
      </c>
      <c r="K33" s="3449">
        <f t="shared" si="6"/>
        <v>920.53</v>
      </c>
      <c r="L33" s="3449">
        <v>4</v>
      </c>
      <c r="M33" s="3449">
        <v>0</v>
      </c>
    </row>
    <row r="34" spans="1:13">
      <c r="A34" s="3449" t="s">
        <v>3151</v>
      </c>
      <c r="B34" s="3449">
        <v>594.99</v>
      </c>
      <c r="C34" s="3449">
        <v>0</v>
      </c>
      <c r="D34" s="3449">
        <f t="shared" si="7"/>
        <v>594.99</v>
      </c>
      <c r="E34" s="3449">
        <v>4</v>
      </c>
      <c r="F34" s="3449">
        <v>0</v>
      </c>
      <c r="H34" s="3449" t="s">
        <v>3151</v>
      </c>
      <c r="I34" s="3449">
        <v>923.08</v>
      </c>
      <c r="J34" s="3449">
        <v>0</v>
      </c>
      <c r="K34" s="3449">
        <f t="shared" si="6"/>
        <v>923.08</v>
      </c>
      <c r="L34" s="3449">
        <v>4</v>
      </c>
      <c r="M34" s="3449">
        <v>0</v>
      </c>
    </row>
    <row r="35" spans="1:13">
      <c r="A35" s="3449" t="s">
        <v>3152</v>
      </c>
      <c r="B35" s="3449">
        <v>594.99</v>
      </c>
      <c r="C35" s="3449">
        <v>0</v>
      </c>
      <c r="D35" s="3449">
        <f t="shared" si="7"/>
        <v>594.99</v>
      </c>
      <c r="E35" s="3449">
        <v>4</v>
      </c>
      <c r="F35" s="3449">
        <v>0</v>
      </c>
      <c r="H35" s="3449" t="s">
        <v>3152</v>
      </c>
      <c r="I35" s="3449">
        <v>920.53</v>
      </c>
      <c r="J35" s="3449">
        <v>0</v>
      </c>
      <c r="K35" s="3449">
        <f t="shared" si="6"/>
        <v>920.53</v>
      </c>
      <c r="L35" s="3449">
        <v>4</v>
      </c>
      <c r="M35" s="3449">
        <v>0</v>
      </c>
    </row>
    <row r="36" spans="1:13">
      <c r="A36" s="3449" t="s">
        <v>3153</v>
      </c>
      <c r="B36" s="3449">
        <v>594.99</v>
      </c>
      <c r="C36" s="3449">
        <v>0</v>
      </c>
      <c r="D36" s="3449">
        <f t="shared" si="7"/>
        <v>594.99</v>
      </c>
      <c r="E36" s="3449">
        <v>4</v>
      </c>
      <c r="F36" s="3449">
        <v>0</v>
      </c>
      <c r="H36" s="3449" t="s">
        <v>3153</v>
      </c>
      <c r="I36" s="3449">
        <v>1186.29</v>
      </c>
      <c r="J36" s="3449">
        <v>0</v>
      </c>
      <c r="K36" s="3449">
        <f t="shared" si="6"/>
        <v>1186.29</v>
      </c>
      <c r="L36" s="3449">
        <v>4</v>
      </c>
      <c r="M36" s="3449">
        <v>0</v>
      </c>
    </row>
    <row r="37" spans="1:13">
      <c r="A37" s="3449" t="s">
        <v>3154</v>
      </c>
      <c r="B37" s="3449">
        <v>920.53</v>
      </c>
      <c r="C37" s="3449">
        <v>0</v>
      </c>
      <c r="D37" s="3449">
        <f t="shared" ref="D37:D38" si="8">B37+C37</f>
        <v>920.53</v>
      </c>
      <c r="E37" s="3449">
        <v>4</v>
      </c>
      <c r="F37" s="3449">
        <v>0</v>
      </c>
      <c r="H37" s="3449" t="s">
        <v>3154</v>
      </c>
      <c r="I37" s="3449">
        <v>1186.29</v>
      </c>
      <c r="J37" s="3449">
        <v>0</v>
      </c>
      <c r="K37" s="3449">
        <f t="shared" ref="K37:K44" si="9">I37+J37</f>
        <v>1186.29</v>
      </c>
      <c r="L37" s="3449">
        <v>4</v>
      </c>
      <c r="M37" s="3449">
        <v>0</v>
      </c>
    </row>
    <row r="38" spans="1:13">
      <c r="A38" s="3449" t="s">
        <v>3155</v>
      </c>
      <c r="B38" s="3449">
        <v>922.61</v>
      </c>
      <c r="C38" s="3449">
        <v>0</v>
      </c>
      <c r="D38" s="3449">
        <f t="shared" si="8"/>
        <v>922.61</v>
      </c>
      <c r="E38" s="3449">
        <v>4</v>
      </c>
      <c r="F38" s="3449">
        <v>0</v>
      </c>
      <c r="H38" s="3449" t="s">
        <v>3155</v>
      </c>
      <c r="I38" s="3449">
        <v>1186.29</v>
      </c>
      <c r="J38" s="3449">
        <v>0</v>
      </c>
      <c r="K38" s="3449">
        <f t="shared" si="9"/>
        <v>1186.29</v>
      </c>
      <c r="L38" s="3449">
        <v>4</v>
      </c>
      <c r="M38" s="3449">
        <v>0</v>
      </c>
    </row>
    <row r="39" spans="1:13">
      <c r="A39" s="3449" t="s">
        <v>3156</v>
      </c>
      <c r="B39" s="3449">
        <v>920.53</v>
      </c>
      <c r="C39" s="3449">
        <v>0</v>
      </c>
      <c r="D39" s="3449">
        <f t="shared" ref="D39:D40" si="10">B39+C39</f>
        <v>920.53</v>
      </c>
      <c r="E39" s="3449">
        <v>4</v>
      </c>
      <c r="F39" s="3449">
        <v>0</v>
      </c>
      <c r="H39" s="3449" t="s">
        <v>3156</v>
      </c>
      <c r="I39" s="3449">
        <v>1186.29</v>
      </c>
      <c r="J39" s="3449">
        <v>0</v>
      </c>
      <c r="K39" s="3449">
        <f t="shared" si="9"/>
        <v>1186.29</v>
      </c>
      <c r="L39" s="3449">
        <v>4</v>
      </c>
      <c r="M39" s="3449">
        <v>0</v>
      </c>
    </row>
    <row r="40" spans="1:13">
      <c r="A40" s="3449" t="s">
        <v>3157</v>
      </c>
      <c r="B40" s="3449">
        <v>594.99</v>
      </c>
      <c r="C40" s="3449">
        <v>0</v>
      </c>
      <c r="D40" s="3449">
        <f t="shared" si="10"/>
        <v>594.99</v>
      </c>
      <c r="E40" s="3449">
        <v>4</v>
      </c>
      <c r="F40" s="3449">
        <v>0</v>
      </c>
      <c r="H40" s="3449" t="s">
        <v>3157</v>
      </c>
      <c r="I40" s="3449">
        <v>1186.29</v>
      </c>
      <c r="J40" s="3449">
        <v>0</v>
      </c>
      <c r="K40" s="3449">
        <f t="shared" si="9"/>
        <v>1186.29</v>
      </c>
      <c r="L40" s="3449">
        <v>4</v>
      </c>
      <c r="M40" s="3449">
        <v>0</v>
      </c>
    </row>
    <row r="41" spans="1:13">
      <c r="A41" s="3449" t="s">
        <v>3158</v>
      </c>
      <c r="B41" s="3449">
        <v>594.99</v>
      </c>
      <c r="C41" s="3449">
        <v>0</v>
      </c>
      <c r="D41" s="3449">
        <f t="shared" ref="D41:D57" si="11">B41+C41</f>
        <v>594.99</v>
      </c>
      <c r="E41" s="3449">
        <v>4</v>
      </c>
      <c r="F41" s="3449">
        <v>0</v>
      </c>
      <c r="H41" s="3449" t="s">
        <v>3158</v>
      </c>
      <c r="I41" s="3449">
        <v>1186.29</v>
      </c>
      <c r="J41" s="3449">
        <v>0</v>
      </c>
      <c r="K41" s="3449">
        <f t="shared" si="9"/>
        <v>1186.29</v>
      </c>
      <c r="L41" s="3449">
        <v>4</v>
      </c>
      <c r="M41" s="3449">
        <v>0</v>
      </c>
    </row>
    <row r="42" spans="1:13">
      <c r="A42" s="3447" t="s">
        <v>3159</v>
      </c>
      <c r="B42" s="3449">
        <v>594.99</v>
      </c>
      <c r="C42" s="3449">
        <v>0</v>
      </c>
      <c r="D42" s="3449">
        <f t="shared" si="11"/>
        <v>594.99</v>
      </c>
      <c r="E42" s="3449">
        <v>4</v>
      </c>
      <c r="F42" s="3449">
        <v>0</v>
      </c>
      <c r="H42" s="3449" t="s">
        <v>3159</v>
      </c>
      <c r="I42" s="3449">
        <v>1186.29</v>
      </c>
      <c r="J42" s="3449">
        <v>0</v>
      </c>
      <c r="K42" s="3449">
        <f t="shared" si="9"/>
        <v>1186.29</v>
      </c>
      <c r="L42" s="3449">
        <v>4</v>
      </c>
      <c r="M42" s="3449">
        <v>0</v>
      </c>
    </row>
    <row r="43" spans="1:13">
      <c r="A43" s="3447" t="s">
        <v>3160</v>
      </c>
      <c r="B43" s="3449">
        <v>594.99</v>
      </c>
      <c r="C43" s="3449">
        <v>0</v>
      </c>
      <c r="D43" s="3449">
        <f t="shared" si="11"/>
        <v>594.99</v>
      </c>
      <c r="E43" s="3449">
        <v>4</v>
      </c>
      <c r="F43" s="3449">
        <v>0</v>
      </c>
      <c r="H43" s="3449" t="s">
        <v>3160</v>
      </c>
      <c r="I43" s="3449">
        <v>1186.29</v>
      </c>
      <c r="J43" s="3449">
        <v>0</v>
      </c>
      <c r="K43" s="3449">
        <f t="shared" si="9"/>
        <v>1186.29</v>
      </c>
      <c r="L43" s="3449">
        <v>4</v>
      </c>
      <c r="M43" s="3449">
        <v>0</v>
      </c>
    </row>
    <row r="44" spans="1:13">
      <c r="A44" s="3447" t="s">
        <v>3161</v>
      </c>
      <c r="B44" s="3449">
        <v>594.99</v>
      </c>
      <c r="C44" s="3449">
        <v>0</v>
      </c>
      <c r="D44" s="3449">
        <f t="shared" si="11"/>
        <v>594.99</v>
      </c>
      <c r="E44" s="3449">
        <v>4</v>
      </c>
      <c r="F44" s="3449">
        <v>0</v>
      </c>
      <c r="H44" s="3449" t="s">
        <v>3161</v>
      </c>
      <c r="I44" s="3449">
        <v>594.99</v>
      </c>
      <c r="J44" s="3449">
        <v>0</v>
      </c>
      <c r="K44" s="3449">
        <f t="shared" si="9"/>
        <v>594.99</v>
      </c>
      <c r="L44" s="3449">
        <v>4</v>
      </c>
      <c r="M44" s="3449">
        <v>0</v>
      </c>
    </row>
    <row r="45" spans="1:13">
      <c r="A45" s="3447" t="s">
        <v>3162</v>
      </c>
      <c r="B45" s="3449">
        <v>594.99</v>
      </c>
      <c r="C45" s="3449">
        <v>0</v>
      </c>
      <c r="D45" s="3449">
        <f t="shared" si="11"/>
        <v>594.99</v>
      </c>
      <c r="E45" s="3449">
        <v>4</v>
      </c>
      <c r="F45" s="3449">
        <v>0</v>
      </c>
      <c r="H45" s="3449" t="s">
        <v>3162</v>
      </c>
      <c r="I45" s="3449">
        <v>594.99</v>
      </c>
      <c r="J45" s="3449">
        <v>0</v>
      </c>
      <c r="K45" s="3449">
        <f t="shared" ref="K45:K52" si="12">I45+J45</f>
        <v>594.99</v>
      </c>
      <c r="L45" s="3449">
        <v>4</v>
      </c>
      <c r="M45" s="3449">
        <v>0</v>
      </c>
    </row>
    <row r="46" spans="1:13">
      <c r="A46" s="3447" t="s">
        <v>3163</v>
      </c>
      <c r="B46" s="3449">
        <v>594.99</v>
      </c>
      <c r="C46" s="3449">
        <v>0</v>
      </c>
      <c r="D46" s="3449">
        <f t="shared" si="11"/>
        <v>594.99</v>
      </c>
      <c r="E46" s="3449">
        <v>4</v>
      </c>
      <c r="F46" s="3449">
        <v>0</v>
      </c>
      <c r="H46" s="3449" t="s">
        <v>3163</v>
      </c>
      <c r="I46" s="3449">
        <v>1186.29</v>
      </c>
      <c r="J46" s="3449">
        <v>0</v>
      </c>
      <c r="K46" s="3449">
        <f t="shared" si="12"/>
        <v>1186.29</v>
      </c>
      <c r="L46" s="3449">
        <v>4</v>
      </c>
      <c r="M46" s="3449">
        <v>0</v>
      </c>
    </row>
    <row r="47" spans="1:13">
      <c r="A47" s="3447" t="s">
        <v>3164</v>
      </c>
      <c r="B47" s="3449">
        <v>594.99</v>
      </c>
      <c r="C47" s="3449">
        <v>0</v>
      </c>
      <c r="D47" s="3449">
        <f t="shared" si="11"/>
        <v>594.99</v>
      </c>
      <c r="E47" s="3449">
        <v>4</v>
      </c>
      <c r="F47" s="3449">
        <v>0</v>
      </c>
      <c r="H47" s="3449" t="s">
        <v>3164</v>
      </c>
      <c r="I47" s="3449">
        <v>785.99</v>
      </c>
      <c r="J47" s="3449">
        <v>0</v>
      </c>
      <c r="K47" s="3449">
        <f t="shared" si="12"/>
        <v>785.99</v>
      </c>
      <c r="L47" s="3449">
        <v>4</v>
      </c>
      <c r="M47" s="3449">
        <v>0</v>
      </c>
    </row>
    <row r="48" spans="1:13">
      <c r="A48" s="3447" t="s">
        <v>3165</v>
      </c>
      <c r="B48" s="3449">
        <v>594.99</v>
      </c>
      <c r="C48" s="3449">
        <v>0</v>
      </c>
      <c r="D48" s="3449">
        <f t="shared" si="11"/>
        <v>594.99</v>
      </c>
      <c r="E48" s="3449">
        <v>4</v>
      </c>
      <c r="F48" s="3449">
        <v>0</v>
      </c>
      <c r="H48" s="3449" t="s">
        <v>3165</v>
      </c>
      <c r="I48" s="3449">
        <v>785.99</v>
      </c>
      <c r="J48" s="3449">
        <v>0</v>
      </c>
      <c r="K48" s="3449">
        <f t="shared" si="12"/>
        <v>785.99</v>
      </c>
      <c r="L48" s="3449">
        <v>4</v>
      </c>
      <c r="M48" s="3449">
        <v>0</v>
      </c>
    </row>
    <row r="49" spans="1:13">
      <c r="A49" s="3447" t="s">
        <v>3166</v>
      </c>
      <c r="B49" s="3449">
        <v>594.99</v>
      </c>
      <c r="C49" s="3449">
        <v>0</v>
      </c>
      <c r="D49" s="3449">
        <f t="shared" si="11"/>
        <v>594.99</v>
      </c>
      <c r="E49" s="3449">
        <v>4</v>
      </c>
      <c r="F49" s="3449">
        <v>0</v>
      </c>
      <c r="H49" s="3449" t="s">
        <v>3166</v>
      </c>
      <c r="I49" s="3449">
        <v>785.99</v>
      </c>
      <c r="J49" s="3449">
        <v>0</v>
      </c>
      <c r="K49" s="3449">
        <f t="shared" si="12"/>
        <v>785.99</v>
      </c>
      <c r="L49" s="3449">
        <v>4</v>
      </c>
      <c r="M49" s="3449">
        <v>0</v>
      </c>
    </row>
    <row r="50" spans="1:13">
      <c r="A50" s="3447" t="s">
        <v>3167</v>
      </c>
      <c r="B50" s="3449">
        <v>594.99</v>
      </c>
      <c r="C50" s="3449">
        <v>0</v>
      </c>
      <c r="D50" s="3449">
        <f t="shared" si="11"/>
        <v>594.99</v>
      </c>
      <c r="E50" s="3449">
        <v>4</v>
      </c>
      <c r="F50" s="3449">
        <v>0</v>
      </c>
      <c r="H50" s="3449" t="s">
        <v>3167</v>
      </c>
      <c r="I50" s="3449">
        <v>785.99</v>
      </c>
      <c r="J50" s="3449">
        <v>0</v>
      </c>
      <c r="K50" s="3449">
        <f t="shared" si="12"/>
        <v>785.99</v>
      </c>
      <c r="L50" s="3449">
        <v>4</v>
      </c>
      <c r="M50" s="3449">
        <v>0</v>
      </c>
    </row>
    <row r="51" spans="1:13">
      <c r="A51" s="3447" t="s">
        <v>3168</v>
      </c>
      <c r="B51" s="3449">
        <v>594.99</v>
      </c>
      <c r="C51" s="3449">
        <v>0</v>
      </c>
      <c r="D51" s="3449">
        <f t="shared" si="11"/>
        <v>594.99</v>
      </c>
      <c r="E51" s="3449">
        <v>4</v>
      </c>
      <c r="F51" s="3449">
        <v>0</v>
      </c>
      <c r="H51" s="3449" t="s">
        <v>3168</v>
      </c>
      <c r="I51" s="3449">
        <v>785.99</v>
      </c>
      <c r="J51" s="3449">
        <v>0</v>
      </c>
      <c r="K51" s="3449">
        <f t="shared" si="12"/>
        <v>785.99</v>
      </c>
      <c r="L51" s="3449">
        <v>4</v>
      </c>
      <c r="M51" s="3449">
        <v>0</v>
      </c>
    </row>
    <row r="52" spans="1:13">
      <c r="A52" s="3447" t="s">
        <v>3169</v>
      </c>
      <c r="B52" s="3449">
        <v>594.99</v>
      </c>
      <c r="C52" s="3449">
        <v>0</v>
      </c>
      <c r="D52" s="3449">
        <f t="shared" si="11"/>
        <v>594.99</v>
      </c>
      <c r="E52" s="3449">
        <v>4</v>
      </c>
      <c r="F52" s="3449">
        <v>0</v>
      </c>
      <c r="H52" s="3449" t="s">
        <v>3169</v>
      </c>
      <c r="I52" s="3449">
        <v>785.99</v>
      </c>
      <c r="J52" s="3449">
        <v>0</v>
      </c>
      <c r="K52" s="3449">
        <f t="shared" si="12"/>
        <v>785.99</v>
      </c>
      <c r="L52" s="3449">
        <v>4</v>
      </c>
      <c r="M52" s="3449">
        <v>0</v>
      </c>
    </row>
    <row r="53" spans="1:13">
      <c r="A53" s="3447" t="s">
        <v>3170</v>
      </c>
      <c r="B53" s="3449">
        <v>594.99</v>
      </c>
      <c r="C53" s="3449">
        <v>0</v>
      </c>
      <c r="D53" s="3449">
        <f t="shared" si="11"/>
        <v>594.99</v>
      </c>
      <c r="E53" s="3449">
        <v>4</v>
      </c>
      <c r="F53" s="3449">
        <v>0</v>
      </c>
      <c r="H53" s="3449" t="s">
        <v>3170</v>
      </c>
      <c r="I53" s="3449">
        <v>1186.29</v>
      </c>
      <c r="J53" s="3449">
        <v>0</v>
      </c>
      <c r="K53" s="3449">
        <f t="shared" ref="K53:K55" si="13">I53+J53</f>
        <v>1186.29</v>
      </c>
      <c r="L53" s="3449">
        <v>4</v>
      </c>
      <c r="M53" s="3449">
        <v>0</v>
      </c>
    </row>
    <row r="54" spans="1:13">
      <c r="A54" s="3447" t="s">
        <v>3171</v>
      </c>
      <c r="B54" s="3449">
        <v>594.99</v>
      </c>
      <c r="C54" s="3449">
        <v>0</v>
      </c>
      <c r="D54" s="3449">
        <f t="shared" si="11"/>
        <v>594.99</v>
      </c>
      <c r="E54" s="3449">
        <v>4</v>
      </c>
      <c r="F54" s="3449">
        <v>0</v>
      </c>
      <c r="H54" s="3449" t="s">
        <v>3171</v>
      </c>
      <c r="I54" s="3449">
        <v>594.99</v>
      </c>
      <c r="J54" s="3449">
        <v>0</v>
      </c>
      <c r="K54" s="3449">
        <f t="shared" si="13"/>
        <v>594.99</v>
      </c>
      <c r="L54" s="3449">
        <v>4</v>
      </c>
      <c r="M54" s="3449">
        <v>0</v>
      </c>
    </row>
    <row r="55" spans="1:13">
      <c r="A55" s="3447" t="s">
        <v>3172</v>
      </c>
      <c r="B55" s="3449">
        <v>594.99</v>
      </c>
      <c r="C55" s="3449">
        <v>0</v>
      </c>
      <c r="D55" s="3449">
        <f t="shared" si="11"/>
        <v>594.99</v>
      </c>
      <c r="E55" s="3449">
        <v>4</v>
      </c>
      <c r="F55" s="3449">
        <v>0</v>
      </c>
      <c r="H55" s="3449" t="s">
        <v>3172</v>
      </c>
      <c r="I55" s="3449">
        <v>594.99</v>
      </c>
      <c r="J55" s="3449">
        <v>0</v>
      </c>
      <c r="K55" s="3449">
        <f t="shared" si="13"/>
        <v>594.99</v>
      </c>
      <c r="L55" s="3449">
        <v>4</v>
      </c>
      <c r="M55" s="3449">
        <v>0</v>
      </c>
    </row>
    <row r="56" spans="1:13">
      <c r="A56" s="3447" t="s">
        <v>3173</v>
      </c>
      <c r="B56" s="3449">
        <v>594.99</v>
      </c>
      <c r="C56" s="3449">
        <v>0</v>
      </c>
      <c r="D56" s="3449">
        <f t="shared" si="11"/>
        <v>594.99</v>
      </c>
      <c r="E56" s="3449">
        <v>4</v>
      </c>
      <c r="F56" s="3449">
        <v>0</v>
      </c>
      <c r="H56" s="3449" t="s">
        <v>3173</v>
      </c>
      <c r="I56" s="3449">
        <v>785.99</v>
      </c>
      <c r="J56" s="3449">
        <v>0</v>
      </c>
      <c r="K56" s="3449">
        <f t="shared" ref="K56:K61" si="14">I56+J56</f>
        <v>785.99</v>
      </c>
      <c r="L56" s="3449">
        <v>4</v>
      </c>
      <c r="M56" s="3449">
        <v>0</v>
      </c>
    </row>
    <row r="57" spans="1:13">
      <c r="A57" s="3447" t="s">
        <v>3174</v>
      </c>
      <c r="B57" s="3449">
        <v>594.99</v>
      </c>
      <c r="C57" s="3449">
        <v>0</v>
      </c>
      <c r="D57" s="3449">
        <f t="shared" si="11"/>
        <v>594.99</v>
      </c>
      <c r="E57" s="3449">
        <v>4</v>
      </c>
      <c r="F57" s="3449">
        <v>0</v>
      </c>
      <c r="H57" s="3449" t="s">
        <v>3174</v>
      </c>
      <c r="I57" s="3449">
        <v>785.99</v>
      </c>
      <c r="J57" s="3449">
        <v>0</v>
      </c>
      <c r="K57" s="3449">
        <f t="shared" si="14"/>
        <v>785.99</v>
      </c>
      <c r="L57" s="3449">
        <v>4</v>
      </c>
      <c r="M57" s="3449">
        <v>0</v>
      </c>
    </row>
    <row r="58" spans="1:13">
      <c r="A58" s="3447" t="s">
        <v>3175</v>
      </c>
      <c r="B58" s="3449">
        <v>594.99</v>
      </c>
      <c r="C58" s="3449">
        <v>0</v>
      </c>
      <c r="D58" s="3449">
        <f t="shared" ref="D58:D75" si="15">B58+C58</f>
        <v>594.99</v>
      </c>
      <c r="E58" s="3449">
        <v>4</v>
      </c>
      <c r="F58" s="3449">
        <v>0</v>
      </c>
      <c r="H58" s="3449" t="s">
        <v>3175</v>
      </c>
      <c r="I58" s="3449">
        <v>785.99</v>
      </c>
      <c r="J58" s="3449">
        <v>0</v>
      </c>
      <c r="K58" s="3449">
        <f t="shared" si="14"/>
        <v>785.99</v>
      </c>
      <c r="L58" s="3449">
        <v>4</v>
      </c>
      <c r="M58" s="3449">
        <v>0</v>
      </c>
    </row>
    <row r="59" spans="1:13">
      <c r="A59" s="3447" t="s">
        <v>3176</v>
      </c>
      <c r="B59" s="3449">
        <v>594.99</v>
      </c>
      <c r="C59" s="3449">
        <v>0</v>
      </c>
      <c r="D59" s="3449">
        <f t="shared" si="15"/>
        <v>594.99</v>
      </c>
      <c r="E59" s="3449">
        <v>4</v>
      </c>
      <c r="F59" s="3449">
        <v>0</v>
      </c>
      <c r="H59" s="3449" t="s">
        <v>3204</v>
      </c>
      <c r="I59" s="3449">
        <v>154.77000000000001</v>
      </c>
      <c r="J59" s="3449">
        <v>0</v>
      </c>
      <c r="K59" s="3449">
        <f t="shared" si="14"/>
        <v>154.77000000000001</v>
      </c>
      <c r="L59" s="3449">
        <v>1</v>
      </c>
      <c r="M59" s="3449">
        <v>0</v>
      </c>
    </row>
    <row r="60" spans="1:13">
      <c r="A60" s="3447" t="s">
        <v>3177</v>
      </c>
      <c r="B60" s="3449">
        <v>920.53</v>
      </c>
      <c r="C60" s="3449">
        <v>0</v>
      </c>
      <c r="D60" s="3449">
        <f t="shared" si="15"/>
        <v>920.53</v>
      </c>
      <c r="E60" s="3449">
        <v>4</v>
      </c>
      <c r="F60" s="3449">
        <v>0</v>
      </c>
      <c r="H60" s="3449" t="s">
        <v>3205</v>
      </c>
      <c r="I60" s="3449">
        <v>228.89</v>
      </c>
      <c r="J60" s="3449">
        <v>0</v>
      </c>
      <c r="K60" s="3449">
        <f t="shared" si="14"/>
        <v>228.89</v>
      </c>
      <c r="L60" s="3449">
        <v>1</v>
      </c>
      <c r="M60" s="3449">
        <v>0</v>
      </c>
    </row>
    <row r="61" spans="1:13">
      <c r="A61" s="3447" t="s">
        <v>3178</v>
      </c>
      <c r="B61" s="3449">
        <v>920.53</v>
      </c>
      <c r="C61" s="3449">
        <v>0</v>
      </c>
      <c r="D61" s="3449">
        <f t="shared" si="15"/>
        <v>920.53</v>
      </c>
      <c r="E61" s="3449">
        <v>4</v>
      </c>
      <c r="F61" s="3449">
        <v>0</v>
      </c>
      <c r="H61" s="3449" t="s">
        <v>3197</v>
      </c>
      <c r="I61" s="3449">
        <v>0</v>
      </c>
      <c r="J61" s="3449">
        <v>11010.02</v>
      </c>
      <c r="K61" s="3449">
        <f t="shared" si="14"/>
        <v>11010.02</v>
      </c>
      <c r="L61" s="3449">
        <v>0</v>
      </c>
      <c r="M61" s="3449">
        <v>1</v>
      </c>
    </row>
    <row r="62" spans="1:13">
      <c r="A62" s="3447" t="s">
        <v>3179</v>
      </c>
      <c r="B62" s="3449">
        <v>920.53</v>
      </c>
      <c r="C62" s="3449">
        <v>0</v>
      </c>
      <c r="D62" s="3449">
        <f t="shared" si="15"/>
        <v>920.53</v>
      </c>
      <c r="E62" s="3449">
        <v>4</v>
      </c>
      <c r="F62" s="3449">
        <v>0</v>
      </c>
      <c r="H62" s="3449"/>
      <c r="I62" s="3449">
        <f>SUM(I8:I61)</f>
        <v>46084.629999999976</v>
      </c>
      <c r="J62" s="3449">
        <f t="shared" ref="J62:K62" si="16">SUM(J8:J61)</f>
        <v>11010.02</v>
      </c>
      <c r="K62" s="3449">
        <f t="shared" si="16"/>
        <v>57094.64999999998</v>
      </c>
    </row>
    <row r="63" spans="1:13">
      <c r="A63" s="3447" t="s">
        <v>3180</v>
      </c>
      <c r="B63" s="3449">
        <v>920.53</v>
      </c>
      <c r="C63" s="3449">
        <v>0</v>
      </c>
      <c r="D63" s="3449">
        <f t="shared" si="15"/>
        <v>920.53</v>
      </c>
      <c r="E63" s="3449">
        <v>4</v>
      </c>
      <c r="F63" s="3449">
        <v>0</v>
      </c>
      <c r="H63" s="3449"/>
    </row>
    <row r="64" spans="1:13">
      <c r="A64" s="3447" t="s">
        <v>3181</v>
      </c>
      <c r="B64" s="3449">
        <v>920.53</v>
      </c>
      <c r="C64" s="3449">
        <v>0</v>
      </c>
      <c r="D64" s="3449">
        <f t="shared" si="15"/>
        <v>920.53</v>
      </c>
      <c r="H64" s="3449"/>
    </row>
    <row r="65" spans="1:8">
      <c r="A65" s="3447" t="s">
        <v>3182</v>
      </c>
      <c r="C65" s="3449">
        <v>0</v>
      </c>
      <c r="D65" s="3449">
        <f t="shared" si="15"/>
        <v>0</v>
      </c>
      <c r="E65" s="3449">
        <v>4</v>
      </c>
      <c r="F65" s="3449">
        <v>0</v>
      </c>
      <c r="H65" s="3449"/>
    </row>
    <row r="66" spans="1:8">
      <c r="A66" s="3447" t="s">
        <v>3190</v>
      </c>
      <c r="C66" s="3449">
        <v>0</v>
      </c>
      <c r="D66" s="3449">
        <f t="shared" si="15"/>
        <v>0</v>
      </c>
      <c r="E66" s="3449">
        <v>4</v>
      </c>
      <c r="F66" s="3449">
        <v>0</v>
      </c>
      <c r="H66" s="3449"/>
    </row>
    <row r="67" spans="1:8">
      <c r="A67" s="3447" t="s">
        <v>3191</v>
      </c>
      <c r="B67" s="3447">
        <v>785.99</v>
      </c>
      <c r="C67" s="3449">
        <v>0</v>
      </c>
      <c r="D67" s="3449">
        <f t="shared" si="15"/>
        <v>785.99</v>
      </c>
      <c r="E67" s="3449">
        <v>4</v>
      </c>
      <c r="F67" s="3449">
        <v>0</v>
      </c>
      <c r="H67" s="3449"/>
    </row>
    <row r="68" spans="1:8">
      <c r="A68" s="3447" t="s">
        <v>3192</v>
      </c>
      <c r="B68" s="3447">
        <v>785.99</v>
      </c>
      <c r="C68" s="3449">
        <v>0</v>
      </c>
      <c r="D68" s="3449">
        <f t="shared" si="15"/>
        <v>785.99</v>
      </c>
      <c r="E68" s="3449">
        <v>4</v>
      </c>
      <c r="F68" s="3449">
        <v>0</v>
      </c>
      <c r="H68" s="3449"/>
    </row>
    <row r="69" spans="1:8">
      <c r="A69" s="3447" t="s">
        <v>3193</v>
      </c>
      <c r="B69" s="3447">
        <v>785.99</v>
      </c>
      <c r="C69" s="3449">
        <v>0</v>
      </c>
      <c r="D69" s="3449">
        <f t="shared" si="15"/>
        <v>785.99</v>
      </c>
      <c r="E69" s="3449">
        <v>4</v>
      </c>
      <c r="F69" s="3449">
        <v>0</v>
      </c>
      <c r="H69" s="3449"/>
    </row>
    <row r="70" spans="1:8">
      <c r="A70" s="3449" t="s">
        <v>3194</v>
      </c>
      <c r="B70" s="3449">
        <v>785.99</v>
      </c>
      <c r="C70" s="3449">
        <v>0</v>
      </c>
      <c r="D70" s="3449">
        <f t="shared" si="15"/>
        <v>785.99</v>
      </c>
      <c r="E70" s="3449">
        <v>4</v>
      </c>
      <c r="F70" s="3449">
        <v>0</v>
      </c>
      <c r="H70" s="3449"/>
    </row>
    <row r="71" spans="1:8">
      <c r="A71" s="3449" t="s">
        <v>3195</v>
      </c>
      <c r="B71" s="3449">
        <v>785.99</v>
      </c>
      <c r="C71" s="3449">
        <v>0</v>
      </c>
      <c r="D71" s="3449">
        <f t="shared" si="15"/>
        <v>785.99</v>
      </c>
      <c r="E71" s="3449">
        <v>4</v>
      </c>
      <c r="F71" s="3449">
        <v>0</v>
      </c>
      <c r="H71" s="3449"/>
    </row>
    <row r="72" spans="1:8">
      <c r="A72" s="3449" t="s">
        <v>3196</v>
      </c>
      <c r="B72" s="3449">
        <v>785.95</v>
      </c>
      <c r="C72" s="3449">
        <v>0</v>
      </c>
      <c r="D72" s="3449">
        <f t="shared" si="15"/>
        <v>785.95</v>
      </c>
      <c r="E72" s="3449">
        <v>4</v>
      </c>
      <c r="F72" s="3449">
        <v>0</v>
      </c>
      <c r="H72" s="3449"/>
    </row>
    <row r="73" spans="1:8">
      <c r="A73" s="3449" t="s">
        <v>3197</v>
      </c>
      <c r="B73" s="3449">
        <v>0</v>
      </c>
      <c r="C73" s="3449">
        <v>11324.67</v>
      </c>
      <c r="D73" s="3449">
        <f t="shared" si="15"/>
        <v>11324.67</v>
      </c>
      <c r="E73" s="3449">
        <v>0</v>
      </c>
      <c r="F73" s="3449">
        <v>1</v>
      </c>
      <c r="H73" s="3449"/>
    </row>
    <row r="74" spans="1:8">
      <c r="A74" s="3449" t="s">
        <v>3198</v>
      </c>
      <c r="B74" s="3449">
        <v>192.67</v>
      </c>
      <c r="C74" s="3449">
        <v>0</v>
      </c>
      <c r="D74" s="3449">
        <f t="shared" si="15"/>
        <v>192.67</v>
      </c>
      <c r="E74" s="3449">
        <v>1</v>
      </c>
      <c r="F74" s="3449">
        <v>0</v>
      </c>
      <c r="H74" s="3449"/>
    </row>
    <row r="75" spans="1:8">
      <c r="A75" s="3449" t="s">
        <v>3199</v>
      </c>
      <c r="B75" s="3449">
        <v>154.77000000000001</v>
      </c>
      <c r="C75" s="3449">
        <v>0</v>
      </c>
      <c r="D75" s="3449">
        <f t="shared" si="15"/>
        <v>154.77000000000001</v>
      </c>
      <c r="E75" s="3449">
        <v>1</v>
      </c>
      <c r="F75" s="3449">
        <v>0</v>
      </c>
      <c r="H75" s="3449"/>
    </row>
    <row r="76" spans="1:8">
      <c r="A76" s="3449"/>
      <c r="B76" s="3449">
        <f>SUM(B8:B75)</f>
        <v>46513.729999999989</v>
      </c>
      <c r="C76" s="3449">
        <f t="shared" ref="C76:D76" si="17">SUM(C8:C75)</f>
        <v>11324.67</v>
      </c>
      <c r="D76" s="3449">
        <f t="shared" si="17"/>
        <v>57838.399999999987</v>
      </c>
      <c r="E76" s="3449"/>
      <c r="F76" s="3449"/>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9" sqref="M9"/>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47" t="s">
        <v>203</v>
      </c>
      <c r="B2" s="3547"/>
      <c r="C2" s="3547"/>
      <c r="D2" s="1842" t="s">
        <v>204</v>
      </c>
      <c r="E2" s="106" t="s">
        <v>205</v>
      </c>
      <c r="F2" s="2990"/>
      <c r="G2" s="1144"/>
      <c r="H2" s="1145"/>
      <c r="I2" s="1146" t="s">
        <v>837</v>
      </c>
      <c r="J2" s="2990"/>
      <c r="K2" s="2990"/>
      <c r="L2" s="2990"/>
      <c r="M2" s="2990"/>
      <c r="N2" s="2990"/>
      <c r="O2" s="2990"/>
      <c r="P2" s="2990"/>
    </row>
    <row r="3" spans="1:16" ht="15.75" thickBot="1">
      <c r="A3" s="3548" t="s">
        <v>206</v>
      </c>
      <c r="B3" s="3548"/>
      <c r="C3" s="3548"/>
      <c r="D3" s="107">
        <f>'数据-基础表'!AY6</f>
        <v>97473.98</v>
      </c>
      <c r="E3" s="107">
        <f>'数据-基础表'!AZ5</f>
        <v>51575.14</v>
      </c>
      <c r="F3" s="2990"/>
      <c r="G3" s="278" t="s">
        <v>838</v>
      </c>
      <c r="H3" s="273" t="s">
        <v>839</v>
      </c>
      <c r="I3" s="1843">
        <f>ROUND('数据-基础表'!B3/'数据-基础表'!A3,2)</f>
        <v>0.53</v>
      </c>
      <c r="J3" s="2990"/>
      <c r="K3" s="2990"/>
      <c r="L3" s="2990"/>
      <c r="M3" s="2990"/>
      <c r="N3" s="2990"/>
      <c r="O3" s="2990"/>
      <c r="P3" s="2990"/>
    </row>
    <row r="4" spans="1:16" ht="15">
      <c r="A4" s="3549"/>
      <c r="B4" s="3550"/>
      <c r="C4" s="3551"/>
      <c r="D4" s="108" t="s">
        <v>204</v>
      </c>
      <c r="E4" s="109" t="s">
        <v>205</v>
      </c>
      <c r="F4" s="2990"/>
      <c r="G4" s="1147"/>
      <c r="H4" s="273" t="s">
        <v>840</v>
      </c>
      <c r="I4" s="1843">
        <f>ROUND(SUMIF('数据-基础表'!I9:AS9,"地上",'数据-基础表'!I5:AS5)/'数据-基础表'!A3,2)</f>
        <v>0.45</v>
      </c>
      <c r="J4" s="2990"/>
      <c r="K4" s="2990"/>
      <c r="L4" s="2990"/>
      <c r="M4" s="2990"/>
      <c r="N4" s="2990"/>
      <c r="O4" s="2990"/>
      <c r="P4" s="2990"/>
    </row>
    <row r="5" spans="1:16">
      <c r="A5" s="110" t="s">
        <v>207</v>
      </c>
      <c r="B5" s="3552" t="s">
        <v>230</v>
      </c>
      <c r="C5" s="3552"/>
      <c r="D5" s="111">
        <f>ROUND($D$3*E5/$E$3,2)</f>
        <v>82234.8</v>
      </c>
      <c r="E5" s="112">
        <f>SUMIF('数据-基础表'!$11:$11,"住宅",'数据-基础表'!$5:$5)</f>
        <v>43511.83</v>
      </c>
      <c r="F5" s="2990"/>
      <c r="G5" s="278" t="s">
        <v>841</v>
      </c>
      <c r="H5" s="273" t="s">
        <v>839</v>
      </c>
      <c r="I5" s="1843">
        <f>ROUND(E31/D31,2)</f>
        <v>0.53</v>
      </c>
      <c r="J5" s="2990"/>
      <c r="K5" s="2990"/>
      <c r="L5" s="2990"/>
      <c r="M5" s="2990"/>
      <c r="N5" s="2990"/>
      <c r="O5" s="2990"/>
      <c r="P5" s="2990"/>
    </row>
    <row r="6" spans="1:16" ht="15" thickBot="1">
      <c r="A6" s="113"/>
      <c r="B6" s="3552" t="s">
        <v>208</v>
      </c>
      <c r="C6" s="3552"/>
      <c r="D6" s="111">
        <f>ROUND($D$3*E6/$E$3,2)</f>
        <v>15239.18</v>
      </c>
      <c r="E6" s="112">
        <f>E3-E5</f>
        <v>8063.3099999999977</v>
      </c>
      <c r="F6" s="2990"/>
      <c r="G6" s="1147"/>
      <c r="H6" s="273" t="s">
        <v>840</v>
      </c>
      <c r="I6" s="1843">
        <f>ROUND(F31/D31,2)</f>
        <v>0.45</v>
      </c>
      <c r="J6" s="2990"/>
      <c r="K6" s="2990"/>
      <c r="L6" s="2990"/>
      <c r="M6" s="2990"/>
      <c r="N6" s="2990"/>
      <c r="O6" s="2990"/>
      <c r="P6" s="2990"/>
    </row>
    <row r="7" spans="1:16" ht="15">
      <c r="A7" s="3544"/>
      <c r="B7" s="3545"/>
      <c r="C7" s="3546"/>
      <c r="D7" s="108" t="s">
        <v>204</v>
      </c>
      <c r="E7" s="114" t="s">
        <v>231</v>
      </c>
      <c r="F7" s="2990"/>
      <c r="G7" s="1102" t="s">
        <v>1445</v>
      </c>
      <c r="H7" s="1103"/>
      <c r="I7" s="1714"/>
      <c r="J7" s="2990"/>
      <c r="K7" s="2990"/>
      <c r="L7" s="2990"/>
      <c r="M7" s="2990"/>
      <c r="N7" s="2990"/>
      <c r="O7" s="2990"/>
      <c r="P7" s="2990"/>
    </row>
    <row r="8" spans="1:16">
      <c r="A8" s="110" t="s">
        <v>209</v>
      </c>
      <c r="B8" s="115" t="s">
        <v>210</v>
      </c>
      <c r="C8" s="111" t="s">
        <v>211</v>
      </c>
      <c r="D8" s="111">
        <f t="shared" ref="D8:D15" si="0">ROUND($D$3*E8/$E$3,2)</f>
        <v>82234.8</v>
      </c>
      <c r="E8" s="116">
        <f>SUMIF('数据-基础表'!BB10:BK10,"地上",'数据-基础表'!BB5:BK5)</f>
        <v>43511.83</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14601.29</v>
      </c>
      <c r="E13" s="116">
        <f>SUMPRODUCT(('数据-基础表'!BB10:BK10="地下")*('数据-基础表'!BB11:BK11="车库")*('数据-基础表'!BB5:BK5))</f>
        <v>7725.79</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96836.09</v>
      </c>
      <c r="E16" s="120">
        <f>SUM(E8:E15)</f>
        <v>51237.62</v>
      </c>
      <c r="F16" s="2990"/>
      <c r="G16" s="2991"/>
      <c r="H16" s="938" t="s">
        <v>219</v>
      </c>
      <c r="I16" s="939"/>
      <c r="J16" s="1851"/>
      <c r="K16" s="3538" t="s">
        <v>2284</v>
      </c>
      <c r="L16" s="3539"/>
      <c r="M16" s="3539"/>
      <c r="N16" s="3539"/>
      <c r="O16" s="3539"/>
      <c r="P16" s="3540"/>
    </row>
    <row r="17" spans="1:19" ht="15">
      <c r="A17" s="121" t="s">
        <v>216</v>
      </c>
      <c r="B17" s="122" t="s">
        <v>217</v>
      </c>
      <c r="C17" s="2131" t="s">
        <v>2103</v>
      </c>
      <c r="D17" s="108" t="s">
        <v>204</v>
      </c>
      <c r="E17" s="124" t="s">
        <v>205</v>
      </c>
      <c r="F17" s="125"/>
      <c r="G17" s="1274"/>
      <c r="H17" s="940" t="s">
        <v>218</v>
      </c>
      <c r="I17" s="941" t="s">
        <v>2102</v>
      </c>
      <c r="J17" s="1851"/>
      <c r="K17" s="3541" t="s">
        <v>2285</v>
      </c>
      <c r="L17" s="3542"/>
      <c r="M17" s="3543"/>
      <c r="N17" s="3541" t="s">
        <v>2286</v>
      </c>
      <c r="O17" s="3542"/>
      <c r="P17" s="3543"/>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3219</v>
      </c>
      <c r="D19" s="111">
        <f t="shared" ref="D19:D26" si="1">ROUND($D$3*E19/$E$3,2)</f>
        <v>82234.8</v>
      </c>
      <c r="E19" s="134">
        <f t="shared" ref="E19:E26" si="2">SUM(F19:G19)</f>
        <v>43511.83</v>
      </c>
      <c r="F19" s="2992">
        <f>'数据-基础表'!I13</f>
        <v>43511.83</v>
      </c>
      <c r="G19" s="2993"/>
      <c r="H19" s="944">
        <f>ROUND($D$3*I19/$E$3,2)</f>
        <v>64.2</v>
      </c>
      <c r="I19" s="116">
        <f>IF($I$17="自定义",P19,M19)</f>
        <v>33.97</v>
      </c>
      <c r="J19" s="1851"/>
      <c r="K19" s="2373">
        <f t="shared" ref="K19:K26" si="3">ROUND(E$28*E19/E$27,2)</f>
        <v>33.97</v>
      </c>
      <c r="L19" s="273">
        <f t="shared" ref="L19:L26" si="4">ROUND(IF(COUNTIF(C19,"*住宅*")&gt;0,E$29*E19/E$32,0),2)</f>
        <v>0</v>
      </c>
      <c r="M19" s="2374">
        <f>K19+L19</f>
        <v>33.97</v>
      </c>
      <c r="N19" s="2375"/>
      <c r="O19" s="2376"/>
      <c r="P19" s="2377">
        <f>N19+O19</f>
        <v>0</v>
      </c>
      <c r="R19" s="273">
        <f t="shared" ref="R19:S26" si="5">D19+H19</f>
        <v>82299</v>
      </c>
      <c r="S19" s="2134">
        <f t="shared" si="5"/>
        <v>43545.8</v>
      </c>
    </row>
    <row r="20" spans="1:19">
      <c r="A20" s="137"/>
      <c r="B20" s="115" t="s">
        <v>226</v>
      </c>
      <c r="C20" s="2658" t="s">
        <v>3220</v>
      </c>
      <c r="D20" s="111">
        <f t="shared" si="1"/>
        <v>14601.29</v>
      </c>
      <c r="E20" s="134">
        <f t="shared" si="2"/>
        <v>7725.79</v>
      </c>
      <c r="F20" s="2992"/>
      <c r="G20" s="2993">
        <f>'数据-基础表'!K13</f>
        <v>7725.79</v>
      </c>
      <c r="H20" s="944">
        <f t="shared" ref="H20:H26" si="6">ROUND($D$3*I20/$E$3,2)</f>
        <v>11.4</v>
      </c>
      <c r="I20" s="116">
        <f t="shared" ref="I20:I26" si="7">IF($I$17="自定义",P20,M20)</f>
        <v>6.03</v>
      </c>
      <c r="J20" s="1851"/>
      <c r="K20" s="2373">
        <f t="shared" si="3"/>
        <v>6.03</v>
      </c>
      <c r="L20" s="273">
        <f t="shared" si="4"/>
        <v>0</v>
      </c>
      <c r="M20" s="2374">
        <f t="shared" ref="M20:M26" si="8">K20+L20</f>
        <v>6.03</v>
      </c>
      <c r="N20" s="2375"/>
      <c r="O20" s="2376"/>
      <c r="P20" s="2377">
        <f t="shared" ref="P20:P26" si="9">N20+O20</f>
        <v>0</v>
      </c>
      <c r="R20" s="273">
        <f t="shared" si="5"/>
        <v>14612.69</v>
      </c>
      <c r="S20" s="2134">
        <f t="shared" si="5"/>
        <v>7731.82</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43.5" thickBot="1">
      <c r="A27" s="137"/>
      <c r="B27" s="111"/>
      <c r="C27" s="127" t="s">
        <v>215</v>
      </c>
      <c r="D27" s="134">
        <f>SUM(D19:D26)</f>
        <v>96836.09</v>
      </c>
      <c r="E27" s="141">
        <f>IF(SUM(E19:E26)='数据-基础表'!BA5,SUM(E19:E26),IF(F27="地上面积有误","面积有误","地下面积有误"))</f>
        <v>51237.62</v>
      </c>
      <c r="F27" s="134">
        <f>IF(SUM(F19:F26)=E8,SUM(F19:F26),"地上面积有误")</f>
        <v>43511.83</v>
      </c>
      <c r="G27" s="112">
        <f>SUM(G19:G26)</f>
        <v>7725.79</v>
      </c>
      <c r="H27" s="945">
        <f>SUM(H19:H26)</f>
        <v>75.600000000000009</v>
      </c>
      <c r="I27" s="946">
        <f>SUM(I19:I26)</f>
        <v>40</v>
      </c>
      <c r="J27" s="1851"/>
      <c r="K27" s="2382">
        <f>SUM(K19:K26)</f>
        <v>40</v>
      </c>
      <c r="L27" s="2383">
        <f>SUM(L19:L26)</f>
        <v>0</v>
      </c>
      <c r="M27" s="2384">
        <f>SUM(M19:M26)</f>
        <v>40</v>
      </c>
      <c r="N27" s="2382">
        <f t="shared" ref="N27:O27" si="10">SUM(N19:N26)</f>
        <v>0</v>
      </c>
      <c r="O27" s="2383">
        <f t="shared" si="10"/>
        <v>0</v>
      </c>
      <c r="P27" s="2385">
        <f>SUM(P19:P26)</f>
        <v>0</v>
      </c>
      <c r="R27" s="2138" t="str">
        <f>IF(SUM(R19:R26)=$D$3,SUM(R19:R26),SUM(R19:R26)&amp;"误差"&amp;ROUND(SUM(R19:R26)-$D$3,2))</f>
        <v>96911.69误差-562.29</v>
      </c>
      <c r="S27" s="273" t="str">
        <f>IF(SUM(S19:S26)=$E$3,SUM(S19:S26),SUM(S19:S26)&amp;"误差"&amp;ROUND(SUM(S19:S26)-E3,2))</f>
        <v>51277.62误差-297.52</v>
      </c>
    </row>
    <row r="28" spans="1:19">
      <c r="A28" s="137"/>
      <c r="B28" s="115" t="s">
        <v>227</v>
      </c>
      <c r="C28" s="135" t="s">
        <v>228</v>
      </c>
      <c r="D28" s="111">
        <f>ROUND($D$3*E28/$E$3,2)</f>
        <v>75.599999999999994</v>
      </c>
      <c r="E28" s="134">
        <f>SUM(F28:G28)</f>
        <v>40</v>
      </c>
      <c r="F28" s="142">
        <f>'数据-基础表'!BQ5+'数据-基础表'!BS5</f>
        <v>40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562.29999999999995</v>
      </c>
      <c r="E29" s="134">
        <f>SUM(F29:G29)</f>
        <v>297.52</v>
      </c>
      <c r="F29" s="142">
        <f>'数据-基础表'!BM5+'数据-基础表'!BO5</f>
        <v>297.52</v>
      </c>
      <c r="G29" s="144">
        <f>'数据-基础表'!BN5+'数据-基础表'!BP5</f>
        <v>0</v>
      </c>
      <c r="H29" s="2990"/>
      <c r="I29" s="2990"/>
      <c r="J29" s="2990"/>
      <c r="K29" s="2990"/>
      <c r="L29" s="2990"/>
      <c r="M29" s="2990"/>
      <c r="N29" s="2990"/>
      <c r="O29" s="2990"/>
      <c r="P29" s="2990"/>
    </row>
    <row r="30" spans="1:19">
      <c r="A30" s="137"/>
      <c r="B30" s="111"/>
      <c r="C30" s="145" t="s">
        <v>215</v>
      </c>
      <c r="D30" s="134">
        <f>SUM(D28:D29)</f>
        <v>637.9</v>
      </c>
      <c r="E30" s="134">
        <f>SUM(E28:E29)</f>
        <v>337.52</v>
      </c>
      <c r="F30" s="134">
        <f>SUM(F28:F29)</f>
        <v>337.52</v>
      </c>
      <c r="G30" s="112">
        <f>SUM(G28:G29)</f>
        <v>0</v>
      </c>
      <c r="H30" s="2990"/>
      <c r="I30" s="2990"/>
      <c r="J30" s="2990"/>
      <c r="K30" s="2990"/>
      <c r="L30" s="2990"/>
      <c r="M30" s="2990"/>
      <c r="N30" s="2990"/>
      <c r="O30" s="2990"/>
      <c r="P30" s="2990"/>
    </row>
    <row r="31" spans="1:19" ht="32.25" customHeight="1" thickBot="1">
      <c r="A31" s="1276"/>
      <c r="B31" s="1277" t="s">
        <v>229</v>
      </c>
      <c r="C31" s="2163" t="s">
        <v>2112</v>
      </c>
      <c r="D31" s="1278">
        <f>D27+D30</f>
        <v>97473.989999999991</v>
      </c>
      <c r="E31" s="1278">
        <f>E27+E30</f>
        <v>51575.14</v>
      </c>
      <c r="F31" s="1279">
        <f>F27+F30</f>
        <v>43849.35</v>
      </c>
      <c r="G31" s="1280">
        <f>G27+G30</f>
        <v>7725.79</v>
      </c>
      <c r="H31" s="2990"/>
      <c r="I31" s="2990"/>
      <c r="J31" s="2990"/>
      <c r="K31" s="2990"/>
      <c r="L31" s="2990"/>
      <c r="M31" s="2990"/>
      <c r="N31" s="2990"/>
      <c r="O31" s="2990"/>
      <c r="P31" s="2990"/>
    </row>
    <row r="32" spans="1:19">
      <c r="A32" s="1851"/>
      <c r="B32" s="2175" t="s">
        <v>2111</v>
      </c>
      <c r="C32" s="2410"/>
      <c r="D32" s="1147"/>
      <c r="E32" s="1147">
        <f>SUMIF(C19:C26,"*住宅*",E19:E26)</f>
        <v>0</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6" activePane="bottomRight" state="frozen"/>
      <selection pane="topRight" activeCell="D1" sqref="D1"/>
      <selection pane="bottomLeft" activeCell="A4" sqref="A4"/>
      <selection pane="bottomRight" activeCell="P20" sqref="P20"/>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44701</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40.5">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3230</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2700</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洋房</v>
      </c>
      <c r="B6" s="2170" t="str">
        <f>IF(A6=0,"","经营性")</f>
        <v>经营性</v>
      </c>
      <c r="C6" s="171" t="s">
        <v>902</v>
      </c>
      <c r="D6" s="2141">
        <f>SUMIF(项目基本情况!D$15:I$15,C6,项目基本情况!D$18:I$18)</f>
        <v>70</v>
      </c>
      <c r="E6" s="2142">
        <f>IF(B6="","",SUMIF(项目基本情况!D$15:I$15,C6,项目基本情况!D$17:I$17))</f>
        <v>64904</v>
      </c>
      <c r="F6" s="172">
        <f>SUMIF(项目基本情况!D$15:I$15,C6,项目基本情况!D$19:I$19)</f>
        <v>55.35</v>
      </c>
      <c r="G6" s="173">
        <f>IF(ISERROR(ROUND(POWER(1+H6,D6-F6)*(POWER(1+H6,F6)-1)/(POWER(1+H6,D6)-1),3)),0,ROUND(POWER(1+H6,D6-F6)*(POWER(1+H6,F6)-1)/(POWER(1+H6,D6)-1),3))</f>
        <v>0.94699999999999995</v>
      </c>
      <c r="H6" s="2659">
        <v>0.04</v>
      </c>
      <c r="I6" s="2659">
        <v>4.4999999999999998E-2</v>
      </c>
      <c r="J6" s="174">
        <v>7.0000000000000007E-2</v>
      </c>
      <c r="K6" s="177">
        <f>SUMIF('数据-汇总表'!C$19:C$33,'数据-取费表'!A6,'数据-汇总表'!E$19:E$33)</f>
        <v>43511.83</v>
      </c>
      <c r="L6" s="2660">
        <v>4000</v>
      </c>
      <c r="M6" s="175">
        <f t="shared" ref="M6:M14" si="0">ROUND(K6*L6/10000,0)</f>
        <v>17405</v>
      </c>
      <c r="N6" s="2661">
        <v>0</v>
      </c>
      <c r="O6" s="175">
        <f>IF($N$5="成新度","——",ROUND(M6*N6,0))</f>
        <v>0</v>
      </c>
      <c r="P6" s="176">
        <f>IF($N$5="成新度","——",M6-O6)</f>
        <v>17405</v>
      </c>
      <c r="Q6" s="2662">
        <v>0.2</v>
      </c>
      <c r="R6" s="177">
        <f>SUMIF('数据-汇总表'!C$19:C$33,A6,'数据-汇总表'!R$19:R$33)</f>
        <v>82299</v>
      </c>
      <c r="S6" s="132">
        <f>IF('数据-汇总表'!$I$17="按面积比例",SUMIF('数据-汇总表'!C$19:C$33,A6,'数据-汇总表'!K$19:K$33),SUMIF('数据-汇总表'!C$19:C$33,A6,'数据-汇总表'!N$19:N$33))</f>
        <v>33.97</v>
      </c>
      <c r="T6" s="2067">
        <f>IF($T$4="按面积比例",IF(ISERROR(ROUND($M$14*S6/S$16,0)),"0",ROUND($M$14*S6/S$16,0)),"需自行计算录入")</f>
        <v>10</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0.88600000000000001</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地下车库</v>
      </c>
      <c r="B7" s="2170" t="str">
        <f t="shared" ref="B7:B13" si="1">IF(A7=0,"","经营性")</f>
        <v>经营性</v>
      </c>
      <c r="C7" s="171" t="s">
        <v>3218</v>
      </c>
      <c r="D7" s="2141">
        <f>SUMIF(项目基本情况!D$15:I$15,C7,项目基本情况!D$18:I$18)</f>
        <v>50</v>
      </c>
      <c r="E7" s="2142">
        <f>IF(B7="","",SUMIF(项目基本情况!D$15:I$15,C7,项目基本情况!D$17:I$17))</f>
        <v>57599</v>
      </c>
      <c r="F7" s="172">
        <f>SUMIF(项目基本情况!D$15:I$15,C7,项目基本情况!D$19:I$19)</f>
        <v>35.33</v>
      </c>
      <c r="G7" s="173">
        <f t="shared" ref="G7:G11" si="2">IF(ISERROR(ROUND(POWER(1+H7,D7-F7)*(POWER(1+H7,F7)-1)/(POWER(1+H7,D7)-1),3)),0,ROUND(POWER(1+H7,D7-F7)*(POWER(1+H7,F7)-1)/(POWER(1+H7,D7)-1),3))</f>
        <v>0.9</v>
      </c>
      <c r="H7" s="2659">
        <v>0.05</v>
      </c>
      <c r="I7" s="2659">
        <v>5.5E-2</v>
      </c>
      <c r="J7" s="174">
        <v>7.0000000000000007E-2</v>
      </c>
      <c r="K7" s="177">
        <f>SUMIF('数据-汇总表'!C$19:C$33,'数据-取费表'!A7,'数据-汇总表'!E$19:E$33)</f>
        <v>7725.79</v>
      </c>
      <c r="L7" s="2660">
        <v>3000</v>
      </c>
      <c r="M7" s="175">
        <f t="shared" si="0"/>
        <v>2318</v>
      </c>
      <c r="N7" s="2661">
        <v>0</v>
      </c>
      <c r="O7" s="175">
        <f t="shared" ref="O7:O14" si="3">IF($N$5="成新度","——",ROUND(M7*N7,0))</f>
        <v>0</v>
      </c>
      <c r="P7" s="176">
        <f t="shared" ref="P7:P14" si="4">IF($N$5="成新度","——",M7-O7)</f>
        <v>2318</v>
      </c>
      <c r="Q7" s="2662">
        <v>0.05</v>
      </c>
      <c r="R7" s="177">
        <f>SUMIF('数据-汇总表'!C$19:C$33,A7,'数据-汇总表'!R$19:R$33)</f>
        <v>14612.69</v>
      </c>
      <c r="S7" s="132">
        <f>IF('数据-汇总表'!$I$17="按面积比例",SUMIF('数据-汇总表'!C$19:C$33,A7,'数据-汇总表'!K$19:K$33),SUMIF('数据-汇总表'!C$19:C$33,A7,'数据-汇总表'!N$19:N$33))</f>
        <v>6.03</v>
      </c>
      <c r="T7" s="2067">
        <f t="shared" ref="T7:T13" si="5">IF($T$4="按面积比例",IF(ISERROR(ROUND($M$14*S7/S$16,0)),"0",ROUND($M$14*S7/S$16,0)),"需自行计算录入")</f>
        <v>2</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f>ROUNDDOWN(K7/35,0)</f>
        <v>220</v>
      </c>
      <c r="AI7" s="185"/>
      <c r="AJ7" s="186"/>
      <c r="AK7" s="187"/>
      <c r="AL7" s="188"/>
      <c r="AM7" s="2198"/>
      <c r="AN7" s="2200"/>
      <c r="AO7" s="3000"/>
      <c r="AP7" s="1150">
        <f t="shared" ref="AP7:AP13" si="8">ROUND(1-1/(1+H7)^F7,3)</f>
        <v>0.82199999999999995</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40</v>
      </c>
      <c r="L14" s="191">
        <f>L7</f>
        <v>3000</v>
      </c>
      <c r="M14" s="175">
        <f t="shared" si="0"/>
        <v>12</v>
      </c>
      <c r="N14" s="192">
        <v>0</v>
      </c>
      <c r="O14" s="175">
        <f t="shared" si="3"/>
        <v>0</v>
      </c>
      <c r="P14" s="176">
        <f t="shared" si="4"/>
        <v>12</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297.52</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0.94</v>
      </c>
      <c r="H16" s="201">
        <f>ROUND(SUMPRODUCT(H6:H13,K6:K13)/SUMPRODUCT((H6:H13&gt;0)*(K6:K13)),3)</f>
        <v>4.2000000000000003E-2</v>
      </c>
      <c r="I16" s="202"/>
      <c r="J16" s="202"/>
      <c r="K16" s="203">
        <f>SUM(K6:K15)</f>
        <v>51575.14</v>
      </c>
      <c r="L16" s="204">
        <f>ROUND(M16*10000/SUM(K6:K14),0)</f>
        <v>3849</v>
      </c>
      <c r="M16" s="204">
        <f>SUM(M6:M14)</f>
        <v>19735</v>
      </c>
      <c r="N16" s="205">
        <f>ROUND(SUMPRODUCT(M6:M14,N6:N14)/M16,3)</f>
        <v>0</v>
      </c>
      <c r="O16" s="204">
        <f>SUM(O6:O14)</f>
        <v>0</v>
      </c>
      <c r="P16" s="204">
        <f>SUM(P6:P14)</f>
        <v>19735</v>
      </c>
      <c r="Q16" s="206">
        <f>ROUND(SUMPRODUCT(Q6:Q13,K6:K13)/SUMPRODUCT((Q6:Q13&gt;0)*(K6:K13)),2)</f>
        <v>0.18</v>
      </c>
      <c r="R16" s="2144">
        <f>SUM(R6:R13)</f>
        <v>96911.69</v>
      </c>
      <c r="S16" s="207">
        <f>SUM(S6:S13)</f>
        <v>40</v>
      </c>
      <c r="T16" s="208">
        <f>IF(SUMIF(T6:T13,"&lt;9E307")=M14,SUMIF(T6:T13,"&lt;9E307"),"有误，请检查")</f>
        <v>12</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0.876</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2712</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f>K7/220</f>
        <v>35.11722727272727</v>
      </c>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v>220</v>
      </c>
      <c r="C27" s="3013" t="s">
        <v>2713</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227">
        <v>220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v>0</v>
      </c>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100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100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2701</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2702</v>
      </c>
      <c r="D34" s="3016" t="s">
        <v>2709</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2703</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2704</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2705</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2705</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3229</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2710</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2706</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2707</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2714</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2706</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2708</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2</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3228</v>
      </c>
      <c r="D53" s="3019" t="s">
        <v>2711</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2606</v>
      </c>
      <c r="B54" s="3005">
        <v>18</v>
      </c>
      <c r="C54" s="3005">
        <v>18</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2607</v>
      </c>
      <c r="B55" s="3005">
        <v>15</v>
      </c>
      <c r="C55" s="3005">
        <v>15</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2608</v>
      </c>
      <c r="B56" s="3005">
        <v>12</v>
      </c>
      <c r="C56" s="3005">
        <v>12</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2609</v>
      </c>
      <c r="B57" s="3005">
        <v>9</v>
      </c>
      <c r="C57" s="3005">
        <v>9</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2610</v>
      </c>
      <c r="B58" s="3005">
        <v>6</v>
      </c>
      <c r="C58" s="3005">
        <v>6</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2611</v>
      </c>
      <c r="B59" s="3005">
        <v>2</v>
      </c>
      <c r="C59" s="3005">
        <v>2</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2612</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2613</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2614</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2615</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53" t="s">
        <v>1463</v>
      </c>
      <c r="B1" s="3554"/>
      <c r="C1" s="3554"/>
      <c r="D1" s="3554"/>
      <c r="E1" s="3554"/>
      <c r="F1" s="3554"/>
      <c r="G1" s="3554"/>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28.5">
      <c r="A3" s="3032" t="s">
        <v>1466</v>
      </c>
      <c r="B3" s="3033" t="s">
        <v>1453</v>
      </c>
      <c r="C3" s="3034"/>
      <c r="D3" s="3035"/>
      <c r="E3" s="3036" t="s">
        <v>1466</v>
      </c>
      <c r="F3" s="3037" t="s">
        <v>1454</v>
      </c>
      <c r="G3" s="3038" t="s">
        <v>2620</v>
      </c>
      <c r="H3" s="3031"/>
      <c r="I3" s="3031"/>
      <c r="J3" s="3031"/>
      <c r="K3" s="3031"/>
      <c r="L3" s="3031"/>
      <c r="M3" s="3031"/>
      <c r="N3" s="3031"/>
      <c r="O3" s="3031"/>
      <c r="P3" s="3031"/>
      <c r="Q3" s="3031"/>
      <c r="R3" s="3031"/>
    </row>
    <row r="4" spans="1:18" ht="40.5">
      <c r="A4" s="3036"/>
      <c r="B4" s="3039" t="s">
        <v>1467</v>
      </c>
      <c r="C4" s="3040"/>
      <c r="D4" s="3035"/>
      <c r="E4" s="3041"/>
      <c r="F4" s="3042" t="s">
        <v>1468</v>
      </c>
      <c r="G4" s="3043" t="s">
        <v>2617</v>
      </c>
      <c r="H4" s="3031"/>
      <c r="I4" s="3031"/>
      <c r="J4" s="3031"/>
      <c r="K4" s="3031"/>
      <c r="L4" s="3031"/>
      <c r="M4" s="3031"/>
      <c r="N4" s="3031"/>
      <c r="O4" s="3031"/>
      <c r="P4" s="3031"/>
      <c r="Q4" s="3031"/>
      <c r="R4" s="3031"/>
    </row>
    <row r="5" spans="1:18" ht="27">
      <c r="A5" s="3036"/>
      <c r="B5" s="3039" t="s">
        <v>1469</v>
      </c>
      <c r="C5" s="3040"/>
      <c r="D5" s="3035"/>
      <c r="E5" s="3041"/>
      <c r="F5" s="3039" t="s">
        <v>2264</v>
      </c>
      <c r="G5" s="3043" t="s">
        <v>2618</v>
      </c>
      <c r="H5" s="3031"/>
      <c r="I5" s="3031"/>
      <c r="J5" s="3031"/>
      <c r="K5" s="3031"/>
      <c r="L5" s="3031"/>
      <c r="M5" s="3031"/>
      <c r="N5" s="3031"/>
      <c r="O5" s="3031"/>
      <c r="P5" s="3031"/>
      <c r="Q5" s="3031"/>
      <c r="R5" s="3031"/>
    </row>
    <row r="6" spans="1:18" ht="14.25">
      <c r="A6" s="3036"/>
      <c r="B6" s="3039" t="s">
        <v>1455</v>
      </c>
      <c r="C6" s="3043"/>
      <c r="D6" s="3035"/>
      <c r="E6" s="3041"/>
      <c r="F6" s="3039" t="s">
        <v>2265</v>
      </c>
      <c r="G6" s="3043" t="s">
        <v>2616</v>
      </c>
      <c r="H6" s="3031"/>
      <c r="I6" s="3031"/>
      <c r="J6" s="3031"/>
      <c r="K6" s="3031"/>
      <c r="L6" s="3031"/>
      <c r="M6" s="3031"/>
      <c r="N6" s="3031"/>
      <c r="O6" s="3031"/>
      <c r="P6" s="3031"/>
      <c r="Q6" s="3031"/>
      <c r="R6" s="3031"/>
    </row>
    <row r="7" spans="1:18" ht="27.75" thickBot="1">
      <c r="A7" s="3036"/>
      <c r="B7" s="3039" t="s">
        <v>2264</v>
      </c>
      <c r="C7" s="3043"/>
      <c r="D7" s="3044"/>
      <c r="E7" s="3045"/>
      <c r="F7" s="3046" t="s">
        <v>1470</v>
      </c>
      <c r="G7" s="3047" t="s">
        <v>2619</v>
      </c>
      <c r="H7" s="3031"/>
      <c r="I7" s="3031"/>
      <c r="J7" s="3031"/>
      <c r="K7" s="3031"/>
      <c r="L7" s="3031"/>
      <c r="M7" s="3031"/>
      <c r="N7" s="3031"/>
      <c r="O7" s="3031"/>
      <c r="P7" s="3031"/>
      <c r="Q7" s="3031"/>
      <c r="R7" s="3031"/>
    </row>
    <row r="8" spans="1:18" ht="14.25">
      <c r="A8" s="3036"/>
      <c r="B8" s="3039" t="s">
        <v>2265</v>
      </c>
      <c r="C8" s="3043"/>
      <c r="D8" s="3044"/>
      <c r="E8" s="3044"/>
      <c r="F8" s="3048"/>
      <c r="G8" s="3048"/>
      <c r="H8" s="3031"/>
      <c r="I8" s="3031"/>
      <c r="J8" s="3031"/>
      <c r="K8" s="3031"/>
      <c r="L8" s="3031"/>
      <c r="M8" s="3031"/>
      <c r="N8" s="3031"/>
      <c r="O8" s="3031"/>
      <c r="P8" s="3031"/>
      <c r="Q8" s="3031"/>
      <c r="R8" s="3031"/>
    </row>
    <row r="9" spans="1:18" ht="14.25">
      <c r="A9" s="3036"/>
      <c r="B9" s="3039" t="s">
        <v>1456</v>
      </c>
      <c r="C9" s="3040"/>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f>C3</f>
        <v>0</v>
      </c>
      <c r="D15" s="3035"/>
      <c r="E15" s="3076" t="s">
        <v>1458</v>
      </c>
      <c r="F15" s="3074" t="s">
        <v>1473</v>
      </c>
      <c r="G15" s="3077" t="str">
        <f>G3</f>
        <v>估价对象位于XX开发区，园区建设成熟度XX，产业集聚程度XX</v>
      </c>
    </row>
    <row r="16" spans="1:18" ht="40.5">
      <c r="A16" s="3078"/>
      <c r="B16" s="3079" t="s">
        <v>1467</v>
      </c>
      <c r="C16" s="3080">
        <f>C4</f>
        <v>0</v>
      </c>
      <c r="D16" s="3035"/>
      <c r="E16" s="3081"/>
      <c r="F16" s="3082" t="s">
        <v>1468</v>
      </c>
      <c r="G16" s="3083" t="str">
        <f>G4</f>
        <v>估价对象周边道路状况、公共交通通达情况、停车便捷程度，综合评价交通便捷度较好</v>
      </c>
    </row>
    <row r="17" spans="1:7" ht="40.5">
      <c r="A17" s="3078"/>
      <c r="B17" s="3079" t="s">
        <v>1469</v>
      </c>
      <c r="C17" s="3080">
        <f>C5</f>
        <v>0</v>
      </c>
      <c r="D17" s="3044"/>
      <c r="E17" s="3081"/>
      <c r="F17" s="3082" t="s">
        <v>1474</v>
      </c>
      <c r="G17" s="3084"/>
    </row>
    <row r="18" spans="1:7" ht="40.5">
      <c r="A18" s="3078"/>
      <c r="B18" s="3082" t="s">
        <v>1455</v>
      </c>
      <c r="C18" s="3083">
        <f>C6</f>
        <v>0</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f>C9</f>
        <v>0</v>
      </c>
      <c r="D20" s="3044"/>
      <c r="E20" s="3081"/>
      <c r="F20" s="3039" t="s">
        <v>2265</v>
      </c>
      <c r="G20" s="3083" t="str">
        <f>G6</f>
        <v>估价对象所在区域基础设施水平</v>
      </c>
    </row>
    <row r="21" spans="1:7" ht="27">
      <c r="A21" s="3078"/>
      <c r="B21" s="3039" t="s">
        <v>2264</v>
      </c>
      <c r="C21" s="3083">
        <f>C7</f>
        <v>0</v>
      </c>
      <c r="D21" s="3035"/>
      <c r="E21" s="3081"/>
      <c r="F21" s="3082" t="s">
        <v>1461</v>
      </c>
      <c r="G21" s="3085"/>
    </row>
    <row r="22" spans="1:7" ht="14.25">
      <c r="A22" s="3078"/>
      <c r="B22" s="3039" t="s">
        <v>2265</v>
      </c>
      <c r="C22" s="3083">
        <f>C8</f>
        <v>0</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6" sqref="F6"/>
    </sheetView>
  </sheetViews>
  <sheetFormatPr defaultColWidth="14.625" defaultRowHeight="13.5"/>
  <cols>
    <col min="1" max="1" width="24.375" style="3094" customWidth="1"/>
    <col min="2" max="16384" width="14.625" style="3094"/>
  </cols>
  <sheetData>
    <row r="1" spans="1:10" ht="16.5">
      <c r="A1" s="3093" t="s">
        <v>2557</v>
      </c>
      <c r="B1" s="3093">
        <f>SUM(B14:B23)</f>
        <v>108669.79000000001</v>
      </c>
      <c r="C1" s="3102"/>
      <c r="D1" s="3102"/>
      <c r="E1" s="3102"/>
      <c r="F1" s="3102"/>
      <c r="G1" s="3103"/>
      <c r="H1" s="3103"/>
      <c r="I1" s="3103"/>
      <c r="J1" s="3103"/>
    </row>
    <row r="2" spans="1:10" ht="16.5">
      <c r="A2" s="3093" t="s">
        <v>2558</v>
      </c>
      <c r="B2" s="3093">
        <f>SUM(C14:C23)</f>
        <v>193514.27</v>
      </c>
      <c r="C2" s="3102"/>
      <c r="D2" s="3102"/>
      <c r="E2" s="3102"/>
      <c r="F2" s="3102"/>
      <c r="G2" s="3103"/>
      <c r="H2" s="3103"/>
      <c r="I2" s="3103"/>
      <c r="J2" s="3103"/>
    </row>
    <row r="3" spans="1:10" ht="16.5">
      <c r="A3" s="3093" t="s">
        <v>2559</v>
      </c>
      <c r="B3" s="3095">
        <f>项目基本情况!D3</f>
        <v>44701</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84780</v>
      </c>
      <c r="C5" s="3093">
        <f ca="1">ROUND(B5*10000/$B$1,0)</f>
        <v>7802</v>
      </c>
      <c r="D5" s="3093">
        <f ca="1">ROUND(B5*10000/$B$2,0)</f>
        <v>4381</v>
      </c>
      <c r="E5" s="3102"/>
      <c r="F5" s="3102"/>
      <c r="G5" s="3103"/>
      <c r="H5" s="3103"/>
      <c r="I5" s="3103"/>
      <c r="J5" s="3103"/>
    </row>
    <row r="6" spans="1:10" ht="16.5">
      <c r="A6" s="3093" t="s">
        <v>2565</v>
      </c>
      <c r="B6" s="3093">
        <f ca="1">SUM(G14:G23)</f>
        <v>84780</v>
      </c>
      <c r="C6" s="3093">
        <f t="shared" ref="C6:C8" ca="1" si="0">ROUND(B6*10000/$B$1,0)</f>
        <v>7802</v>
      </c>
      <c r="D6" s="3093">
        <f t="shared" ref="D6:D8" ca="1" si="1">ROUND(B6*10000/$B$2,0)</f>
        <v>4381</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 ca="1">SUM(I14:I23)</f>
        <v>60706</v>
      </c>
      <c r="C8" s="3093">
        <f t="shared" ca="1" si="0"/>
        <v>5586</v>
      </c>
      <c r="D8" s="3093">
        <f t="shared" ca="1" si="1"/>
        <v>3137</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51575.14</v>
      </c>
      <c r="C14" s="3099">
        <f>结果表!K38</f>
        <v>97473.98</v>
      </c>
      <c r="D14" s="3099">
        <f ca="1">结果表!C42</f>
        <v>42878</v>
      </c>
      <c r="E14" s="3099">
        <f ca="1">ROUND(D14*10000/B14,0)</f>
        <v>8314</v>
      </c>
      <c r="F14" s="3099">
        <f ca="1">ROUND(D14*10000/C14,0)</f>
        <v>4399</v>
      </c>
      <c r="G14" s="3099">
        <f ca="1">结果表!C44</f>
        <v>42878</v>
      </c>
      <c r="H14" s="3099" t="str">
        <f>结果表!C45</f>
        <v>——</v>
      </c>
      <c r="I14" s="3099">
        <f ca="1">结果表!O41</f>
        <v>30661</v>
      </c>
      <c r="J14" s="3103"/>
    </row>
    <row r="15" spans="1:10" ht="16.5">
      <c r="A15" s="3098" t="s">
        <v>2574</v>
      </c>
      <c r="B15" s="3100">
        <f>[2]系统读取表!$B$14</f>
        <v>57094.65</v>
      </c>
      <c r="C15" s="3100">
        <f>[2]系统读取表!$C$14</f>
        <v>96040.29</v>
      </c>
      <c r="D15" s="3100">
        <f ca="1">[2]系统读取表!$D$14</f>
        <v>41902</v>
      </c>
      <c r="E15" s="3099">
        <f t="shared" ref="E15:E23" ca="1" si="2">ROUND(D15*10000/B15,0)</f>
        <v>7339</v>
      </c>
      <c r="F15" s="3099">
        <f t="shared" ref="F15:F23" ca="1" si="3">ROUND(D15*10000/C15,0)</f>
        <v>4363</v>
      </c>
      <c r="G15" s="2675">
        <f ca="1">D15</f>
        <v>41902</v>
      </c>
      <c r="H15" s="2675"/>
      <c r="I15" s="3100">
        <f ca="1">[2]系统读取表!$I$14</f>
        <v>30045</v>
      </c>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I61" sqref="I61"/>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599" t="str">
        <f>项目基本情况!K2</f>
        <v>海南省海口市新埠岛出让国有建设用地使用权</v>
      </c>
      <c r="B2" s="3600"/>
      <c r="C2" s="3601"/>
      <c r="D2" s="3601"/>
      <c r="E2" s="3601"/>
      <c r="F2" s="3601"/>
      <c r="G2" s="3600"/>
      <c r="H2" s="3600"/>
      <c r="I2" s="3602"/>
      <c r="J2" s="1866"/>
      <c r="K2" s="1865"/>
      <c r="L2" s="1865"/>
      <c r="M2" s="1865"/>
      <c r="N2" s="1865"/>
      <c r="O2" s="1865"/>
      <c r="P2" s="1865"/>
      <c r="Q2" s="1865"/>
      <c r="R2" s="1865"/>
      <c r="S2" s="1865"/>
      <c r="T2" s="1865"/>
      <c r="U2" s="1865"/>
      <c r="V2" s="1865"/>
    </row>
    <row r="3" spans="1:22" ht="14.25">
      <c r="A3" s="3610" t="s">
        <v>298</v>
      </c>
      <c r="B3" s="3611"/>
      <c r="C3" s="3611"/>
      <c r="D3" s="3611"/>
      <c r="E3" s="3611"/>
      <c r="F3" s="3611"/>
      <c r="G3" s="3611"/>
      <c r="H3" s="3611"/>
      <c r="I3" s="3611"/>
      <c r="J3" s="1866"/>
      <c r="K3" s="1865"/>
      <c r="L3" s="1865"/>
      <c r="M3" s="1865"/>
      <c r="N3" s="1865"/>
      <c r="O3" s="1865"/>
      <c r="P3" s="1865"/>
      <c r="Q3" s="1865"/>
      <c r="R3" s="1865"/>
      <c r="S3" s="1865"/>
      <c r="T3" s="1865"/>
      <c r="U3" s="1865"/>
      <c r="V3" s="1865"/>
    </row>
    <row r="4" spans="1:22" ht="14.25">
      <c r="A4" s="256" t="s">
        <v>299</v>
      </c>
      <c r="B4" s="257" t="s">
        <v>300</v>
      </c>
      <c r="C4" s="258" t="s">
        <v>4197</v>
      </c>
      <c r="D4" s="258" t="s">
        <v>4198</v>
      </c>
      <c r="E4" s="3574" t="s">
        <v>301</v>
      </c>
      <c r="F4" s="3616"/>
      <c r="G4" s="3616"/>
      <c r="H4" s="3616"/>
      <c r="I4" s="3575"/>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03" t="s">
        <v>302</v>
      </c>
      <c r="B5" s="3604">
        <v>25</v>
      </c>
      <c r="C5" s="3612"/>
      <c r="D5" s="3615"/>
      <c r="E5" s="259" t="s">
        <v>303</v>
      </c>
      <c r="F5" s="260"/>
      <c r="G5" s="260"/>
      <c r="H5" s="260"/>
      <c r="I5" s="261"/>
      <c r="J5" s="1866"/>
      <c r="K5" s="1865"/>
      <c r="L5" s="1865"/>
      <c r="M5" s="1865"/>
      <c r="N5" s="1865"/>
      <c r="O5" s="1865"/>
      <c r="P5" s="1865"/>
      <c r="Q5" s="1865"/>
      <c r="R5" s="1865"/>
      <c r="S5" s="1865"/>
      <c r="T5" s="1865"/>
      <c r="U5" s="1865"/>
      <c r="V5" s="1865"/>
    </row>
    <row r="6" spans="1:22" ht="14.25">
      <c r="A6" s="3603"/>
      <c r="B6" s="3604"/>
      <c r="C6" s="3613"/>
      <c r="D6" s="3615"/>
      <c r="E6" s="259" t="s">
        <v>304</v>
      </c>
      <c r="F6" s="260"/>
      <c r="G6" s="260"/>
      <c r="H6" s="260"/>
      <c r="I6" s="261"/>
      <c r="J6" s="1866"/>
      <c r="K6" s="1865"/>
      <c r="L6" s="1865"/>
      <c r="M6" s="1865"/>
      <c r="N6" s="1865"/>
      <c r="O6" s="1865"/>
      <c r="P6" s="1865"/>
      <c r="Q6" s="1865"/>
      <c r="R6" s="1865"/>
      <c r="S6" s="1865"/>
      <c r="T6" s="1865"/>
      <c r="U6" s="1865"/>
      <c r="V6" s="1865"/>
    </row>
    <row r="7" spans="1:22" ht="14.25">
      <c r="A7" s="3603"/>
      <c r="B7" s="3604"/>
      <c r="C7" s="3614"/>
      <c r="D7" s="3615"/>
      <c r="E7" s="259" t="s">
        <v>305</v>
      </c>
      <c r="F7" s="260"/>
      <c r="G7" s="260"/>
      <c r="H7" s="260"/>
      <c r="I7" s="261"/>
      <c r="J7" s="1866"/>
      <c r="K7" s="1865"/>
      <c r="L7" s="1865"/>
      <c r="M7" s="1865"/>
      <c r="N7" s="1865"/>
      <c r="O7" s="1865"/>
      <c r="P7" s="1865"/>
      <c r="Q7" s="1865"/>
      <c r="R7" s="1865"/>
      <c r="S7" s="1865"/>
      <c r="T7" s="1865"/>
      <c r="U7" s="1865"/>
      <c r="V7" s="1865"/>
    </row>
    <row r="8" spans="1:22" ht="14.25">
      <c r="A8" s="3603" t="s">
        <v>306</v>
      </c>
      <c r="B8" s="3604">
        <v>15</v>
      </c>
      <c r="C8" s="3612"/>
      <c r="D8" s="3615"/>
      <c r="E8" s="259" t="s">
        <v>307</v>
      </c>
      <c r="F8" s="260"/>
      <c r="G8" s="260"/>
      <c r="H8" s="260"/>
      <c r="I8" s="261"/>
      <c r="J8" s="1866"/>
      <c r="K8" s="1865"/>
      <c r="L8" s="1865"/>
      <c r="M8" s="1865"/>
      <c r="N8" s="1865"/>
      <c r="O8" s="1865"/>
      <c r="P8" s="1865"/>
      <c r="Q8" s="1865"/>
      <c r="R8" s="1865"/>
      <c r="S8" s="1865"/>
      <c r="T8" s="1865"/>
      <c r="U8" s="1865"/>
      <c r="V8" s="1865"/>
    </row>
    <row r="9" spans="1:22" ht="14.25">
      <c r="A9" s="3603"/>
      <c r="B9" s="3604"/>
      <c r="C9" s="3614"/>
      <c r="D9" s="3615"/>
      <c r="E9" s="259" t="s">
        <v>308</v>
      </c>
      <c r="F9" s="260"/>
      <c r="G9" s="260"/>
      <c r="H9" s="260"/>
      <c r="I9" s="261"/>
      <c r="J9" s="1866"/>
      <c r="K9" s="1865"/>
      <c r="L9" s="1865"/>
      <c r="M9" s="1865"/>
      <c r="N9" s="1865"/>
      <c r="O9" s="1865"/>
      <c r="P9" s="1865"/>
      <c r="Q9" s="1865"/>
      <c r="R9" s="1865"/>
      <c r="S9" s="1865"/>
      <c r="T9" s="1865"/>
      <c r="U9" s="1865"/>
      <c r="V9" s="1865"/>
    </row>
    <row r="10" spans="1:22" ht="14.25">
      <c r="A10" s="3603" t="s">
        <v>309</v>
      </c>
      <c r="B10" s="3604">
        <v>15</v>
      </c>
      <c r="C10" s="3612"/>
      <c r="D10" s="3615"/>
      <c r="E10" s="259" t="s">
        <v>310</v>
      </c>
      <c r="F10" s="260"/>
      <c r="G10" s="260"/>
      <c r="H10" s="260"/>
      <c r="I10" s="261"/>
      <c r="J10" s="1866"/>
      <c r="K10" s="1865"/>
      <c r="L10" s="1865"/>
      <c r="M10" s="1865"/>
      <c r="N10" s="1865"/>
      <c r="O10" s="1865"/>
      <c r="P10" s="1865"/>
      <c r="Q10" s="1865"/>
      <c r="R10" s="1865"/>
      <c r="S10" s="1865"/>
      <c r="T10" s="1865"/>
      <c r="U10" s="1865"/>
      <c r="V10" s="1865"/>
    </row>
    <row r="11" spans="1:22" ht="14.25">
      <c r="A11" s="3603"/>
      <c r="B11" s="3604"/>
      <c r="C11" s="3614"/>
      <c r="D11" s="3615"/>
      <c r="E11" s="259" t="s">
        <v>311</v>
      </c>
      <c r="F11" s="260"/>
      <c r="G11" s="260"/>
      <c r="H11" s="260"/>
      <c r="I11" s="261"/>
      <c r="J11" s="1866"/>
      <c r="K11" s="1865"/>
      <c r="L11" s="1865"/>
      <c r="M11" s="1865"/>
      <c r="N11" s="1865"/>
      <c r="O11" s="1865"/>
      <c r="P11" s="1865"/>
      <c r="Q11" s="1865"/>
      <c r="R11" s="1865"/>
      <c r="S11" s="1865"/>
      <c r="T11" s="1865"/>
      <c r="U11" s="1865"/>
      <c r="V11" s="1865"/>
    </row>
    <row r="12" spans="1:22" ht="14.25">
      <c r="A12" s="3603" t="s">
        <v>312</v>
      </c>
      <c r="B12" s="3604">
        <v>15</v>
      </c>
      <c r="C12" s="3612"/>
      <c r="D12" s="3615"/>
      <c r="E12" s="259" t="s">
        <v>313</v>
      </c>
      <c r="F12" s="260"/>
      <c r="G12" s="260"/>
      <c r="H12" s="260"/>
      <c r="I12" s="261"/>
      <c r="J12" s="1866"/>
      <c r="K12" s="1865"/>
      <c r="L12" s="1865"/>
      <c r="M12" s="1865"/>
      <c r="N12" s="1865"/>
      <c r="O12" s="1865"/>
      <c r="P12" s="1865"/>
      <c r="Q12" s="1865"/>
      <c r="R12" s="1865"/>
      <c r="S12" s="1865"/>
      <c r="T12" s="1865"/>
      <c r="U12" s="1865"/>
      <c r="V12" s="1865"/>
    </row>
    <row r="13" spans="1:22" ht="14.25">
      <c r="A13" s="3603"/>
      <c r="B13" s="3604"/>
      <c r="C13" s="3614"/>
      <c r="D13" s="3615"/>
      <c r="E13" s="259" t="s">
        <v>314</v>
      </c>
      <c r="F13" s="260"/>
      <c r="G13" s="260"/>
      <c r="H13" s="260"/>
      <c r="I13" s="261"/>
      <c r="J13" s="1866"/>
      <c r="K13" s="1865"/>
      <c r="L13" s="1865"/>
      <c r="M13" s="1865"/>
      <c r="N13" s="1865"/>
      <c r="O13" s="1865"/>
      <c r="P13" s="1865"/>
      <c r="Q13" s="1865"/>
      <c r="R13" s="1865"/>
      <c r="S13" s="1865"/>
      <c r="T13" s="1865"/>
      <c r="U13" s="1865"/>
      <c r="V13" s="1865"/>
    </row>
    <row r="14" spans="1:22" ht="14.25">
      <c r="A14" s="3603" t="s">
        <v>315</v>
      </c>
      <c r="B14" s="3604">
        <v>30</v>
      </c>
      <c r="C14" s="3612">
        <v>5</v>
      </c>
      <c r="D14" s="3615">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03"/>
      <c r="B15" s="3604"/>
      <c r="C15" s="3613"/>
      <c r="D15" s="3615"/>
      <c r="E15" s="259" t="s">
        <v>317</v>
      </c>
      <c r="F15" s="260"/>
      <c r="G15" s="260"/>
      <c r="H15" s="260"/>
      <c r="I15" s="261"/>
      <c r="J15" s="1866"/>
      <c r="K15" s="1865"/>
      <c r="L15" s="1865"/>
      <c r="M15" s="1865"/>
      <c r="N15" s="1865"/>
      <c r="O15" s="1865"/>
      <c r="P15" s="1865"/>
      <c r="Q15" s="1865"/>
      <c r="R15" s="1865"/>
      <c r="S15" s="1865"/>
      <c r="T15" s="1865"/>
      <c r="U15" s="1865"/>
      <c r="V15" s="1865"/>
    </row>
    <row r="16" spans="1:22" ht="14.25">
      <c r="A16" s="3603"/>
      <c r="B16" s="3604"/>
      <c r="C16" s="3614"/>
      <c r="D16" s="3615"/>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617" t="s">
        <v>2690</v>
      </c>
      <c r="F18" s="3618"/>
      <c r="G18" s="3618"/>
      <c r="H18" s="3618"/>
      <c r="I18" s="3618"/>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42320</v>
      </c>
      <c r="D19" s="269">
        <f ca="1">SUMIF(INDIRECT("'"&amp;D4&amp;"'"&amp;"!A:A"),结果表!B19,INDIRECT("'"&amp;D4&amp;"'"&amp;"!B:B"))</f>
        <v>43436</v>
      </c>
      <c r="E19" s="266" t="s">
        <v>323</v>
      </c>
      <c r="F19" s="267" t="s">
        <v>322</v>
      </c>
      <c r="G19" s="270">
        <f ca="1">ROUND(C19*$C$18+D19*$D$18,0)</f>
        <v>42878</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8206</v>
      </c>
      <c r="D20" s="275">
        <f ca="1">SUMIF(INDIRECT("'"&amp;D4&amp;"'"&amp;"!A:A"),结果表!B20,INDIRECT("'"&amp;D4&amp;"'"&amp;"!B:B"))</f>
        <v>8422</v>
      </c>
      <c r="E20" s="272"/>
      <c r="F20" s="273" t="s">
        <v>325</v>
      </c>
      <c r="G20" s="276">
        <f ca="1">ROUND(C20*$C$18+D20*$D$18,0)</f>
        <v>8314</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4342</v>
      </c>
      <c r="D21" s="149">
        <f ca="1">SUMIF(INDIRECT("'"&amp;D4&amp;"'"&amp;"!A:A"),结果表!B21,INDIRECT("'"&amp;D4&amp;"'"&amp;"!B:B"))</f>
        <v>4456</v>
      </c>
      <c r="E21" s="272"/>
      <c r="F21" s="278" t="s">
        <v>327</v>
      </c>
      <c r="G21" s="280">
        <f ca="1">ROUND(C21*$C$18+D21*$D$18,0)</f>
        <v>4399</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2.6370510396975355E-2</v>
      </c>
      <c r="E22" s="282"/>
      <c r="F22" s="283"/>
      <c r="G22" s="284">
        <f ca="1">ROUND(G19/('数据-汇总表'!D3/666.67),0)</f>
        <v>293</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76"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23"/>
      <c r="B25" s="1238" t="s">
        <v>331</v>
      </c>
      <c r="C25" s="288">
        <f>IF(B30=0,0,C30)</f>
        <v>0</v>
      </c>
      <c r="D25" s="289"/>
      <c r="E25" s="309"/>
      <c r="F25" s="309"/>
      <c r="G25" s="309"/>
      <c r="H25" s="309"/>
      <c r="I25" s="309"/>
      <c r="J25" s="1865"/>
      <c r="K25" s="1172" t="str">
        <f ca="1">项目基本情况!B16&amp;"国有建设用地使用权价格："&amp;O38&amp;"万元"</f>
        <v>出让国有建设用地使用权价格：42878万元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大写金额：人民币肆亿贰仟捌佰柒拾捌万元整</v>
      </c>
      <c r="L26" s="1169"/>
      <c r="M26" s="1169"/>
      <c r="N26" s="1169"/>
      <c r="O26" s="1168"/>
      <c r="P26" s="1865"/>
      <c r="Q26" s="1865"/>
      <c r="R26" s="1865"/>
      <c r="S26" s="1865"/>
      <c r="T26" s="1865"/>
      <c r="U26" s="1865"/>
      <c r="V26" s="1865"/>
      <c r="W26" s="290"/>
      <c r="X26" s="290"/>
      <c r="Y26" s="290"/>
      <c r="Z26" s="290"/>
    </row>
    <row r="27" spans="1:26" ht="18">
      <c r="A27" s="291"/>
      <c r="B27" s="292"/>
      <c r="C27" s="292"/>
      <c r="D27" s="293">
        <f ca="1">G19/'数据-汇总表'!F31*10000</f>
        <v>9778.4801827165065</v>
      </c>
      <c r="E27" s="309"/>
      <c r="F27" s="309"/>
      <c r="G27" s="309"/>
      <c r="H27" s="309"/>
      <c r="I27" s="309"/>
      <c r="J27" s="1865"/>
      <c r="K27" s="1175" t="str">
        <f ca="1">"单位面积地价："&amp;M38&amp;"元/平方米"</f>
        <v>单位面积地价：4399元/平方米</v>
      </c>
      <c r="L27" s="1169"/>
      <c r="M27" s="1169"/>
      <c r="N27" s="1169"/>
      <c r="O27" s="1168"/>
      <c r="P27" s="1865"/>
      <c r="Q27" s="1865"/>
      <c r="R27" s="1865"/>
      <c r="S27" s="1865"/>
      <c r="T27" s="1865"/>
      <c r="U27" s="1865"/>
      <c r="V27" s="1865"/>
    </row>
    <row r="28" spans="1:26" ht="18.75" customHeight="1">
      <c r="A28" s="291"/>
      <c r="B28" s="292"/>
      <c r="C28" s="292"/>
      <c r="D28" s="293">
        <f ca="1">G19/'剩余法-待开发'!C6</f>
        <v>0.44316056017776861</v>
      </c>
      <c r="E28" s="309"/>
      <c r="F28" s="309"/>
      <c r="G28" s="309"/>
      <c r="H28" s="309"/>
      <c r="I28" s="309"/>
      <c r="J28" s="1865"/>
      <c r="K28" s="1175" t="str">
        <f ca="1">"楼面地价："&amp;N38&amp;"元/平方米"</f>
        <v>楼面地价：8314元/平方米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抵押价格：42878万元</v>
      </c>
      <c r="L29" s="1169"/>
      <c r="M29" s="1169"/>
      <c r="N29" s="1169"/>
      <c r="O29" s="1168"/>
      <c r="P29" s="1865"/>
      <c r="V29" s="1865"/>
    </row>
    <row r="30" spans="1:26" ht="18.75" thickBot="1">
      <c r="A30" s="2718" t="s">
        <v>336</v>
      </c>
      <c r="B30" s="307"/>
      <c r="C30" s="307"/>
      <c r="D30" s="308"/>
      <c r="E30" s="2911" t="s">
        <v>2691</v>
      </c>
      <c r="F30" s="309"/>
      <c r="G30" s="309"/>
      <c r="H30" s="309"/>
      <c r="I30" s="309"/>
      <c r="J30" s="1865"/>
      <c r="K30" s="1175" t="str">
        <f ca="1">IF(K29="——","——","大写金额：人民币"&amp;NUMBERSTRING(INT(O39*10000),2)&amp;"元整")</f>
        <v>大写金额：人民币肆亿贰仟捌佰柒拾捌万元整</v>
      </c>
      <c r="L30" s="1169"/>
      <c r="M30" s="1169"/>
      <c r="N30" s="1169"/>
      <c r="O30" s="1168"/>
      <c r="P30" s="1865"/>
      <c r="V30" s="1865"/>
    </row>
    <row r="31" spans="1:26" ht="24" customHeight="1" thickBot="1">
      <c r="A31" s="3619" t="s">
        <v>2692</v>
      </c>
      <c r="B31" s="3619"/>
      <c r="C31" s="3619"/>
      <c r="D31" s="3619"/>
      <c r="E31" s="3619"/>
      <c r="F31" s="3619"/>
      <c r="G31" s="3619"/>
      <c r="H31" s="3619"/>
      <c r="I31" s="3619"/>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42878</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8314</v>
      </c>
      <c r="D33" s="1289" t="s">
        <v>1491</v>
      </c>
      <c r="E33" s="3576" t="s">
        <v>338</v>
      </c>
      <c r="F33" s="294" t="s">
        <v>339</v>
      </c>
      <c r="G33" s="295"/>
      <c r="H33" s="950"/>
      <c r="I33" s="1176"/>
      <c r="J33" s="1865"/>
      <c r="K33" s="1175" t="str">
        <f ca="1">IF(项目基本情况!E9="——","——","抵押净值："&amp;C46&amp;"万元")</f>
        <v>抵押净值：30661万元</v>
      </c>
      <c r="L33" s="1169"/>
      <c r="M33" s="1169"/>
      <c r="N33" s="1169"/>
      <c r="O33" s="1168"/>
      <c r="P33" s="1865"/>
      <c r="V33" s="1865"/>
    </row>
    <row r="34" spans="1:26" s="1171" customFormat="1" ht="18.75" thickBot="1">
      <c r="A34" s="298"/>
      <c r="B34" s="1290" t="s">
        <v>1492</v>
      </c>
      <c r="C34" s="262">
        <f ca="1">ROUND(C32*10000/'数据-汇总表'!D3,0)</f>
        <v>4399</v>
      </c>
      <c r="D34" s="1291" t="s">
        <v>1491</v>
      </c>
      <c r="E34" s="3577"/>
      <c r="F34" s="127" t="s">
        <v>341</v>
      </c>
      <c r="G34" s="297"/>
      <c r="H34" s="105"/>
      <c r="I34" s="309"/>
      <c r="J34" s="1865"/>
      <c r="K34" s="1178" t="str">
        <f ca="1">IF(K33="——","——","大写金额：人民币"&amp;NUMBERSTRING(INT(O41*10000),2)&amp;"元整")</f>
        <v>大写金额：人民币叁亿零陆佰陆拾壹万元整</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293</v>
      </c>
      <c r="D35" s="1294" t="s">
        <v>1493</v>
      </c>
      <c r="E35" s="3578"/>
      <c r="F35" s="299" t="s">
        <v>342</v>
      </c>
      <c r="G35" s="952"/>
      <c r="H35" s="951" t="s">
        <v>343</v>
      </c>
      <c r="I35" s="309"/>
      <c r="J35" s="1865"/>
      <c r="K35" s="3582" t="s">
        <v>350</v>
      </c>
      <c r="L35" s="3582" t="s">
        <v>351</v>
      </c>
      <c r="M35" s="1181" t="s">
        <v>352</v>
      </c>
      <c r="N35" s="3582" t="s">
        <v>353</v>
      </c>
      <c r="O35" s="3582" t="s">
        <v>354</v>
      </c>
      <c r="P35" s="1865"/>
      <c r="V35" s="1865"/>
    </row>
    <row r="36" spans="1:26" ht="16.5" customHeight="1">
      <c r="A36" s="301" t="s">
        <v>344</v>
      </c>
      <c r="B36" s="302" t="s">
        <v>333</v>
      </c>
      <c r="C36" s="303" t="s">
        <v>345</v>
      </c>
      <c r="D36" s="303" t="s">
        <v>346</v>
      </c>
      <c r="E36" s="304" t="s">
        <v>347</v>
      </c>
      <c r="F36" s="309"/>
      <c r="G36" s="309"/>
      <c r="H36" s="309"/>
      <c r="I36" s="309"/>
      <c r="J36" s="1867"/>
      <c r="K36" s="3583"/>
      <c r="L36" s="3583"/>
      <c r="M36" s="1183" t="s">
        <v>355</v>
      </c>
      <c r="N36" s="3583"/>
      <c r="O36" s="3583"/>
      <c r="P36" s="1865"/>
      <c r="V36" s="1865"/>
    </row>
    <row r="37" spans="1:26" ht="16.5" customHeight="1" thickBot="1">
      <c r="A37" s="1177" t="s">
        <v>348</v>
      </c>
      <c r="B37" s="305"/>
      <c r="C37" s="292"/>
      <c r="D37" s="292"/>
      <c r="E37" s="293"/>
      <c r="F37" s="309"/>
      <c r="G37" s="309"/>
      <c r="H37" s="309"/>
      <c r="I37" s="309"/>
      <c r="J37" s="1867"/>
      <c r="K37" s="3584"/>
      <c r="L37" s="3584"/>
      <c r="M37" s="1184"/>
      <c r="N37" s="3584"/>
      <c r="O37" s="3584"/>
      <c r="P37" s="1865"/>
      <c r="V37" s="1865"/>
    </row>
    <row r="38" spans="1:26" ht="16.5" customHeight="1" thickBot="1">
      <c r="A38" s="1177" t="s">
        <v>349</v>
      </c>
      <c r="B38" s="305"/>
      <c r="C38" s="292"/>
      <c r="D38" s="292"/>
      <c r="E38" s="293"/>
      <c r="F38" s="309"/>
      <c r="G38" s="309"/>
      <c r="H38" s="309"/>
      <c r="I38" s="309"/>
      <c r="J38" s="1867"/>
      <c r="K38" s="1185">
        <f>'数据-汇总表'!D3</f>
        <v>97473.98</v>
      </c>
      <c r="L38" s="1186">
        <f>'数据-汇总表'!E3</f>
        <v>51575.14</v>
      </c>
      <c r="M38" s="1186">
        <f ca="1">C34</f>
        <v>4399</v>
      </c>
      <c r="N38" s="1186">
        <f ca="1">C33</f>
        <v>8314</v>
      </c>
      <c r="O38" s="1187">
        <f ca="1">C32</f>
        <v>42878</v>
      </c>
      <c r="P38" s="1865"/>
      <c r="V38" s="1865"/>
    </row>
    <row r="39" spans="1:26" ht="16.5" customHeight="1" thickBot="1">
      <c r="A39" s="1182"/>
      <c r="B39" s="306"/>
      <c r="C39" s="307"/>
      <c r="D39" s="307"/>
      <c r="E39" s="308"/>
      <c r="F39" s="309"/>
      <c r="G39" s="309"/>
      <c r="H39" s="309"/>
      <c r="I39" s="309"/>
      <c r="J39" s="1867"/>
      <c r="K39" s="3595" t="str">
        <f>MID(A44,3,LEN(A44)-2)</f>
        <v>抵押价格</v>
      </c>
      <c r="L39" s="3596"/>
      <c r="M39" s="3596"/>
      <c r="N39" s="3597"/>
      <c r="O39" s="1296">
        <f ca="1">C44</f>
        <v>42878</v>
      </c>
      <c r="P39" s="1865"/>
      <c r="V39" s="1865"/>
    </row>
    <row r="40" spans="1:26" ht="19.5" thickBot="1">
      <c r="A40" s="104" t="s">
        <v>852</v>
      </c>
      <c r="B40" s="309"/>
      <c r="C40" s="309"/>
      <c r="D40" s="309"/>
      <c r="E40" s="309"/>
      <c r="F40" s="309"/>
      <c r="G40" s="309"/>
      <c r="H40" s="309"/>
      <c r="I40" s="309"/>
      <c r="J40" s="1867"/>
      <c r="K40" s="3595" t="str">
        <f t="shared" ref="K40:K41" si="0">MID(A45,3,LEN(A45)-2)</f>
        <v/>
      </c>
      <c r="L40" s="3596"/>
      <c r="M40" s="3596"/>
      <c r="N40" s="3597"/>
      <c r="O40" s="1296" t="str">
        <f>C45</f>
        <v>——</v>
      </c>
      <c r="P40" s="1865"/>
      <c r="V40" s="1865"/>
    </row>
    <row r="41" spans="1:26" ht="16.5" thickBot="1">
      <c r="A41" s="310" t="s">
        <v>356</v>
      </c>
      <c r="B41" s="311"/>
      <c r="C41" s="312" t="s">
        <v>357</v>
      </c>
      <c r="D41" s="313" t="s">
        <v>358</v>
      </c>
      <c r="E41" s="313" t="s">
        <v>359</v>
      </c>
      <c r="F41" s="314" t="s">
        <v>360</v>
      </c>
      <c r="G41" s="309"/>
      <c r="H41" s="309"/>
      <c r="I41" s="309"/>
      <c r="J41" s="1867"/>
      <c r="K41" s="3595" t="str">
        <f t="shared" si="0"/>
        <v>抵押净值</v>
      </c>
      <c r="L41" s="3596"/>
      <c r="M41" s="3596"/>
      <c r="N41" s="3597"/>
      <c r="O41" s="1296">
        <f ca="1">C46</f>
        <v>30661</v>
      </c>
      <c r="P41" s="1865"/>
      <c r="V41" s="1865"/>
    </row>
    <row r="42" spans="1:26" ht="29.25">
      <c r="A42" s="3624" t="s">
        <v>1859</v>
      </c>
      <c r="B42" s="3625"/>
      <c r="C42" s="262">
        <f ca="1">C32</f>
        <v>42878</v>
      </c>
      <c r="D42" s="315">
        <f ca="1">C33</f>
        <v>8314</v>
      </c>
      <c r="E42" s="315">
        <f ca="1">C34</f>
        <v>4399</v>
      </c>
      <c r="F42" s="316">
        <f ca="1">C35</f>
        <v>293</v>
      </c>
      <c r="G42" s="309"/>
      <c r="H42" s="309"/>
      <c r="I42" s="317"/>
      <c r="J42" s="1867"/>
      <c r="K42" s="1188" t="s">
        <v>361</v>
      </c>
      <c r="L42" s="1884" t="s">
        <v>362</v>
      </c>
      <c r="M42" s="1189" t="s">
        <v>363</v>
      </c>
      <c r="N42" s="1885" t="s">
        <v>364</v>
      </c>
      <c r="O42" s="1886" t="s">
        <v>365</v>
      </c>
      <c r="P42" s="1865"/>
      <c r="V42" s="1865"/>
    </row>
    <row r="43" spans="1:26" ht="30">
      <c r="A43" s="3634" t="s">
        <v>2447</v>
      </c>
      <c r="B43" s="3635"/>
      <c r="C43" s="262">
        <f>IF(H33="正常操作",G33+G34+G35,G34+G35)</f>
        <v>0</v>
      </c>
      <c r="D43" s="315" t="s">
        <v>43</v>
      </c>
      <c r="E43" s="315" t="s">
        <v>44</v>
      </c>
      <c r="F43" s="316" t="s">
        <v>44</v>
      </c>
      <c r="G43" s="2505" t="s">
        <v>931</v>
      </c>
      <c r="H43" s="309"/>
      <c r="I43" s="317"/>
      <c r="J43" s="1867"/>
      <c r="K43" s="1190" t="str">
        <f>C4</f>
        <v>比较法-住宅、综合</v>
      </c>
      <c r="L43" s="1191">
        <f ca="1">IF(L42="估价结果/万元",C19,C20)</f>
        <v>42320</v>
      </c>
      <c r="M43" s="1192">
        <f>C18</f>
        <v>0.5</v>
      </c>
      <c r="N43" s="1193">
        <f ca="1">IF(N42="测算结果/万元",G19,G20)</f>
        <v>42878</v>
      </c>
      <c r="O43" s="1194">
        <f ca="1">IF(O42="最终结果/万元",C32,C33)</f>
        <v>42878</v>
      </c>
      <c r="P43" s="1865"/>
      <c r="V43" s="1865"/>
    </row>
    <row r="44" spans="1:26" ht="30.75" thickBot="1">
      <c r="A44" s="3624" t="str">
        <f>IF(OR(项目基本情况!E8="抵押价格",项目基本情况!E8="已注销及未注销"),"3.抵押价格","——")</f>
        <v>3.抵押价格</v>
      </c>
      <c r="B44" s="3625"/>
      <c r="C44" s="262">
        <f ca="1">IF(A44="——","——",C42-C43)</f>
        <v>42878</v>
      </c>
      <c r="D44" s="315">
        <f ca="1">ROUND(C44*10000/'数据-汇总表'!E3,0)</f>
        <v>8314</v>
      </c>
      <c r="E44" s="315">
        <f ca="1">ROUND(C44*10000/'数据-汇总表'!D3,0)</f>
        <v>4399</v>
      </c>
      <c r="F44" s="316">
        <f ca="1">ROUND(C44/('数据-汇总表'!D3/666.67),0)</f>
        <v>293</v>
      </c>
      <c r="G44" s="309"/>
      <c r="H44" s="309"/>
      <c r="I44" s="317"/>
      <c r="J44" s="1867"/>
      <c r="K44" s="1195" t="str">
        <f>D4</f>
        <v>剩余法-待开发</v>
      </c>
      <c r="L44" s="1196">
        <f ca="1">IF(L42="估价结果/万元",D19,D20)</f>
        <v>43436</v>
      </c>
      <c r="M44" s="1197">
        <f>D18</f>
        <v>0.5</v>
      </c>
      <c r="N44" s="1198"/>
      <c r="O44" s="1199"/>
      <c r="P44" s="1865"/>
      <c r="V44" s="1865"/>
    </row>
    <row r="45" spans="1:26" ht="15">
      <c r="A45" s="3629" t="str">
        <f>IF(项目基本情况!E8="已注销及未注销","4.抵押担保权已注销时的抵押价格",IF(项目基本情况!E8="已注销","3.抵押担保权已注销时的抵押价格","——"))</f>
        <v>——</v>
      </c>
      <c r="B45" s="3630"/>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26" t="str">
        <f>IF(项目基本情况!E9="抵押净值",IF(A45="——","4.抵押净值","5.抵押净值"),"——")</f>
        <v>4.抵押净值</v>
      </c>
      <c r="B46" s="3627"/>
      <c r="C46" s="318">
        <f ca="1">IF(A46="——","——",O79)</f>
        <v>30661</v>
      </c>
      <c r="D46" s="315">
        <f ca="1">ROUND(C46*10000/'数据-汇总表'!E3,0)</f>
        <v>5945</v>
      </c>
      <c r="E46" s="315">
        <f ca="1">ROUND(C46*10000/'数据-汇总表'!D3,0)</f>
        <v>3146</v>
      </c>
      <c r="F46" s="316">
        <f ca="1">ROUND(C46/('数据-汇总表'!D3/666.67),0)</f>
        <v>210</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587" t="s">
        <v>374</v>
      </c>
      <c r="B63" s="3588"/>
      <c r="C63" s="3589"/>
      <c r="D63" s="339">
        <f ca="1">ROUND(C42*F63,0)</f>
        <v>42878</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31" t="s">
        <v>378</v>
      </c>
      <c r="B64" s="3632"/>
      <c r="C64" s="3632"/>
      <c r="D64" s="3632"/>
      <c r="E64" s="3632"/>
      <c r="F64" s="3632"/>
      <c r="G64" s="3633"/>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628" t="s">
        <v>386</v>
      </c>
      <c r="B66" s="3594"/>
      <c r="C66" s="3594"/>
      <c r="D66" s="259">
        <f ca="1">IF(H66="情况1",0,IF(H66="情况2",D70,IF(H66="情况3",D71,IF(H66="情况4",D72))))</f>
        <v>2246</v>
      </c>
      <c r="E66" s="963" t="str">
        <f>IF(H66="情况4","(销售额-原购置价)×税（费）率","销售额×税（费）率")</f>
        <v>销售额×税（费）率</v>
      </c>
      <c r="F66" s="348">
        <f>IF(H66="情况1","免征",'数据-取费表'!B41)</f>
        <v>5.5000000000000007E-2</v>
      </c>
      <c r="G66" s="349" t="s">
        <v>387</v>
      </c>
      <c r="H66" s="189" t="s">
        <v>4209</v>
      </c>
      <c r="I66" s="1205"/>
      <c r="J66" s="1871"/>
      <c r="K66" s="1208">
        <v>1</v>
      </c>
      <c r="L66" s="3555" t="s">
        <v>385</v>
      </c>
      <c r="M66" s="3556"/>
      <c r="N66" s="2266"/>
      <c r="O66" s="2267"/>
      <c r="P66" s="2268"/>
      <c r="Q66" s="1865"/>
      <c r="R66" s="1865"/>
      <c r="S66" s="1865"/>
      <c r="T66" s="1865"/>
      <c r="U66" s="1865"/>
      <c r="V66" s="1865"/>
    </row>
    <row r="67" spans="1:22" ht="25.5" customHeight="1">
      <c r="A67" s="350" t="s">
        <v>389</v>
      </c>
      <c r="B67" s="3606" t="s">
        <v>390</v>
      </c>
      <c r="C67" s="3606"/>
      <c r="D67" s="351">
        <v>0</v>
      </c>
      <c r="E67" s="41" t="s">
        <v>391</v>
      </c>
      <c r="F67" s="62" t="s">
        <v>21</v>
      </c>
      <c r="G67" s="3590"/>
      <c r="H67" s="2914" t="s">
        <v>2693</v>
      </c>
      <c r="I67" s="2916"/>
      <c r="J67" s="1872"/>
      <c r="K67" s="1844">
        <v>2</v>
      </c>
      <c r="L67" s="3560" t="s">
        <v>388</v>
      </c>
      <c r="M67" s="3560"/>
      <c r="N67" s="1242">
        <f>'数据-取费表'!B2</f>
        <v>44701</v>
      </c>
      <c r="O67" s="1242"/>
      <c r="P67" s="1242"/>
      <c r="Q67" s="1865"/>
      <c r="R67" s="1865"/>
      <c r="S67" s="1865"/>
      <c r="T67" s="1865"/>
      <c r="U67" s="1865"/>
      <c r="V67" s="1865"/>
    </row>
    <row r="68" spans="1:22" ht="25.5" customHeight="1">
      <c r="A68" s="352"/>
      <c r="B68" s="3606" t="s">
        <v>393</v>
      </c>
      <c r="C68" s="3606"/>
      <c r="D68" s="353"/>
      <c r="E68" s="77"/>
      <c r="F68" s="354"/>
      <c r="G68" s="3591"/>
      <c r="H68" s="2915" t="s">
        <v>2694</v>
      </c>
      <c r="I68" s="2916"/>
      <c r="J68" s="1872"/>
      <c r="K68" s="1844">
        <v>3</v>
      </c>
      <c r="L68" s="3560" t="s">
        <v>392</v>
      </c>
      <c r="M68" s="3560"/>
      <c r="N68" s="1210">
        <f ca="1">C42</f>
        <v>42878</v>
      </c>
      <c r="O68" s="1210"/>
      <c r="P68" s="1210"/>
      <c r="Q68" s="1865"/>
      <c r="R68" s="1865"/>
      <c r="S68" s="1865"/>
      <c r="T68" s="1865"/>
      <c r="U68" s="1865"/>
      <c r="V68" s="1865"/>
    </row>
    <row r="69" spans="1:22" ht="23.45" customHeight="1">
      <c r="A69" s="355"/>
      <c r="B69" s="3606" t="s">
        <v>394</v>
      </c>
      <c r="C69" s="3606"/>
      <c r="D69" s="356"/>
      <c r="E69" s="73"/>
      <c r="F69" s="354"/>
      <c r="G69" s="3592"/>
      <c r="H69" s="2915" t="s">
        <v>2695</v>
      </c>
      <c r="I69" s="2916"/>
      <c r="J69" s="1872"/>
      <c r="K69" s="1211">
        <v>4</v>
      </c>
      <c r="L69" s="3561" t="s">
        <v>2596</v>
      </c>
      <c r="M69" s="3562"/>
      <c r="N69" s="1212">
        <f ca="1">C44</f>
        <v>42878</v>
      </c>
      <c r="O69" s="1212"/>
      <c r="P69" s="1212"/>
      <c r="Q69" s="1865"/>
      <c r="R69" s="1865"/>
      <c r="S69" s="1865"/>
      <c r="T69" s="1865"/>
      <c r="U69" s="1865"/>
      <c r="V69" s="1865"/>
    </row>
    <row r="70" spans="1:22" ht="24" customHeight="1">
      <c r="A70" s="357" t="s">
        <v>395</v>
      </c>
      <c r="B70" s="3606" t="s">
        <v>396</v>
      </c>
      <c r="C70" s="3606"/>
      <c r="D70" s="356">
        <f ca="1">ROUND(D63*'数据-取费表'!B41/(1+'数据-取费表'!C42),0)</f>
        <v>2246</v>
      </c>
      <c r="E70" s="17" t="s">
        <v>397</v>
      </c>
      <c r="F70" s="358">
        <f>'数据-取费表'!B41</f>
        <v>5.5000000000000007E-2</v>
      </c>
      <c r="G70" s="359"/>
      <c r="H70" s="309"/>
      <c r="I70" s="1209"/>
      <c r="J70" s="1872"/>
      <c r="K70" s="2683"/>
      <c r="L70" s="2684"/>
      <c r="M70" s="2684"/>
      <c r="N70" s="2685" t="s">
        <v>2600</v>
      </c>
      <c r="O70" s="2684"/>
      <c r="P70" s="2686"/>
      <c r="Q70" s="1865"/>
      <c r="R70" s="1865"/>
      <c r="S70" s="1865"/>
      <c r="T70" s="1865"/>
      <c r="U70" s="1865"/>
      <c r="V70" s="1865"/>
    </row>
    <row r="71" spans="1:22" ht="12" customHeight="1">
      <c r="A71" s="357" t="s">
        <v>403</v>
      </c>
      <c r="B71" s="3605" t="s">
        <v>2723</v>
      </c>
      <c r="C71" s="3622"/>
      <c r="D71" s="356">
        <f ca="1">ROUND(D63*'数据-取费表'!B41/(1+'数据-取费表'!C42),0)</f>
        <v>2246</v>
      </c>
      <c r="E71" s="17" t="s">
        <v>397</v>
      </c>
      <c r="F71" s="358">
        <f>'数据-取费表'!B41</f>
        <v>5.5000000000000007E-2</v>
      </c>
      <c r="G71" s="359"/>
      <c r="H71" s="309"/>
      <c r="I71" s="1209"/>
      <c r="J71" s="1872"/>
      <c r="K71" s="2682" t="s">
        <v>398</v>
      </c>
      <c r="L71" s="3563" t="s">
        <v>399</v>
      </c>
      <c r="M71" s="3563"/>
      <c r="N71" s="2682" t="s">
        <v>400</v>
      </c>
      <c r="O71" s="2682" t="s">
        <v>401</v>
      </c>
      <c r="P71" s="2682" t="s">
        <v>402</v>
      </c>
      <c r="Q71" s="1865"/>
      <c r="R71" s="1865"/>
      <c r="S71" s="1865"/>
      <c r="T71" s="1865"/>
      <c r="U71" s="1865"/>
      <c r="V71" s="1865"/>
    </row>
    <row r="72" spans="1:22" ht="12" customHeight="1">
      <c r="A72" s="357" t="s">
        <v>405</v>
      </c>
      <c r="B72" s="3605" t="s">
        <v>2724</v>
      </c>
      <c r="C72" s="3622"/>
      <c r="D72" s="356">
        <f ca="1">C86</f>
        <v>2246</v>
      </c>
      <c r="E72" s="73" t="s">
        <v>406</v>
      </c>
      <c r="F72" s="358">
        <f>'数据-取费表'!B41</f>
        <v>5.5000000000000007E-2</v>
      </c>
      <c r="G72" s="359"/>
      <c r="H72" s="1215"/>
      <c r="I72" s="1209"/>
      <c r="J72" s="1872"/>
      <c r="K72" s="1844">
        <v>1</v>
      </c>
      <c r="L72" s="3559" t="s">
        <v>404</v>
      </c>
      <c r="M72" s="3559"/>
      <c r="N72" s="1213">
        <f ca="1">D66</f>
        <v>2246</v>
      </c>
      <c r="O72" s="1728" t="str">
        <f>E66</f>
        <v>销售额×税（费）率</v>
      </c>
      <c r="P72" s="1214">
        <f>F66</f>
        <v>5.5000000000000007E-2</v>
      </c>
      <c r="Q72" s="1865"/>
      <c r="R72" s="1865"/>
      <c r="S72" s="1865"/>
      <c r="T72" s="1865"/>
      <c r="U72" s="1865"/>
      <c r="V72" s="1865"/>
    </row>
    <row r="73" spans="1:22" ht="24" customHeight="1">
      <c r="A73" s="3593" t="s">
        <v>408</v>
      </c>
      <c r="B73" s="3594"/>
      <c r="C73" s="3594"/>
      <c r="D73" s="360">
        <f ca="1">IF(H73="个人住宅",0,ROUND(D63*I73,0))</f>
        <v>21</v>
      </c>
      <c r="E73" s="17" t="s">
        <v>409</v>
      </c>
      <c r="F73" s="358">
        <f>IF(H73="正常",I73,"免征")</f>
        <v>5.0000000000000001E-4</v>
      </c>
      <c r="G73" s="359"/>
      <c r="H73" s="189" t="s">
        <v>3234</v>
      </c>
      <c r="I73" s="358">
        <f>'数据-取费表'!B49</f>
        <v>5.0000000000000001E-4</v>
      </c>
      <c r="J73" s="1872"/>
      <c r="K73" s="1844">
        <v>2</v>
      </c>
      <c r="L73" s="3559" t="s">
        <v>407</v>
      </c>
      <c r="M73" s="3559"/>
      <c r="N73" s="1213">
        <f t="shared" ref="N73:P74" ca="1" si="1">D73</f>
        <v>21</v>
      </c>
      <c r="O73" s="1728" t="str">
        <f t="shared" si="1"/>
        <v>销售额×税（费）率</v>
      </c>
      <c r="P73" s="1214">
        <f t="shared" si="1"/>
        <v>5.0000000000000001E-4</v>
      </c>
      <c r="Q73" s="1865"/>
      <c r="R73" s="1865"/>
      <c r="S73" s="1865"/>
      <c r="T73" s="1865"/>
      <c r="U73" s="1865"/>
      <c r="V73" s="1865"/>
    </row>
    <row r="74" spans="1:22" ht="24.75">
      <c r="A74" s="3593" t="s">
        <v>411</v>
      </c>
      <c r="B74" s="3594"/>
      <c r="C74" s="3594"/>
      <c r="D74" s="360">
        <f ca="1">IF(H74="个人住宅",D75,D76)</f>
        <v>9950</v>
      </c>
      <c r="E74" s="17" t="s">
        <v>412</v>
      </c>
      <c r="F74" s="358" t="str">
        <f>IF(H74="正常",F76,"免征")</f>
        <v>——</v>
      </c>
      <c r="G74" s="953" t="s">
        <v>413</v>
      </c>
      <c r="H74" s="361" t="s">
        <v>3234</v>
      </c>
      <c r="I74" s="42"/>
      <c r="J74" s="1872"/>
      <c r="K74" s="1844">
        <v>3</v>
      </c>
      <c r="L74" s="3559" t="s">
        <v>410</v>
      </c>
      <c r="M74" s="3559"/>
      <c r="N74" s="1213">
        <f t="shared" ca="1" si="1"/>
        <v>9950</v>
      </c>
      <c r="O74" s="1728" t="str">
        <f t="shared" si="1"/>
        <v>增值额×税（费）率</v>
      </c>
      <c r="P74" s="1216" t="str">
        <f t="shared" si="1"/>
        <v>——</v>
      </c>
      <c r="Q74" s="1865"/>
      <c r="R74" s="1865"/>
      <c r="S74" s="1865"/>
      <c r="T74" s="1865"/>
      <c r="U74" s="1865"/>
      <c r="V74" s="1865"/>
    </row>
    <row r="75" spans="1:22" ht="12.75">
      <c r="A75" s="357" t="s">
        <v>414</v>
      </c>
      <c r="B75" s="3574" t="s">
        <v>415</v>
      </c>
      <c r="C75" s="3575"/>
      <c r="D75" s="362">
        <v>0</v>
      </c>
      <c r="E75" s="41" t="s">
        <v>416</v>
      </c>
      <c r="F75" s="363"/>
      <c r="G75" s="359"/>
      <c r="H75" s="42"/>
      <c r="I75" s="42"/>
      <c r="J75" s="1872"/>
      <c r="K75" s="2676" t="str">
        <f>IF(H77="非个人房产","",4)</f>
        <v/>
      </c>
      <c r="L75" s="3559" t="str">
        <f>IF(H77="非个人房产","——","个人所得税")</f>
        <v>——</v>
      </c>
      <c r="M75" s="3559"/>
      <c r="N75" s="1217" t="str">
        <f>D77</f>
        <v>——</v>
      </c>
      <c r="O75" s="1741" t="str">
        <f>E77</f>
        <v>——</v>
      </c>
      <c r="P75" s="1218" t="str">
        <f>F77</f>
        <v>——</v>
      </c>
      <c r="Q75" s="1865"/>
      <c r="R75" s="1865"/>
      <c r="S75" s="1865"/>
      <c r="T75" s="1865"/>
      <c r="U75" s="1865"/>
      <c r="V75" s="1865"/>
    </row>
    <row r="76" spans="1:22" ht="24.75">
      <c r="A76" s="357" t="s">
        <v>395</v>
      </c>
      <c r="B76" s="3574" t="s">
        <v>418</v>
      </c>
      <c r="C76" s="3616"/>
      <c r="D76" s="360">
        <f ca="1">IF(H76="转让取得",C99,C115)</f>
        <v>9950</v>
      </c>
      <c r="E76" s="17" t="s">
        <v>419</v>
      </c>
      <c r="F76" s="53" t="s">
        <v>21</v>
      </c>
      <c r="G76" s="359"/>
      <c r="H76" s="361" t="s">
        <v>4210</v>
      </c>
      <c r="I76" s="42"/>
      <c r="J76" s="1872"/>
      <c r="K76" s="2676" t="str">
        <f>IF(项目基本情况!K6="上海银行",IF(K75="",4,K75+1),"")</f>
        <v/>
      </c>
      <c r="L76" s="3570" t="str">
        <f>IF(项目基本情况!K6="上海银行","其他处置费用","")</f>
        <v/>
      </c>
      <c r="M76" s="3571"/>
      <c r="N76" s="1213" t="str">
        <f>IF(项目基本情况!K6="上海银行",N89,"")</f>
        <v/>
      </c>
      <c r="O76" s="3572" t="str">
        <f>IF(项目基本情况!K6="上海银行","包含处置中涉及的律师、诉讼、拍卖、评估等费用","")</f>
        <v/>
      </c>
      <c r="P76" s="3573"/>
      <c r="Q76" s="1865"/>
      <c r="R76" s="1865"/>
      <c r="S76" s="1865"/>
      <c r="T76" s="1865"/>
      <c r="U76" s="1865"/>
      <c r="V76" s="1865"/>
    </row>
    <row r="77" spans="1:22" ht="24.75" thickBot="1">
      <c r="A77" s="3585" t="s">
        <v>421</v>
      </c>
      <c r="B77" s="3586"/>
      <c r="C77" s="3586"/>
      <c r="D77" s="2919" t="str">
        <f>IF(H77="非个人房产","——",IF(H77="个人住宅（满五唯一有凭证）",0,IF(H77="个人其他（无凭证）",ROUND(D63*F77,0),ROUND(C84*F77,0))))</f>
        <v>——</v>
      </c>
      <c r="E77" s="2920" t="str">
        <f>IF(H77="非个人房产","——",IF(H77="个人其他（无凭证）","销售额×税（费）率",IF(H77="个人住宅（满五唯一有凭证）","免征","差额计税")))</f>
        <v>——</v>
      </c>
      <c r="F77" s="2921" t="str">
        <f>IF(OR(H77="非个人房产",H77="个人住宅（满五唯一有凭证）"),"——",IF(H77="个人其他（有凭证）",20%,1%))</f>
        <v>——</v>
      </c>
      <c r="G77" s="954" t="s">
        <v>413</v>
      </c>
      <c r="H77" s="2918" t="s">
        <v>4211</v>
      </c>
      <c r="I77" s="2917" t="s">
        <v>2696</v>
      </c>
      <c r="J77" s="1872"/>
      <c r="K77" s="3581">
        <f>IF(AND(K75="",K76=""),4,IF(项目基本情况!K6="上海银行",K76+1,K75+1))</f>
        <v>4</v>
      </c>
      <c r="L77" s="3559" t="s">
        <v>2597</v>
      </c>
      <c r="M77" s="2681" t="s">
        <v>417</v>
      </c>
      <c r="N77" s="1219"/>
      <c r="O77" s="1220">
        <f ca="1">SUMIF(N72:N76,"&lt;9e307")</f>
        <v>12217</v>
      </c>
      <c r="P77" s="1221"/>
      <c r="Q77" s="2679">
        <f ca="1">O77/N69</f>
        <v>0.28492466999393629</v>
      </c>
      <c r="R77" s="1865"/>
      <c r="S77" s="1865"/>
      <c r="T77" s="1865"/>
      <c r="U77" s="1865"/>
      <c r="V77" s="1865"/>
    </row>
    <row r="78" spans="1:22" ht="12" customHeight="1">
      <c r="A78" s="1222"/>
      <c r="B78" s="309"/>
      <c r="C78" s="309"/>
      <c r="D78" s="309"/>
      <c r="E78" s="42"/>
      <c r="F78" s="42"/>
      <c r="G78" s="42"/>
      <c r="H78" s="973"/>
      <c r="I78" s="309"/>
      <c r="J78" s="1872"/>
      <c r="K78" s="3581"/>
      <c r="L78" s="3559"/>
      <c r="M78" s="2681" t="s">
        <v>420</v>
      </c>
      <c r="N78" s="1219"/>
      <c r="O78" s="1220" t="str">
        <f ca="1">NUMBERSTRING(INT(O77*10000),2)&amp;"元整"</f>
        <v>壹亿贰仟贰佰壹拾柒万元整</v>
      </c>
      <c r="P78" s="1221"/>
      <c r="Q78" s="1865"/>
      <c r="R78" s="1865"/>
      <c r="S78" s="1865"/>
      <c r="T78" s="1865"/>
      <c r="U78" s="1865"/>
      <c r="V78" s="1865"/>
    </row>
    <row r="79" spans="1:22" ht="13.5" thickBot="1">
      <c r="A79" s="3636" t="s">
        <v>422</v>
      </c>
      <c r="B79" s="3636"/>
      <c r="C79" s="3636"/>
      <c r="D79" s="3636"/>
      <c r="E79" s="3636"/>
      <c r="F79" s="42"/>
      <c r="G79" s="42"/>
      <c r="H79" s="973"/>
      <c r="I79" s="309"/>
      <c r="J79" s="1872"/>
      <c r="K79" s="3557">
        <f>K77+1</f>
        <v>5</v>
      </c>
      <c r="L79" s="3559" t="s">
        <v>2598</v>
      </c>
      <c r="M79" s="2681" t="s">
        <v>417</v>
      </c>
      <c r="N79" s="1219"/>
      <c r="O79" s="1220">
        <f ca="1">N69-O77</f>
        <v>30661</v>
      </c>
      <c r="P79" s="1221"/>
      <c r="Q79" s="1865"/>
      <c r="R79" s="1865"/>
      <c r="S79" s="1865"/>
      <c r="T79" s="1865"/>
      <c r="U79" s="1865"/>
      <c r="V79" s="1865"/>
    </row>
    <row r="80" spans="1:22" ht="25.5">
      <c r="A80" s="3567" t="s">
        <v>423</v>
      </c>
      <c r="B80" s="3568"/>
      <c r="C80" s="964"/>
      <c r="D80" s="964" t="s">
        <v>424</v>
      </c>
      <c r="E80" s="364" t="s">
        <v>425</v>
      </c>
      <c r="F80" s="42"/>
      <c r="G80" s="42"/>
      <c r="H80" s="973"/>
      <c r="I80" s="309"/>
      <c r="J80" s="1865"/>
      <c r="K80" s="3558"/>
      <c r="L80" s="3559"/>
      <c r="M80" s="2681" t="s">
        <v>420</v>
      </c>
      <c r="N80" s="1219"/>
      <c r="O80" s="1220" t="str">
        <f ca="1">NUMBERSTRING(INT(O79*10000),2)&amp;"元整"</f>
        <v>叁亿零陆佰陆拾壹万元整</v>
      </c>
      <c r="P80" s="1221"/>
      <c r="Q80" s="1865"/>
      <c r="R80" s="1865"/>
      <c r="S80" s="1865"/>
      <c r="T80" s="1865"/>
      <c r="U80" s="1865"/>
      <c r="V80" s="1865"/>
    </row>
    <row r="81" spans="1:26" ht="13.5" thickBot="1">
      <c r="A81" s="375" t="s">
        <v>1623</v>
      </c>
      <c r="B81" s="365" t="s">
        <v>426</v>
      </c>
      <c r="C81" s="366">
        <f ca="1">ROUND((C82+C83)/(1+'数据-取费表'!C42),0)</f>
        <v>40836</v>
      </c>
      <c r="D81" s="367"/>
      <c r="E81" s="368"/>
      <c r="F81" s="42"/>
      <c r="G81" s="42"/>
      <c r="H81" s="973"/>
      <c r="I81" s="309"/>
      <c r="J81" s="1865"/>
      <c r="K81" s="2676">
        <f>K79+1</f>
        <v>6</v>
      </c>
      <c r="L81" s="3579" t="s">
        <v>2599</v>
      </c>
      <c r="M81" s="3580"/>
      <c r="N81" s="1223"/>
      <c r="O81" s="1224">
        <f ca="1">ROUND(O79*10000/'数据-汇总表'!E3,0)</f>
        <v>5945</v>
      </c>
      <c r="P81" s="1225"/>
      <c r="Q81" s="1865"/>
      <c r="R81" s="1865"/>
      <c r="S81" s="1865"/>
      <c r="T81" s="1865"/>
      <c r="U81" s="1865"/>
      <c r="V81" s="1865"/>
    </row>
    <row r="82" spans="1:26" ht="13.5" thickTop="1">
      <c r="A82" s="369" t="s">
        <v>1624</v>
      </c>
      <c r="B82" s="370" t="s">
        <v>427</v>
      </c>
      <c r="C82" s="371">
        <f ca="1">D63</f>
        <v>42878</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569" t="s">
        <v>2587</v>
      </c>
      <c r="L83" s="2687" t="s">
        <v>2588</v>
      </c>
      <c r="M83" s="2677">
        <f ca="1">IF(N69&gt;10000,N69*0.5%,IF(AND(N69&gt;1000,N69&lt;=10000),N69*1%,IF(AND(N69&gt;100,N69&lt;=1000),N69*3%,IF(AND(N69&gt;10,N69&lt;=100),N69*5%,N69*8%))))</f>
        <v>214.39000000000001</v>
      </c>
      <c r="N83" s="53">
        <f ca="1">ROUND(M83,1)</f>
        <v>214.4</v>
      </c>
      <c r="O83" s="2680"/>
      <c r="P83" s="1865"/>
      <c r="Q83" s="1865"/>
      <c r="R83" s="1865"/>
      <c r="S83" s="1865"/>
      <c r="T83" s="1865"/>
      <c r="U83" s="1865"/>
      <c r="V83" s="1865"/>
    </row>
    <row r="84" spans="1:26" ht="12.75">
      <c r="A84" s="375" t="s">
        <v>1626</v>
      </c>
      <c r="B84" s="376" t="s">
        <v>429</v>
      </c>
      <c r="C84" s="377"/>
      <c r="D84" s="378" t="s">
        <v>19</v>
      </c>
      <c r="E84" s="2705" t="s">
        <v>2637</v>
      </c>
      <c r="F84" s="42"/>
      <c r="G84" s="42"/>
      <c r="H84" s="973"/>
      <c r="I84" s="309"/>
      <c r="J84" s="1865"/>
      <c r="K84" s="3569"/>
      <c r="L84" s="2687" t="s">
        <v>2589</v>
      </c>
      <c r="M84" s="2677">
        <f ca="1">IF(N69&gt;2000,N69*0.5%,IF(AND(N69&gt;1000,N69&lt;=2000),N69*0.6%,IF(AND(N69&gt;500,N69&lt;=1000),N69*0.7%,IF(AND(N69&gt;200,N69&lt;=500),N69*0.8%,IF(AND(N69&gt;100,N69&lt;=200),N69*0.9%,IF(AND(N69&gt;50,N69&lt;=100),N69*1%,IF(AND(N69&gt;20,N69&lt;=50),N69*1.5%,IF(AND(N69&gt;10,N69&lt;=20),N69*2%,IF(AND(N69&gt;1,N69&lt;=10),N69*2.5%)))))))))</f>
        <v>214.39000000000001</v>
      </c>
      <c r="N84" s="53">
        <f t="shared" ref="N84:N85" ca="1" si="2">ROUND(M84,1)</f>
        <v>214.4</v>
      </c>
      <c r="O84" s="1865" t="s">
        <v>2590</v>
      </c>
      <c r="P84" s="1865"/>
      <c r="Q84" s="1865"/>
      <c r="R84" s="1865"/>
      <c r="S84" s="1865"/>
      <c r="T84" s="1865"/>
      <c r="U84" s="1865"/>
      <c r="V84" s="1865"/>
    </row>
    <row r="85" spans="1:26" ht="12.75">
      <c r="A85" s="375" t="s">
        <v>1627</v>
      </c>
      <c r="B85" s="376" t="s">
        <v>430</v>
      </c>
      <c r="C85" s="379">
        <f ca="1">C81-C84</f>
        <v>40836</v>
      </c>
      <c r="D85" s="372" t="s">
        <v>19</v>
      </c>
      <c r="E85" s="373"/>
      <c r="F85" s="42"/>
      <c r="G85" s="42"/>
      <c r="H85" s="973"/>
      <c r="I85" s="309"/>
      <c r="J85" s="1865"/>
      <c r="K85" s="3569"/>
      <c r="L85" s="2687" t="s">
        <v>2591</v>
      </c>
      <c r="M85" s="2677">
        <f ca="1">IF(N69&gt;1000,N69*0.1%,IF(AND(N69&gt;500,N69&lt;=1000),N69*0.5%,IF(AND(N69&gt;50,N69&lt;=500),N69*1%,IF(AND(N69&gt;1,N69&lt;=50),N69*1.5%))))</f>
        <v>42.878</v>
      </c>
      <c r="N85" s="53">
        <f t="shared" ca="1" si="2"/>
        <v>42.9</v>
      </c>
      <c r="O85" s="1865" t="s">
        <v>2590</v>
      </c>
      <c r="P85" s="1865"/>
      <c r="Q85" s="1865"/>
      <c r="R85" s="1865"/>
      <c r="S85" s="1865"/>
      <c r="T85" s="1865"/>
      <c r="U85" s="1865"/>
      <c r="V85" s="1865"/>
    </row>
    <row r="86" spans="1:26" ht="13.5" thickBot="1">
      <c r="A86" s="380" t="s">
        <v>1628</v>
      </c>
      <c r="B86" s="381" t="s">
        <v>431</v>
      </c>
      <c r="C86" s="382">
        <f ca="1">IF(C85&lt;=0,0,ROUND(C85*D86,0))</f>
        <v>2246</v>
      </c>
      <c r="D86" s="383">
        <f>'数据-取费表'!B41</f>
        <v>5.5000000000000007E-2</v>
      </c>
      <c r="E86" s="384"/>
      <c r="F86" s="42"/>
      <c r="G86" s="42"/>
      <c r="H86" s="973"/>
      <c r="I86" s="309"/>
      <c r="J86" s="1865"/>
      <c r="K86" s="3569"/>
      <c r="L86" s="2687" t="s">
        <v>2592</v>
      </c>
      <c r="M86" s="2677">
        <f ca="1">N69*0.5%</f>
        <v>214.39000000000001</v>
      </c>
      <c r="N86" s="53">
        <f ca="1">IF(M86&gt;0.5,0.5,ROUND(M86,0))</f>
        <v>0.5</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569"/>
      <c r="L87" s="2687" t="s">
        <v>2594</v>
      </c>
      <c r="M87" s="2677">
        <f ca="1">IF(N69&gt;=10000,(8.25+(N69-10000)*0.01%),IF(AND(N69&gt;=8000,N69&lt;10000),(7.85+(N69-8000)*0.02%),IF(AND(N69&gt;=5000,N69&lt;8000),(6.65+(N69-5000)*0.04%),IF(AND(N69&gt;=2000,N69&lt;5000),(4.25+(PN69-2000)*0.08%),IF(AND(N69&gt;=1000,N69&lt;2000),(2.75+(N69-1000)*0.15%),IF(AND(N69&gt;=100,N69&lt;1000),(0.5+(N69-100)*0.25%),IF(AND(N69&gt;0,N69&lt;100),N69*0.5%)))))))</f>
        <v>11.537800000000001</v>
      </c>
      <c r="N87" s="53">
        <f ca="1">ROUND(M87*0.9,1)</f>
        <v>10.4</v>
      </c>
      <c r="O87" s="2680"/>
      <c r="P87" s="1865"/>
      <c r="Q87" s="1865"/>
      <c r="R87" s="1865"/>
      <c r="S87" s="1865"/>
      <c r="T87" s="1865"/>
      <c r="U87" s="1865"/>
      <c r="V87" s="1865"/>
      <c r="W87" s="290"/>
      <c r="X87" s="290"/>
      <c r="Y87" s="290"/>
      <c r="Z87" s="290"/>
    </row>
    <row r="88" spans="1:26" s="1231" customFormat="1" ht="15" thickBot="1">
      <c r="A88" s="3608" t="s">
        <v>432</v>
      </c>
      <c r="B88" s="3609"/>
      <c r="C88" s="3609"/>
      <c r="D88" s="3609"/>
      <c r="E88" s="3609"/>
      <c r="F88" s="3609"/>
      <c r="G88" s="3609"/>
      <c r="H88" s="3609"/>
      <c r="I88" s="1232"/>
      <c r="J88" s="1873"/>
      <c r="K88" s="3569"/>
      <c r="L88" s="2687" t="s">
        <v>2595</v>
      </c>
      <c r="M88" s="2677">
        <f ca="1">IF(N69&gt;10000,N69*0.5%,IF(AND(N69&gt;5000,N69&lt;=10000),N69*1%,IF(AND(N69&gt;1000,N69&lt;=5000),N69*2%,IF(AND(N69&gt;200,N69&lt;=1000),N69*3%,N69*5%))))</f>
        <v>214.39000000000001</v>
      </c>
      <c r="N88" s="53">
        <f ca="1">ROUND(M88,1)</f>
        <v>214.4</v>
      </c>
      <c r="O88" s="2680"/>
      <c r="P88" s="1870"/>
      <c r="Q88" s="1870"/>
      <c r="R88" s="1870"/>
      <c r="S88" s="1870"/>
      <c r="T88" s="1870"/>
      <c r="U88" s="1870"/>
      <c r="V88" s="1870"/>
      <c r="W88" s="1874"/>
      <c r="X88" s="1874"/>
      <c r="Y88" s="1874"/>
      <c r="Z88" s="1874"/>
    </row>
    <row r="89" spans="1:26" s="1231" customFormat="1" ht="14.25">
      <c r="A89" s="3567" t="s">
        <v>423</v>
      </c>
      <c r="B89" s="3568"/>
      <c r="C89" s="964"/>
      <c r="D89" s="964" t="s">
        <v>424</v>
      </c>
      <c r="E89" s="385" t="s">
        <v>433</v>
      </c>
      <c r="F89" s="386"/>
      <c r="G89" s="386"/>
      <c r="H89" s="387"/>
      <c r="I89" s="1233"/>
      <c r="J89" s="1875"/>
      <c r="K89" s="3569"/>
      <c r="L89" s="2687" t="s">
        <v>27</v>
      </c>
      <c r="M89" s="2678"/>
      <c r="N89" s="53">
        <f ca="1">ROUND(SUM(N83:N88),0)</f>
        <v>697</v>
      </c>
      <c r="O89" s="2688">
        <f ca="1">N89/N69</f>
        <v>1.6255422361117589E-2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40836</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204</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605" t="s">
        <v>441</v>
      </c>
      <c r="F94" s="3606"/>
      <c r="G94" s="3606"/>
      <c r="H94" s="3607"/>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204</v>
      </c>
      <c r="D96" s="400">
        <f>'数据-取费表'!B43</f>
        <v>5.000000000000001E-3</v>
      </c>
      <c r="E96" s="3564" t="s">
        <v>2215</v>
      </c>
      <c r="F96" s="3565"/>
      <c r="G96" s="3565"/>
      <c r="H96" s="3566"/>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40632</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199.1764705882353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24308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08" t="s">
        <v>448</v>
      </c>
      <c r="B101" s="3609"/>
      <c r="C101" s="3609"/>
      <c r="D101" s="3609"/>
      <c r="E101" s="3609"/>
      <c r="F101" s="3609"/>
      <c r="G101" s="3609"/>
      <c r="H101" s="3609"/>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67" t="s">
        <v>423</v>
      </c>
      <c r="B102" s="3568"/>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40836</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16104.227926825699</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15900.227926825699</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f>面积表!K2</f>
        <v>15429.227926825699</v>
      </c>
      <c r="D106" s="400"/>
      <c r="E106" s="411" t="s">
        <v>451</v>
      </c>
      <c r="F106" s="956"/>
      <c r="G106" s="412" t="s">
        <v>452</v>
      </c>
      <c r="H106" s="413" t="s">
        <v>4212</v>
      </c>
      <c r="I106" s="11"/>
      <c r="J106" s="1870"/>
      <c r="K106" s="3152" t="s">
        <v>2716</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471</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620" t="s">
        <v>2688</v>
      </c>
      <c r="H108" s="3621"/>
      <c r="I108" s="2777"/>
      <c r="J108" s="1870"/>
      <c r="K108" s="3152" t="s">
        <v>2717</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598" t="s">
        <v>456</v>
      </c>
      <c r="F109" s="3565"/>
      <c r="G109" s="3565"/>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598" t="s">
        <v>458</v>
      </c>
      <c r="F110" s="3565"/>
      <c r="G110" s="3565"/>
      <c r="H110" s="3566"/>
      <c r="I110" s="11"/>
      <c r="J110" s="1870"/>
      <c r="K110" s="3153" t="s">
        <v>2718</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204</v>
      </c>
      <c r="D111" s="400">
        <f>'数据-取费表'!B43</f>
        <v>5.000000000000001E-3</v>
      </c>
      <c r="E111" s="3564" t="s">
        <v>2215</v>
      </c>
      <c r="F111" s="3565"/>
      <c r="G111" s="3565"/>
      <c r="H111" s="3566"/>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598" t="s">
        <v>2234</v>
      </c>
      <c r="F112" s="3565"/>
      <c r="G112" s="3565"/>
      <c r="H112" s="3566"/>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24732</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1.5357457751080725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9950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A6" sqref="A6:K36"/>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31" s="1878" customFormat="1" ht="18" customHeight="1">
      <c r="A2" s="1937" t="s">
        <v>461</v>
      </c>
      <c r="B2" s="1941">
        <f ca="1">C36</f>
        <v>43436</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8422</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4456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297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SUM(C10:K10)</f>
        <v>96755</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3217</v>
      </c>
      <c r="D7" s="430" t="s">
        <v>35</v>
      </c>
      <c r="E7" s="430"/>
      <c r="F7" s="430"/>
      <c r="G7" s="430"/>
      <c r="H7" s="430"/>
      <c r="I7" s="430"/>
      <c r="J7" s="430"/>
      <c r="K7" s="431"/>
      <c r="AA7" s="1948"/>
      <c r="AB7" s="1948"/>
      <c r="AC7" s="1948"/>
      <c r="AD7" s="1948"/>
      <c r="AE7" s="1948"/>
    </row>
    <row r="8" spans="1:31" s="1951" customFormat="1" ht="13.5" customHeight="1">
      <c r="A8" s="776" t="s">
        <v>1645</v>
      </c>
      <c r="B8" s="259" t="s">
        <v>466</v>
      </c>
      <c r="C8" s="2473">
        <f>'[2]剩余法-待开发'!$C$8</f>
        <v>21374</v>
      </c>
      <c r="D8" s="2473">
        <f>'不动产比较法-车位'!B3</f>
        <v>4858</v>
      </c>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43511.83</v>
      </c>
      <c r="D9" s="435">
        <f>SUMIF('数据-汇总表'!$C19:$C33,'剩余法-待开发'!D7,'数据-汇总表'!$E19:$E33)</f>
        <v>7725.79</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ROUND(C8*C9/10000,0)</f>
        <v>93002</v>
      </c>
      <c r="D10" s="2663">
        <f>'不动产比较法-车位'!B2</f>
        <v>3753</v>
      </c>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19735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592</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870</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1032</v>
      </c>
      <c r="D16" s="2483">
        <f ca="1">IF(B1="",'数据-汇总表'!E3,INDIRECT("'数据-取费表'!K"&amp;$K$1)+INDIRECT("'数据-取费表'!S"&amp;$K$1))</f>
        <v>51575.14</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296</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22525</v>
      </c>
      <c r="D18" s="2492"/>
      <c r="E18" s="461"/>
      <c r="F18" s="461"/>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516</v>
      </c>
      <c r="D19" s="2493">
        <f ca="1">D16</f>
        <v>51575.14</v>
      </c>
      <c r="E19" s="2447">
        <f>'数据-取费表'!B32</f>
        <v>100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1134</v>
      </c>
      <c r="D20" s="2493"/>
      <c r="E20" s="2447"/>
      <c r="F20" s="2494"/>
      <c r="G20" s="2694" t="s">
        <v>4207</v>
      </c>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957</v>
      </c>
      <c r="D21" s="2483">
        <f ca="1">IF(B1="",'数据-汇总表'!E5,IF(INDIRECT("'数据-取费表'!c"&amp;$K$1)="住宅",INDIRECT("'数据-取费表'!k"&amp;$K$1),0))</f>
        <v>43511.83</v>
      </c>
      <c r="E21" s="53">
        <f>'数据-取费表'!B27</f>
        <v>220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177</v>
      </c>
      <c r="D22" s="2483">
        <f ca="1">IF(B1="",'数据-汇总表'!E6,IF(INDIRECT("'数据-取费表'!c"&amp;$K$1)="住宅",INDIRECT("'数据-取费表'!s"&amp;$K$1),INDIRECT("'数据-取费表'!k"&amp;$K$1)+INDIRECT("'数据-取费表'!s"&amp;$K$1)))</f>
        <v>8063.3099999999977</v>
      </c>
      <c r="E22" s="53">
        <f>'数据-取费表'!B28</f>
        <v>220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484</v>
      </c>
      <c r="D23" s="461"/>
      <c r="E23" s="461"/>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ROUND(C6*F24,0)</f>
        <v>1935</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60">
        <f>ROUND(F25/(1+'数据-取费表'!C42),4)</f>
        <v>2.9000000000000001E-2</v>
      </c>
      <c r="D25" s="455" t="s">
        <v>2544</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1693</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2552</v>
      </c>
      <c r="C28" s="2499">
        <f ca="1">ROUND(IF('数据-取费表'!B22&lt;=1,(C18+C19+C20+C23+C24)*F26*'数据-取费表'!B24/2,(C18+C19+C20+C23+C24)*(POWER((1+F26),'数据-取费表'!B24/2)-1)),0)</f>
        <v>1693</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ROUND(C6*F29/(1+'数据-取费表'!C42),0)</f>
        <v>5068</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33355</v>
      </c>
      <c r="D30" s="470">
        <f ca="1">C32</f>
        <v>0.16420000000000001</v>
      </c>
      <c r="E30" s="462" t="s">
        <v>489</v>
      </c>
      <c r="F30" s="464"/>
      <c r="G30" s="2459" t="s">
        <v>2664</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33355</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1">
        <f ca="1">C35</f>
        <v>4787</v>
      </c>
      <c r="D33" s="460">
        <f ca="1">C34</f>
        <v>0.1852</v>
      </c>
      <c r="E33" s="462" t="s">
        <v>489</v>
      </c>
      <c r="F33" s="472">
        <f ca="1">IF(B1="",'数据-取费表'!Q16,INDIRECT("'数据-取费表'!q"&amp;$K$1))</f>
        <v>0.18</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0.1852</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4787</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43436</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64" t="str">
        <f>项目基本情况!B1</f>
        <v>海南省海口市新埠岛出让国有建设用地使用权抵押价格预评估</v>
      </c>
      <c r="C37" s="3464"/>
      <c r="D37" s="3464"/>
      <c r="E37" s="3464"/>
      <c r="F37" s="3464"/>
      <c r="G37" s="3464"/>
      <c r="H37" s="3464"/>
      <c r="I37" s="3464"/>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19735</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592</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870</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1032</v>
      </c>
      <c r="D16" s="444">
        <f ca="1">IF(B1="",'数据-汇总表'!E3,INDIRECT("'数据-取费表'!K"&amp;$K$1)+INDIRECT("'数据-取费表'!S"&amp;$K$1))</f>
        <v>51575.14</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296</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22525</v>
      </c>
      <c r="D18" s="454"/>
      <c r="E18" s="455"/>
      <c r="F18" s="455"/>
      <c r="G18" s="1243"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451</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1463</v>
      </c>
      <c r="D20" s="455">
        <f ca="1">ROUND(((1+F20)^'数据-取费表'!B20)-1,4)</f>
        <v>0.13139999999999999</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2735</v>
      </c>
      <c r="B21" s="2664" t="s">
        <v>2546</v>
      </c>
      <c r="C21" s="471">
        <f ca="1">ROUND((C18+C19)*F21,0)</f>
        <v>4136</v>
      </c>
      <c r="D21" s="3195"/>
      <c r="E21" s="455"/>
      <c r="F21" s="472">
        <f ca="1">IF(B1="",'数据-取费表'!Q16,INDIRECT("'数据-取费表'!q"&amp;$K$1))</f>
        <v>0.18</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2736</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37" t="s">
        <v>1665</v>
      </c>
      <c r="B24" s="3638"/>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37" t="s">
        <v>2733</v>
      </c>
      <c r="B25" s="3638"/>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37" t="s">
        <v>2734</v>
      </c>
      <c r="B26" s="3638"/>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39" t="s">
        <v>2732</v>
      </c>
      <c r="B27" s="3640"/>
      <c r="C27" s="3213">
        <f ca="1">(C6-C23-C24-C25)/((1+F26)*(1+D20+F21))</f>
        <v>0</v>
      </c>
      <c r="D27" s="3214"/>
      <c r="E27" s="3214"/>
      <c r="F27" s="3214"/>
      <c r="G27" s="3215" t="s">
        <v>2665</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85" zoomScaleNormal="95" zoomScaleSheetLayoutView="85" workbookViewId="0">
      <selection activeCell="F61" sqref="F61"/>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0.25">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0.25">
      <c r="A2" s="417" t="s">
        <v>461</v>
      </c>
      <c r="B2" s="485">
        <f>F67</f>
        <v>42320</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0.25">
      <c r="A3" s="1286" t="s">
        <v>1484</v>
      </c>
      <c r="B3" s="487">
        <f>ROUND(B2*10000/'数据-汇总表'!E3,0)</f>
        <v>8206</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0.25">
      <c r="A4" s="488" t="s">
        <v>503</v>
      </c>
      <c r="B4" s="421">
        <f>IF(B48="单位面积地价",C50,ROUND(B2*10000/'数据-汇总表'!D3,0))</f>
        <v>4342</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1" thickBot="1">
      <c r="A5" s="423"/>
      <c r="B5" s="424">
        <f>ROUND(B2/('数据-汇总表'!D3/666.67),0)</f>
        <v>289</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64" t="s">
        <v>505</v>
      </c>
      <c r="D6" s="3665"/>
      <c r="E6" s="3664" t="s">
        <v>506</v>
      </c>
      <c r="F6" s="3665"/>
      <c r="G6" s="3664" t="s">
        <v>507</v>
      </c>
      <c r="H6" s="3665"/>
      <c r="I6" s="3664" t="s">
        <v>508</v>
      </c>
      <c r="J6" s="3665"/>
      <c r="K6" s="491" t="s">
        <v>509</v>
      </c>
      <c r="L6" s="1969"/>
      <c r="M6" s="1968"/>
      <c r="N6" s="1968"/>
      <c r="O6" s="1970"/>
      <c r="P6" s="3666" t="s">
        <v>510</v>
      </c>
      <c r="Q6" s="3667"/>
      <c r="R6" s="3650" t="s">
        <v>506</v>
      </c>
      <c r="S6" s="3651"/>
      <c r="T6" s="3650" t="s">
        <v>507</v>
      </c>
      <c r="U6" s="3651"/>
      <c r="V6" s="3672" t="s">
        <v>508</v>
      </c>
      <c r="W6" s="3672"/>
      <c r="X6" s="1457"/>
      <c r="Y6" s="3650" t="s">
        <v>510</v>
      </c>
      <c r="Z6" s="3651"/>
      <c r="AA6" s="3645" t="s">
        <v>506</v>
      </c>
      <c r="AB6" s="3646" t="s">
        <v>507</v>
      </c>
      <c r="AC6" s="3645" t="s">
        <v>508</v>
      </c>
    </row>
    <row r="7" spans="1:30" ht="25.5" customHeight="1">
      <c r="A7" s="492"/>
      <c r="B7" s="493"/>
      <c r="C7" s="3675" t="str">
        <f>'不动产比较法-车位'!C5:D5</f>
        <v>A0102</v>
      </c>
      <c r="D7" s="3676"/>
      <c r="E7" s="3675" t="str">
        <f>土地案例!A2</f>
        <v>海口市龙华区金牛岭南侧</v>
      </c>
      <c r="F7" s="3676"/>
      <c r="G7" s="3675" t="str">
        <f>土地案例!A3</f>
        <v xml:space="preserve">海口市和平大道东侧H0406地块   </v>
      </c>
      <c r="H7" s="3676"/>
      <c r="I7" s="3675" t="str">
        <f>土地案例!A4</f>
        <v>海口市坡博坡巷棚改片区C-7-6地块</v>
      </c>
      <c r="J7" s="3676"/>
      <c r="K7" s="491"/>
      <c r="L7" s="1969"/>
      <c r="M7" s="1968"/>
      <c r="N7" s="1968"/>
      <c r="O7" s="1970"/>
      <c r="P7" s="3668"/>
      <c r="Q7" s="3669"/>
      <c r="R7" s="3652"/>
      <c r="S7" s="3653"/>
      <c r="T7" s="3652"/>
      <c r="U7" s="3653"/>
      <c r="V7" s="3672"/>
      <c r="W7" s="3672"/>
      <c r="X7" s="1457"/>
      <c r="Y7" s="3652"/>
      <c r="Z7" s="3653"/>
      <c r="AA7" s="3646"/>
      <c r="AB7" s="3646"/>
      <c r="AC7" s="3646"/>
    </row>
    <row r="8" spans="1:30" ht="21" thickBot="1">
      <c r="A8" s="492"/>
      <c r="B8" s="493"/>
      <c r="C8" s="3677" t="s">
        <v>4157</v>
      </c>
      <c r="D8" s="3678"/>
      <c r="E8" s="3677" t="s">
        <v>4159</v>
      </c>
      <c r="F8" s="3678"/>
      <c r="G8" s="3673" t="s">
        <v>4158</v>
      </c>
      <c r="H8" s="3674"/>
      <c r="I8" s="3673" t="s">
        <v>4159</v>
      </c>
      <c r="J8" s="3674"/>
      <c r="K8" s="491" t="s">
        <v>511</v>
      </c>
      <c r="L8" s="1969"/>
      <c r="M8" s="1968"/>
      <c r="N8" s="1968"/>
      <c r="O8" s="1970"/>
      <c r="P8" s="3670"/>
      <c r="Q8" s="3671"/>
      <c r="R8" s="3652"/>
      <c r="S8" s="3653"/>
      <c r="T8" s="3654"/>
      <c r="U8" s="3655"/>
      <c r="V8" s="3672"/>
      <c r="W8" s="3672"/>
      <c r="X8" s="1457"/>
      <c r="Y8" s="3654"/>
      <c r="Z8" s="3655"/>
      <c r="AA8" s="3647"/>
      <c r="AB8" s="3647"/>
      <c r="AC8" s="3647"/>
    </row>
    <row r="9" spans="1:30" s="1166" customFormat="1" ht="21" thickBot="1">
      <c r="A9" s="2551"/>
      <c r="B9" s="2558" t="s">
        <v>512</v>
      </c>
      <c r="C9" s="2550">
        <f>'数据-取费表'!B2</f>
        <v>44701</v>
      </c>
      <c r="D9" s="497">
        <v>100</v>
      </c>
      <c r="E9" s="498">
        <f>土地案例!AB2</f>
        <v>44631</v>
      </c>
      <c r="F9" s="499">
        <f>SUMIF(71:71,YEAR(E9)&amp;"-"&amp;INT((MONTH(E9)+2)/3),72:72)</f>
        <v>99.5</v>
      </c>
      <c r="G9" s="500">
        <f>土地案例!AB3</f>
        <v>44581</v>
      </c>
      <c r="H9" s="497">
        <f>SUMIF(71:71,YEAR(G9)&amp;"-"&amp;INT((MONTH(G9)+2)/3),72:72)</f>
        <v>99.5</v>
      </c>
      <c r="I9" s="500">
        <f>土地案例!AB4</f>
        <v>44070</v>
      </c>
      <c r="J9" s="497">
        <f>SUMIF(71:71,YEAR(I9)&amp;"-"&amp;INT((MONTH(I9)+2)/3),72:72)</f>
        <v>96.5</v>
      </c>
      <c r="K9" s="501"/>
      <c r="L9" s="1971"/>
      <c r="M9" s="1968"/>
      <c r="N9" s="1968"/>
      <c r="O9" s="1972"/>
      <c r="P9" s="3648" t="s">
        <v>513</v>
      </c>
      <c r="Q9" s="3657"/>
      <c r="R9" s="1458" t="s">
        <v>8</v>
      </c>
      <c r="S9" s="1459">
        <f t="shared" ref="S9:S17" si="0">F9</f>
        <v>99.5</v>
      </c>
      <c r="T9" s="1458" t="s">
        <v>8</v>
      </c>
      <c r="U9" s="1459">
        <f t="shared" ref="U9:U17" si="1">H9</f>
        <v>99.5</v>
      </c>
      <c r="V9" s="1458" t="s">
        <v>8</v>
      </c>
      <c r="W9" s="1459">
        <f t="shared" ref="W9:W17" si="2">J9</f>
        <v>96.5</v>
      </c>
      <c r="X9" s="1460"/>
      <c r="Y9" s="3648" t="s">
        <v>513</v>
      </c>
      <c r="Z9" s="3649"/>
      <c r="AA9" s="1461">
        <f>D9/F9</f>
        <v>1.0050251256281406</v>
      </c>
      <c r="AB9" s="1461">
        <f>D9/H9</f>
        <v>1.0050251256281406</v>
      </c>
      <c r="AC9" s="1461">
        <f>D9/J9</f>
        <v>1.0362694300518134</v>
      </c>
    </row>
    <row r="10" spans="1:30" s="1166"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648" t="s">
        <v>516</v>
      </c>
      <c r="Q10" s="3649"/>
      <c r="R10" s="1458" t="s">
        <v>8</v>
      </c>
      <c r="S10" s="1459">
        <f t="shared" si="0"/>
        <v>100</v>
      </c>
      <c r="T10" s="1458" t="s">
        <v>8</v>
      </c>
      <c r="U10" s="1459">
        <f t="shared" si="1"/>
        <v>100</v>
      </c>
      <c r="V10" s="1458" t="s">
        <v>8</v>
      </c>
      <c r="W10" s="1459">
        <f t="shared" si="2"/>
        <v>100</v>
      </c>
      <c r="X10" s="1460"/>
      <c r="Y10" s="3648" t="s">
        <v>516</v>
      </c>
      <c r="Z10" s="3649"/>
      <c r="AA10" s="1461">
        <f t="shared" ref="AA10:AA47" si="3">D10/F10</f>
        <v>1</v>
      </c>
      <c r="AB10" s="1461">
        <f t="shared" ref="AB10:AB47" si="4">D10/H10</f>
        <v>1</v>
      </c>
      <c r="AC10" s="1461">
        <f t="shared" ref="AC10:AC47" si="5">D10/J10</f>
        <v>1</v>
      </c>
    </row>
    <row r="11" spans="1:30" s="1166" customFormat="1" ht="20.25">
      <c r="A11" s="2553"/>
      <c r="B11" s="2560" t="s">
        <v>2473</v>
      </c>
      <c r="C11" s="2547" t="s">
        <v>902</v>
      </c>
      <c r="D11" s="252">
        <v>100</v>
      </c>
      <c r="E11" s="2547" t="s">
        <v>902</v>
      </c>
      <c r="F11" s="252">
        <f>SUMIF(76:76,E11,77:77)-SUMIF(76:76,C11,77:77)+100</f>
        <v>100</v>
      </c>
      <c r="G11" s="2547" t="s">
        <v>902</v>
      </c>
      <c r="H11" s="252">
        <f>SUMIF(76:76,G11,77:77)-SUMIF(76:76,C11,77:77)+100</f>
        <v>100</v>
      </c>
      <c r="I11" s="2547" t="s">
        <v>902</v>
      </c>
      <c r="J11" s="252">
        <f>SUMIF(76:76,I11,77:77)-SUMIF(76:76,C11,77:77)+100</f>
        <v>100</v>
      </c>
      <c r="K11" s="501"/>
      <c r="L11" s="1971"/>
      <c r="M11" s="1968"/>
      <c r="N11" s="1968"/>
      <c r="O11" s="1973"/>
      <c r="P11" s="3656" t="s">
        <v>518</v>
      </c>
      <c r="Q11" s="1097" t="str">
        <f t="shared" ref="Q11:Q17" si="6">B11</f>
        <v>用途</v>
      </c>
      <c r="R11" s="1458" t="s">
        <v>8</v>
      </c>
      <c r="S11" s="1459">
        <f t="shared" si="0"/>
        <v>100</v>
      </c>
      <c r="T11" s="1458" t="s">
        <v>8</v>
      </c>
      <c r="U11" s="1459">
        <f t="shared" si="1"/>
        <v>100</v>
      </c>
      <c r="V11" s="1458" t="s">
        <v>8</v>
      </c>
      <c r="W11" s="1459">
        <f t="shared" si="2"/>
        <v>100</v>
      </c>
      <c r="X11" s="1460"/>
      <c r="Y11" s="3604" t="s">
        <v>519</v>
      </c>
      <c r="Z11" s="1096" t="str">
        <f t="shared" ref="Z11:Z17" si="7">Q11</f>
        <v>用途</v>
      </c>
      <c r="AA11" s="1461">
        <f t="shared" si="3"/>
        <v>1</v>
      </c>
      <c r="AB11" s="1461">
        <f t="shared" si="4"/>
        <v>1</v>
      </c>
      <c r="AC11" s="1461">
        <f t="shared" si="5"/>
        <v>1</v>
      </c>
    </row>
    <row r="12" spans="1:30" s="1247" customFormat="1" ht="27">
      <c r="A12" s="2554"/>
      <c r="B12" s="2559" t="s">
        <v>2474</v>
      </c>
      <c r="C12" s="881">
        <f>项目基本情况!D19</f>
        <v>55.35</v>
      </c>
      <c r="D12" s="253">
        <v>100</v>
      </c>
      <c r="E12" s="506" t="s">
        <v>4219</v>
      </c>
      <c r="F12" s="253">
        <f>ROUND(100/'数据-取费表'!G16,0)</f>
        <v>106</v>
      </c>
      <c r="G12" s="507" t="s">
        <v>4219</v>
      </c>
      <c r="H12" s="253">
        <f>ROUND(100/'数据-取费表'!G16,0)</f>
        <v>106</v>
      </c>
      <c r="I12" s="507" t="s">
        <v>4219</v>
      </c>
      <c r="J12" s="253">
        <f>ROUND(100/'数据-取费表'!G16,0)</f>
        <v>106</v>
      </c>
      <c r="K12" s="508"/>
      <c r="L12" s="1974"/>
      <c r="M12" s="1968"/>
      <c r="N12" s="1968"/>
      <c r="O12" s="1975"/>
      <c r="P12" s="3656"/>
      <c r="Q12" s="1097" t="str">
        <f t="shared" si="6"/>
        <v>土地使用年限（年）</v>
      </c>
      <c r="R12" s="1458" t="s">
        <v>8</v>
      </c>
      <c r="S12" s="1459">
        <f t="shared" si="0"/>
        <v>106</v>
      </c>
      <c r="T12" s="1458" t="s">
        <v>8</v>
      </c>
      <c r="U12" s="1459">
        <f t="shared" si="1"/>
        <v>106</v>
      </c>
      <c r="V12" s="1458" t="s">
        <v>8</v>
      </c>
      <c r="W12" s="1459">
        <f t="shared" si="2"/>
        <v>106</v>
      </c>
      <c r="X12" s="1460"/>
      <c r="Y12" s="3604"/>
      <c r="Z12" s="1096" t="str">
        <f t="shared" si="7"/>
        <v>土地使用年限（年）</v>
      </c>
      <c r="AA12" s="1461">
        <f t="shared" si="3"/>
        <v>0.94339622641509435</v>
      </c>
      <c r="AB12" s="1461">
        <f t="shared" si="4"/>
        <v>0.94339622641509435</v>
      </c>
      <c r="AC12" s="1461">
        <f t="shared" si="5"/>
        <v>0.94339622641509435</v>
      </c>
    </row>
    <row r="13" spans="1:30" ht="21" thickBot="1">
      <c r="A13" s="2555"/>
      <c r="B13" s="2559" t="s">
        <v>2475</v>
      </c>
      <c r="C13" s="511">
        <f>'数据-汇总表'!I6</f>
        <v>0.45</v>
      </c>
      <c r="D13" s="253">
        <v>100</v>
      </c>
      <c r="E13" s="510">
        <v>2.6</v>
      </c>
      <c r="F13" s="253">
        <f>LOOKUP(E13,81:81,82:82)-LOOKUP(C13,81:81,82:82)+100</f>
        <v>90</v>
      </c>
      <c r="G13" s="511">
        <v>2</v>
      </c>
      <c r="H13" s="253">
        <f>LOOKUP(G13,81:81,82:82)-LOOKUP(C13,81:81,82:82)+100</f>
        <v>90</v>
      </c>
      <c r="I13" s="510">
        <v>3</v>
      </c>
      <c r="J13" s="253">
        <f>LOOKUP(I13,81:81,82:82)-LOOKUP(C13,81:81,82:82)+100</f>
        <v>85</v>
      </c>
      <c r="K13" s="512">
        <v>5</v>
      </c>
      <c r="L13" s="1976"/>
      <c r="M13" s="1968"/>
      <c r="N13" s="1968"/>
      <c r="O13" s="1977"/>
      <c r="P13" s="3656"/>
      <c r="Q13" s="1097" t="str">
        <f t="shared" si="6"/>
        <v>容积率</v>
      </c>
      <c r="R13" s="1458" t="s">
        <v>8</v>
      </c>
      <c r="S13" s="1459">
        <f t="shared" si="0"/>
        <v>90</v>
      </c>
      <c r="T13" s="1458" t="s">
        <v>8</v>
      </c>
      <c r="U13" s="1459">
        <f t="shared" si="1"/>
        <v>90</v>
      </c>
      <c r="V13" s="1458" t="s">
        <v>8</v>
      </c>
      <c r="W13" s="1459">
        <f t="shared" si="2"/>
        <v>85</v>
      </c>
      <c r="X13" s="1460"/>
      <c r="Y13" s="3604"/>
      <c r="Z13" s="1096" t="str">
        <f t="shared" si="7"/>
        <v>容积率</v>
      </c>
      <c r="AA13" s="1461">
        <f t="shared" si="3"/>
        <v>1.1111111111111112</v>
      </c>
      <c r="AB13" s="1461">
        <f t="shared" si="4"/>
        <v>1.1111111111111112</v>
      </c>
      <c r="AC13" s="1461">
        <f t="shared" si="5"/>
        <v>1.1764705882352942</v>
      </c>
    </row>
    <row r="14" spans="1:30" s="1166" customFormat="1" ht="20.25" hidden="1">
      <c r="A14" s="2552"/>
      <c r="B14" s="2561" t="s">
        <v>2476</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56"/>
      <c r="Q14" s="1097" t="str">
        <f t="shared" si="6"/>
        <v>配建</v>
      </c>
      <c r="R14" s="1458" t="s">
        <v>8</v>
      </c>
      <c r="S14" s="1459">
        <f t="shared" si="0"/>
        <v>100</v>
      </c>
      <c r="T14" s="1458" t="s">
        <v>8</v>
      </c>
      <c r="U14" s="1459">
        <f t="shared" si="1"/>
        <v>100</v>
      </c>
      <c r="V14" s="1458" t="s">
        <v>8</v>
      </c>
      <c r="W14" s="1459">
        <f t="shared" si="2"/>
        <v>100</v>
      </c>
      <c r="X14" s="1460"/>
      <c r="Y14" s="3604"/>
      <c r="Z14" s="1096" t="str">
        <f t="shared" si="7"/>
        <v>配建</v>
      </c>
      <c r="AA14" s="1461">
        <f>D14/F14</f>
        <v>1</v>
      </c>
      <c r="AB14" s="1461">
        <f>D14/H14</f>
        <v>1</v>
      </c>
      <c r="AC14" s="1461">
        <f>D14/J14</f>
        <v>1</v>
      </c>
    </row>
    <row r="15" spans="1:30" ht="20.25" hidden="1">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56"/>
      <c r="Q15" s="1097">
        <f t="shared" si="6"/>
        <v>111</v>
      </c>
      <c r="R15" s="1458" t="s">
        <v>8</v>
      </c>
      <c r="S15" s="1459">
        <f t="shared" si="0"/>
        <v>100</v>
      </c>
      <c r="T15" s="1458" t="s">
        <v>8</v>
      </c>
      <c r="U15" s="1459">
        <f t="shared" si="1"/>
        <v>100</v>
      </c>
      <c r="V15" s="1458" t="s">
        <v>8</v>
      </c>
      <c r="W15" s="1459">
        <f t="shared" si="2"/>
        <v>100</v>
      </c>
      <c r="X15" s="1460"/>
      <c r="Y15" s="3604"/>
      <c r="Z15" s="1096">
        <f t="shared" si="7"/>
        <v>111</v>
      </c>
      <c r="AA15" s="1461">
        <f>D15/F15</f>
        <v>1</v>
      </c>
      <c r="AB15" s="1461">
        <f>D15/H15</f>
        <v>1</v>
      </c>
      <c r="AC15" s="1461">
        <f>D15/J15</f>
        <v>1</v>
      </c>
    </row>
    <row r="16" spans="1:30" ht="21" hidden="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56"/>
      <c r="Q16" s="1097">
        <f t="shared" si="6"/>
        <v>111</v>
      </c>
      <c r="R16" s="1458" t="s">
        <v>8</v>
      </c>
      <c r="S16" s="1459">
        <f t="shared" si="0"/>
        <v>100</v>
      </c>
      <c r="T16" s="1458" t="s">
        <v>8</v>
      </c>
      <c r="U16" s="1459">
        <f t="shared" si="1"/>
        <v>100</v>
      </c>
      <c r="V16" s="1458" t="s">
        <v>8</v>
      </c>
      <c r="W16" s="1459">
        <f t="shared" si="2"/>
        <v>100</v>
      </c>
      <c r="X16" s="1460"/>
      <c r="Y16" s="3604"/>
      <c r="Z16" s="1096">
        <f t="shared" si="7"/>
        <v>111</v>
      </c>
      <c r="AA16" s="1461">
        <f>D16/F16</f>
        <v>1</v>
      </c>
      <c r="AB16" s="1461">
        <f>D16/H16</f>
        <v>1</v>
      </c>
      <c r="AC16" s="1461">
        <f>D16/J16</f>
        <v>1</v>
      </c>
    </row>
    <row r="17" spans="1:29" ht="20.25">
      <c r="A17" s="2549" t="s">
        <v>2471</v>
      </c>
      <c r="B17" s="555" t="s">
        <v>295</v>
      </c>
      <c r="C17" s="525">
        <f>估价对象房地状况!C15</f>
        <v>0</v>
      </c>
      <c r="D17" s="528">
        <v>100</v>
      </c>
      <c r="E17" s="529"/>
      <c r="F17" s="526">
        <f>SUMIF(89:89,E18,90:90)-SUMIF(89:89,C18,90:90)+100</f>
        <v>110</v>
      </c>
      <c r="G17" s="527"/>
      <c r="H17" s="526">
        <f>SUMIF(89:89,G18,90:90)-SUMIF(89:89,C18,90:90)+100</f>
        <v>110</v>
      </c>
      <c r="I17" s="529"/>
      <c r="J17" s="526">
        <f>SUMIF(89:89,I18,90:90)-SUMIF(89:89,C18,90:90)+100</f>
        <v>110</v>
      </c>
      <c r="K17" s="512">
        <v>5</v>
      </c>
      <c r="L17" s="1978"/>
      <c r="M17" s="1968"/>
      <c r="N17" s="1968"/>
      <c r="O17" s="1977"/>
      <c r="P17" s="3658" t="s">
        <v>523</v>
      </c>
      <c r="Q17" s="1462" t="str">
        <f t="shared" si="6"/>
        <v>居住社区成熟度</v>
      </c>
      <c r="R17" s="1463" t="s">
        <v>8</v>
      </c>
      <c r="S17" s="1464">
        <f t="shared" si="0"/>
        <v>110</v>
      </c>
      <c r="T17" s="1463" t="s">
        <v>8</v>
      </c>
      <c r="U17" s="1464">
        <f t="shared" si="1"/>
        <v>110</v>
      </c>
      <c r="V17" s="1463" t="s">
        <v>8</v>
      </c>
      <c r="W17" s="1464">
        <f t="shared" si="2"/>
        <v>110</v>
      </c>
      <c r="X17" s="1457"/>
      <c r="Y17" s="3658" t="s">
        <v>523</v>
      </c>
      <c r="Z17" s="1465" t="str">
        <f t="shared" si="7"/>
        <v>居住社区成熟度</v>
      </c>
      <c r="AA17" s="1466">
        <f t="shared" si="3"/>
        <v>0.90909090909090906</v>
      </c>
      <c r="AB17" s="1466">
        <f t="shared" si="4"/>
        <v>0.90909090909090906</v>
      </c>
      <c r="AC17" s="1466">
        <f t="shared" si="5"/>
        <v>0.90909090909090906</v>
      </c>
    </row>
    <row r="18" spans="1:29" ht="20.25">
      <c r="A18" s="509"/>
      <c r="B18" s="530"/>
      <c r="C18" s="531" t="s">
        <v>3237</v>
      </c>
      <c r="D18" s="534"/>
      <c r="E18" s="535" t="s">
        <v>4190</v>
      </c>
      <c r="F18" s="532"/>
      <c r="G18" s="535" t="s">
        <v>4190</v>
      </c>
      <c r="H18" s="536"/>
      <c r="I18" s="535" t="s">
        <v>4190</v>
      </c>
      <c r="J18" s="532"/>
      <c r="K18" s="508"/>
      <c r="L18" s="1978"/>
      <c r="M18" s="1968"/>
      <c r="N18" s="1968"/>
      <c r="O18" s="1977"/>
      <c r="P18" s="3659"/>
      <c r="Q18" s="1462"/>
      <c r="R18" s="1463"/>
      <c r="S18" s="1464"/>
      <c r="T18" s="1463"/>
      <c r="U18" s="1464"/>
      <c r="V18" s="1463"/>
      <c r="W18" s="1464"/>
      <c r="X18" s="1457"/>
      <c r="Y18" s="3659"/>
      <c r="Z18" s="1465"/>
      <c r="AA18" s="1466">
        <v>1</v>
      </c>
      <c r="AB18" s="1466">
        <v>1</v>
      </c>
      <c r="AC18" s="1466">
        <v>1</v>
      </c>
    </row>
    <row r="19" spans="1:29" ht="20.25">
      <c r="A19" s="509"/>
      <c r="B19" s="537" t="s">
        <v>524</v>
      </c>
      <c r="C19" s="538">
        <f>估价对象房地状况!C16</f>
        <v>0</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659"/>
      <c r="Q19" s="1462" t="str">
        <f>B19</f>
        <v>商业繁华度</v>
      </c>
      <c r="R19" s="1463" t="s">
        <v>8</v>
      </c>
      <c r="S19" s="1464">
        <f>F19</f>
        <v>100</v>
      </c>
      <c r="T19" s="1463" t="s">
        <v>8</v>
      </c>
      <c r="U19" s="1464">
        <f>H19</f>
        <v>100</v>
      </c>
      <c r="V19" s="1463" t="s">
        <v>8</v>
      </c>
      <c r="W19" s="1464">
        <f>J19</f>
        <v>100</v>
      </c>
      <c r="X19" s="1457"/>
      <c r="Y19" s="3659"/>
      <c r="Z19" s="1465" t="str">
        <f>Q19</f>
        <v>商业繁华度</v>
      </c>
      <c r="AA19" s="1466">
        <f t="shared" si="3"/>
        <v>1</v>
      </c>
      <c r="AB19" s="1466">
        <f t="shared" si="4"/>
        <v>1</v>
      </c>
      <c r="AC19" s="1466">
        <f t="shared" si="5"/>
        <v>1</v>
      </c>
    </row>
    <row r="20" spans="1:29" ht="20.25">
      <c r="A20" s="509"/>
      <c r="B20" s="543"/>
      <c r="C20" s="544"/>
      <c r="D20" s="540"/>
      <c r="E20" s="546"/>
      <c r="F20" s="536"/>
      <c r="G20" s="545"/>
      <c r="H20" s="532"/>
      <c r="I20" s="546"/>
      <c r="J20" s="532"/>
      <c r="K20" s="508"/>
      <c r="L20" s="1978"/>
      <c r="M20" s="1968"/>
      <c r="N20" s="1968"/>
      <c r="O20" s="1977"/>
      <c r="P20" s="3659"/>
      <c r="Q20" s="1462"/>
      <c r="R20" s="1463"/>
      <c r="S20" s="1464"/>
      <c r="T20" s="1463"/>
      <c r="U20" s="1464"/>
      <c r="V20" s="1463"/>
      <c r="W20" s="1464"/>
      <c r="X20" s="1457"/>
      <c r="Y20" s="3659"/>
      <c r="Z20" s="1465"/>
      <c r="AA20" s="1466">
        <v>1</v>
      </c>
      <c r="AB20" s="1466">
        <v>1</v>
      </c>
      <c r="AC20" s="1466">
        <v>1</v>
      </c>
    </row>
    <row r="21" spans="1:29" ht="20.25">
      <c r="A21" s="509"/>
      <c r="B21" s="537" t="s">
        <v>525</v>
      </c>
      <c r="C21" s="538">
        <f>估价对象房地状况!C17</f>
        <v>0</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659"/>
      <c r="Q21" s="1462" t="str">
        <f>B21</f>
        <v>办公集聚程度</v>
      </c>
      <c r="R21" s="1463" t="s">
        <v>8</v>
      </c>
      <c r="S21" s="1464">
        <f>F21</f>
        <v>100</v>
      </c>
      <c r="T21" s="1463" t="s">
        <v>8</v>
      </c>
      <c r="U21" s="1464">
        <f>H21</f>
        <v>100</v>
      </c>
      <c r="V21" s="1463" t="s">
        <v>8</v>
      </c>
      <c r="W21" s="1464">
        <f>J21</f>
        <v>100</v>
      </c>
      <c r="X21" s="1457"/>
      <c r="Y21" s="3659"/>
      <c r="Z21" s="1465" t="str">
        <f>Q21</f>
        <v>办公集聚程度</v>
      </c>
      <c r="AA21" s="1466">
        <f t="shared" si="3"/>
        <v>1</v>
      </c>
      <c r="AB21" s="1466">
        <f t="shared" si="4"/>
        <v>1</v>
      </c>
      <c r="AC21" s="1466">
        <f t="shared" si="5"/>
        <v>1</v>
      </c>
    </row>
    <row r="22" spans="1:29" ht="20.25">
      <c r="A22" s="509"/>
      <c r="B22" s="543"/>
      <c r="C22" s="531"/>
      <c r="D22" s="534"/>
      <c r="E22" s="535"/>
      <c r="F22" s="532"/>
      <c r="G22" s="533"/>
      <c r="H22" s="532"/>
      <c r="I22" s="535"/>
      <c r="J22" s="532"/>
      <c r="K22" s="508"/>
      <c r="L22" s="1978"/>
      <c r="M22" s="1968"/>
      <c r="N22" s="1968"/>
      <c r="O22" s="1977"/>
      <c r="P22" s="3659"/>
      <c r="Q22" s="1462"/>
      <c r="R22" s="1463"/>
      <c r="S22" s="1464"/>
      <c r="T22" s="1463"/>
      <c r="U22" s="1464"/>
      <c r="V22" s="1463"/>
      <c r="W22" s="1464"/>
      <c r="X22" s="1457"/>
      <c r="Y22" s="3659"/>
      <c r="Z22" s="1465"/>
      <c r="AA22" s="1466">
        <v>1</v>
      </c>
      <c r="AB22" s="1466">
        <v>1</v>
      </c>
      <c r="AC22" s="1466">
        <v>1</v>
      </c>
    </row>
    <row r="23" spans="1:29" ht="20.25">
      <c r="A23" s="509"/>
      <c r="B23" s="537" t="s">
        <v>526</v>
      </c>
      <c r="C23" s="550">
        <f>估价对象房地状况!C18</f>
        <v>0</v>
      </c>
      <c r="D23" s="540">
        <v>100</v>
      </c>
      <c r="E23" s="541"/>
      <c r="F23" s="542">
        <f>SUMIF(95:95,E24,96:96)-SUMIF(95:95,C24,96:96)+100</f>
        <v>105</v>
      </c>
      <c r="G23" s="539"/>
      <c r="H23" s="536">
        <f>SUMIF(95:95,G24,96:96)-SUMIF(95:95,C24,96:96)+100</f>
        <v>105</v>
      </c>
      <c r="I23" s="541"/>
      <c r="J23" s="536">
        <f>SUMIF(95:95,I24,96:96)-SUMIF(95:95,C24,96:96)+100</f>
        <v>105</v>
      </c>
      <c r="K23" s="512">
        <v>5</v>
      </c>
      <c r="L23" s="1978"/>
      <c r="M23" s="1968"/>
      <c r="N23" s="1968"/>
      <c r="O23" s="1977"/>
      <c r="P23" s="3659"/>
      <c r="Q23" s="1462" t="str">
        <f>B23</f>
        <v>交通便捷度</v>
      </c>
      <c r="R23" s="1463" t="s">
        <v>8</v>
      </c>
      <c r="S23" s="1464">
        <f>F23</f>
        <v>105</v>
      </c>
      <c r="T23" s="1463" t="s">
        <v>8</v>
      </c>
      <c r="U23" s="1464">
        <f>H23</f>
        <v>105</v>
      </c>
      <c r="V23" s="1463" t="s">
        <v>8</v>
      </c>
      <c r="W23" s="1464">
        <f>J23</f>
        <v>105</v>
      </c>
      <c r="X23" s="1457"/>
      <c r="Y23" s="3659"/>
      <c r="Z23" s="1465" t="str">
        <f>Q23</f>
        <v>交通便捷度</v>
      </c>
      <c r="AA23" s="1466">
        <f t="shared" si="3"/>
        <v>0.95238095238095233</v>
      </c>
      <c r="AB23" s="1466">
        <f t="shared" si="4"/>
        <v>0.95238095238095233</v>
      </c>
      <c r="AC23" s="1466">
        <f t="shared" si="5"/>
        <v>0.95238095238095233</v>
      </c>
    </row>
    <row r="24" spans="1:29" ht="20.25">
      <c r="A24" s="509"/>
      <c r="B24" s="555"/>
      <c r="C24" s="531" t="s">
        <v>3237</v>
      </c>
      <c r="D24" s="534"/>
      <c r="E24" s="535" t="s">
        <v>3257</v>
      </c>
      <c r="F24" s="532"/>
      <c r="G24" s="535" t="s">
        <v>3257</v>
      </c>
      <c r="H24" s="532"/>
      <c r="I24" s="535" t="s">
        <v>3257</v>
      </c>
      <c r="J24" s="532"/>
      <c r="K24" s="508"/>
      <c r="L24" s="1978"/>
      <c r="M24" s="1968"/>
      <c r="N24" s="1968"/>
      <c r="O24" s="1977"/>
      <c r="P24" s="3659"/>
      <c r="Q24" s="1462"/>
      <c r="R24" s="1463"/>
      <c r="S24" s="1464"/>
      <c r="T24" s="1463"/>
      <c r="U24" s="1464"/>
      <c r="V24" s="1463"/>
      <c r="W24" s="1464"/>
      <c r="X24" s="1457"/>
      <c r="Y24" s="3659"/>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659"/>
      <c r="Q25" s="1462" t="str">
        <f t="shared" ref="Q25:Q39" si="8">B25</f>
        <v>区域土地利用方向</v>
      </c>
      <c r="R25" s="1463" t="s">
        <v>8</v>
      </c>
      <c r="S25" s="1464">
        <f>F25</f>
        <v>100</v>
      </c>
      <c r="T25" s="1463" t="s">
        <v>8</v>
      </c>
      <c r="U25" s="1464">
        <f>H25</f>
        <v>100</v>
      </c>
      <c r="V25" s="1463" t="s">
        <v>8</v>
      </c>
      <c r="W25" s="1464">
        <f>J25</f>
        <v>100</v>
      </c>
      <c r="X25" s="1457"/>
      <c r="Y25" s="3659"/>
      <c r="Z25" s="1465" t="str">
        <f>Q25</f>
        <v>区域土地利用方向</v>
      </c>
      <c r="AA25" s="1466">
        <f t="shared" si="3"/>
        <v>1</v>
      </c>
      <c r="AB25" s="1466">
        <f t="shared" si="4"/>
        <v>1</v>
      </c>
      <c r="AC25" s="1466">
        <f t="shared" si="5"/>
        <v>1</v>
      </c>
    </row>
    <row r="26" spans="1:29" ht="20.25">
      <c r="A26" s="492"/>
      <c r="B26" s="976"/>
      <c r="C26" s="531" t="s">
        <v>3257</v>
      </c>
      <c r="D26" s="534"/>
      <c r="E26" s="531" t="s">
        <v>3257</v>
      </c>
      <c r="F26" s="532"/>
      <c r="G26" s="531" t="s">
        <v>3257</v>
      </c>
      <c r="H26" s="532"/>
      <c r="I26" s="531" t="s">
        <v>3257</v>
      </c>
      <c r="J26" s="532"/>
      <c r="K26" s="508"/>
      <c r="L26" s="1978"/>
      <c r="M26" s="1968"/>
      <c r="N26" s="1968"/>
      <c r="O26" s="1977"/>
      <c r="P26" s="3659"/>
      <c r="Q26" s="1462"/>
      <c r="R26" s="1463"/>
      <c r="S26" s="1464"/>
      <c r="T26" s="1463"/>
      <c r="U26" s="1464"/>
      <c r="V26" s="1463"/>
      <c r="W26" s="1464"/>
      <c r="X26" s="1457"/>
      <c r="Y26" s="3659"/>
      <c r="Z26" s="1465"/>
      <c r="AA26" s="1466"/>
      <c r="AB26" s="1466"/>
      <c r="AC26" s="1466"/>
    </row>
    <row r="27" spans="1:29" ht="27">
      <c r="A27" s="492"/>
      <c r="B27" s="555" t="s">
        <v>528</v>
      </c>
      <c r="C27" s="538">
        <f>估价对象房地状况!C20</f>
        <v>0</v>
      </c>
      <c r="D27" s="540">
        <v>100</v>
      </c>
      <c r="E27" s="541"/>
      <c r="F27" s="536">
        <f>SUMIF(99:99,E28,100:100)-SUMIF(99:99,C28,100:100)+100</f>
        <v>103</v>
      </c>
      <c r="G27" s="539"/>
      <c r="H27" s="536">
        <f>SUMIF(99:99,G28,100:100)-SUMIF(99:99,C28,100:100)+100</f>
        <v>103</v>
      </c>
      <c r="I27" s="541"/>
      <c r="J27" s="536">
        <f>SUMIF(99:99,I28,100:100)-SUMIF(99:99,C28,100:100)+100</f>
        <v>103</v>
      </c>
      <c r="K27" s="512">
        <v>3</v>
      </c>
      <c r="L27" s="1978"/>
      <c r="M27" s="1968"/>
      <c r="N27" s="1968"/>
      <c r="O27" s="1977"/>
      <c r="P27" s="3659"/>
      <c r="Q27" s="1462" t="str">
        <f t="shared" si="8"/>
        <v>自然及人文环境状况</v>
      </c>
      <c r="R27" s="1463" t="s">
        <v>8</v>
      </c>
      <c r="S27" s="1464">
        <f>F27</f>
        <v>103</v>
      </c>
      <c r="T27" s="1463" t="s">
        <v>8</v>
      </c>
      <c r="U27" s="1464">
        <f>H27</f>
        <v>103</v>
      </c>
      <c r="V27" s="1463" t="s">
        <v>8</v>
      </c>
      <c r="W27" s="1464">
        <f>J27</f>
        <v>103</v>
      </c>
      <c r="X27" s="1457"/>
      <c r="Y27" s="3659"/>
      <c r="Z27" s="1465" t="str">
        <f>Q27</f>
        <v>自然及人文环境状况</v>
      </c>
      <c r="AA27" s="1466">
        <f t="shared" si="3"/>
        <v>0.970873786407767</v>
      </c>
      <c r="AB27" s="1466">
        <f t="shared" si="4"/>
        <v>0.970873786407767</v>
      </c>
      <c r="AC27" s="1466">
        <f t="shared" si="5"/>
        <v>0.970873786407767</v>
      </c>
    </row>
    <row r="28" spans="1:29" ht="20.25">
      <c r="A28" s="492"/>
      <c r="B28" s="543"/>
      <c r="C28" s="531" t="s">
        <v>3237</v>
      </c>
      <c r="D28" s="534"/>
      <c r="E28" s="553" t="s">
        <v>3257</v>
      </c>
      <c r="F28" s="532"/>
      <c r="G28" s="553" t="s">
        <v>3257</v>
      </c>
      <c r="H28" s="532"/>
      <c r="I28" s="553" t="s">
        <v>3257</v>
      </c>
      <c r="J28" s="532"/>
      <c r="K28" s="508"/>
      <c r="L28" s="1978"/>
      <c r="M28" s="1968"/>
      <c r="N28" s="1968"/>
      <c r="O28" s="1977"/>
      <c r="P28" s="3659"/>
      <c r="Q28" s="1462"/>
      <c r="R28" s="1463"/>
      <c r="S28" s="1464"/>
      <c r="T28" s="1463"/>
      <c r="U28" s="1464"/>
      <c r="V28" s="1463"/>
      <c r="W28" s="1464"/>
      <c r="X28" s="1457"/>
      <c r="Y28" s="3659"/>
      <c r="Z28" s="1465"/>
      <c r="AA28" s="1466">
        <v>1</v>
      </c>
      <c r="AB28" s="1466">
        <v>1</v>
      </c>
      <c r="AC28" s="1466">
        <v>1</v>
      </c>
    </row>
    <row r="29" spans="1:29" s="1166" customFormat="1" ht="20.25">
      <c r="A29" s="554"/>
      <c r="B29" s="2357" t="s">
        <v>2266</v>
      </c>
      <c r="C29" s="550">
        <f>估价对象房地状况!C21</f>
        <v>0</v>
      </c>
      <c r="D29" s="540">
        <v>100</v>
      </c>
      <c r="E29" s="541"/>
      <c r="F29" s="536">
        <f>SUMIF(101:101,E30,102:102)-SUMIF(101:101,C30,102:102)+100</f>
        <v>103</v>
      </c>
      <c r="G29" s="539"/>
      <c r="H29" s="536">
        <f>SUMIF(101:101,G30,102:102)-SUMIF(101:101,C30,102:102)+100</f>
        <v>103</v>
      </c>
      <c r="I29" s="541"/>
      <c r="J29" s="536">
        <f>SUMIF(101:101,I30,102:102)-SUMIF(101:101,C30,102:102)+100</f>
        <v>103</v>
      </c>
      <c r="K29" s="512">
        <v>3</v>
      </c>
      <c r="L29" s="1971"/>
      <c r="M29" s="1968"/>
      <c r="N29" s="1968"/>
      <c r="O29" s="1973"/>
      <c r="P29" s="3659"/>
      <c r="Q29" s="1097" t="str">
        <f t="shared" si="8"/>
        <v>公共配套设施</v>
      </c>
      <c r="R29" s="1458" t="s">
        <v>8</v>
      </c>
      <c r="S29" s="1459">
        <f>F29</f>
        <v>103</v>
      </c>
      <c r="T29" s="1458" t="s">
        <v>8</v>
      </c>
      <c r="U29" s="1459">
        <f>H29</f>
        <v>103</v>
      </c>
      <c r="V29" s="1458" t="s">
        <v>8</v>
      </c>
      <c r="W29" s="1459">
        <f>J29</f>
        <v>103</v>
      </c>
      <c r="X29" s="1460"/>
      <c r="Y29" s="3659"/>
      <c r="Z29" s="1096" t="str">
        <f>Q29</f>
        <v>公共配套设施</v>
      </c>
      <c r="AA29" s="1466">
        <f>D29/F29</f>
        <v>0.970873786407767</v>
      </c>
      <c r="AB29" s="1466">
        <f>D29/H29</f>
        <v>0.970873786407767</v>
      </c>
      <c r="AC29" s="1466">
        <f>D29/J29</f>
        <v>0.970873786407767</v>
      </c>
    </row>
    <row r="30" spans="1:29" s="1166" customFormat="1" ht="20.25">
      <c r="A30" s="554"/>
      <c r="B30" s="543"/>
      <c r="C30" s="556" t="s">
        <v>3237</v>
      </c>
      <c r="D30" s="534"/>
      <c r="E30" s="553" t="s">
        <v>3257</v>
      </c>
      <c r="F30" s="532"/>
      <c r="G30" s="553" t="s">
        <v>3257</v>
      </c>
      <c r="H30" s="532"/>
      <c r="I30" s="553" t="s">
        <v>3257</v>
      </c>
      <c r="J30" s="532"/>
      <c r="K30" s="508"/>
      <c r="L30" s="1971"/>
      <c r="M30" s="1968"/>
      <c r="N30" s="1968"/>
      <c r="O30" s="1973"/>
      <c r="P30" s="3659"/>
      <c r="Q30" s="1097"/>
      <c r="R30" s="1458"/>
      <c r="S30" s="1459"/>
      <c r="T30" s="1458"/>
      <c r="U30" s="1459"/>
      <c r="V30" s="1458"/>
      <c r="W30" s="1459"/>
      <c r="X30" s="1460"/>
      <c r="Y30" s="3659"/>
      <c r="Z30" s="1096"/>
      <c r="AA30" s="1466">
        <v>1</v>
      </c>
      <c r="AB30" s="1466">
        <v>1</v>
      </c>
      <c r="AC30" s="1466">
        <v>1</v>
      </c>
    </row>
    <row r="31" spans="1:29" s="1166" customFormat="1" ht="20.25">
      <c r="A31" s="554"/>
      <c r="B31" s="2357" t="s">
        <v>2267</v>
      </c>
      <c r="C31" s="550">
        <f>估价对象房地状况!C22</f>
        <v>0</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1"/>
      <c r="M31" s="1968"/>
      <c r="N31" s="1968"/>
      <c r="O31" s="1973"/>
      <c r="P31" s="3659"/>
      <c r="Q31" s="2350" t="str">
        <f t="shared" ref="Q31" si="9">B31</f>
        <v>基础设施水平</v>
      </c>
      <c r="R31" s="1458" t="s">
        <v>8</v>
      </c>
      <c r="S31" s="1459">
        <f>F31</f>
        <v>100</v>
      </c>
      <c r="T31" s="1458" t="s">
        <v>8</v>
      </c>
      <c r="U31" s="1459">
        <f>H31</f>
        <v>100</v>
      </c>
      <c r="V31" s="1458" t="s">
        <v>8</v>
      </c>
      <c r="W31" s="1459">
        <f>J31</f>
        <v>100</v>
      </c>
      <c r="X31" s="1460"/>
      <c r="Y31" s="3659"/>
      <c r="Z31" s="2349" t="str">
        <f>Q31</f>
        <v>基础设施水平</v>
      </c>
      <c r="AA31" s="1466">
        <f>D31/F31</f>
        <v>1</v>
      </c>
      <c r="AB31" s="1466">
        <f>D31/H31</f>
        <v>1</v>
      </c>
      <c r="AC31" s="1466">
        <f>D31/J31</f>
        <v>1</v>
      </c>
    </row>
    <row r="32" spans="1:29" s="1166" customFormat="1" ht="21" thickBot="1">
      <c r="A32" s="554"/>
      <c r="B32" s="543"/>
      <c r="C32" s="556" t="s">
        <v>3238</v>
      </c>
      <c r="D32" s="534"/>
      <c r="E32" s="556" t="s">
        <v>3238</v>
      </c>
      <c r="F32" s="532"/>
      <c r="G32" s="556" t="s">
        <v>3238</v>
      </c>
      <c r="H32" s="532"/>
      <c r="I32" s="556" t="s">
        <v>3238</v>
      </c>
      <c r="J32" s="532"/>
      <c r="K32" s="508"/>
      <c r="L32" s="1971"/>
      <c r="M32" s="1968"/>
      <c r="N32" s="1968"/>
      <c r="O32" s="1973"/>
      <c r="P32" s="3659"/>
      <c r="Q32" s="2350"/>
      <c r="R32" s="1458"/>
      <c r="S32" s="1459"/>
      <c r="T32" s="1458"/>
      <c r="U32" s="1459"/>
      <c r="V32" s="1458"/>
      <c r="W32" s="1459"/>
      <c r="X32" s="1460"/>
      <c r="Y32" s="3659"/>
      <c r="Z32" s="2349"/>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659"/>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59"/>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59"/>
      <c r="Q34" s="1462" t="str">
        <f t="shared" si="8"/>
        <v>毗邻道路的类型与等级</v>
      </c>
      <c r="R34" s="1463" t="s">
        <v>8</v>
      </c>
      <c r="S34" s="1464">
        <f t="shared" si="10"/>
        <v>100</v>
      </c>
      <c r="T34" s="1463" t="s">
        <v>8</v>
      </c>
      <c r="U34" s="1464">
        <f t="shared" si="11"/>
        <v>100</v>
      </c>
      <c r="V34" s="1463" t="s">
        <v>8</v>
      </c>
      <c r="W34" s="1464">
        <f t="shared" si="12"/>
        <v>100</v>
      </c>
      <c r="X34" s="1457"/>
      <c r="Y34" s="3659"/>
      <c r="Z34" s="1465" t="str">
        <f t="shared" si="13"/>
        <v>毗邻道路的类型与等级</v>
      </c>
      <c r="AA34" s="1466">
        <f t="shared" si="3"/>
        <v>1</v>
      </c>
      <c r="AB34" s="1466">
        <f t="shared" si="4"/>
        <v>1</v>
      </c>
      <c r="AC34" s="1466">
        <f t="shared" si="5"/>
        <v>1</v>
      </c>
    </row>
    <row r="35" spans="1:29" ht="20.25" hidden="1">
      <c r="A35" s="509"/>
      <c r="B35" s="543"/>
      <c r="C35" s="531"/>
      <c r="D35" s="534"/>
      <c r="E35" s="553"/>
      <c r="F35" s="532"/>
      <c r="G35" s="531"/>
      <c r="H35" s="532"/>
      <c r="I35" s="553"/>
      <c r="J35" s="532"/>
      <c r="K35" s="558"/>
      <c r="L35" s="1978"/>
      <c r="M35" s="1968"/>
      <c r="N35" s="1968"/>
      <c r="O35" s="1977"/>
      <c r="P35" s="3659"/>
      <c r="Q35" s="1462"/>
      <c r="R35" s="1463"/>
      <c r="S35" s="1464"/>
      <c r="T35" s="1463"/>
      <c r="U35" s="1464"/>
      <c r="V35" s="1463"/>
      <c r="W35" s="1464"/>
      <c r="X35" s="1457"/>
      <c r="Y35" s="3659"/>
      <c r="Z35" s="1465"/>
      <c r="AA35" s="1466">
        <v>1</v>
      </c>
      <c r="AB35" s="1466">
        <v>1</v>
      </c>
      <c r="AC35" s="1466">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659"/>
      <c r="Q36" s="1462" t="str">
        <f t="shared" si="8"/>
        <v>土地级别</v>
      </c>
      <c r="R36" s="1463" t="s">
        <v>8</v>
      </c>
      <c r="S36" s="1464">
        <f t="shared" si="10"/>
        <v>100</v>
      </c>
      <c r="T36" s="1463" t="s">
        <v>8</v>
      </c>
      <c r="U36" s="1464">
        <f t="shared" si="11"/>
        <v>100</v>
      </c>
      <c r="V36" s="1463" t="s">
        <v>8</v>
      </c>
      <c r="W36" s="1464">
        <f t="shared" si="12"/>
        <v>100</v>
      </c>
      <c r="X36" s="1457"/>
      <c r="Y36" s="3659"/>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59"/>
      <c r="Q37" s="1462">
        <f t="shared" si="8"/>
        <v>111</v>
      </c>
      <c r="R37" s="1463" t="s">
        <v>8</v>
      </c>
      <c r="S37" s="1464">
        <f t="shared" si="10"/>
        <v>100</v>
      </c>
      <c r="T37" s="1463" t="s">
        <v>8</v>
      </c>
      <c r="U37" s="1464">
        <f t="shared" si="11"/>
        <v>100</v>
      </c>
      <c r="V37" s="1463" t="s">
        <v>8</v>
      </c>
      <c r="W37" s="1464">
        <f t="shared" si="12"/>
        <v>100</v>
      </c>
      <c r="X37" s="1457"/>
      <c r="Y37" s="3659"/>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60" t="s">
        <v>533</v>
      </c>
      <c r="Q38" s="1462">
        <f t="shared" si="8"/>
        <v>111</v>
      </c>
      <c r="R38" s="1463" t="s">
        <v>8</v>
      </c>
      <c r="S38" s="1464">
        <f t="shared" si="10"/>
        <v>100</v>
      </c>
      <c r="T38" s="1463" t="s">
        <v>8</v>
      </c>
      <c r="U38" s="1464">
        <f t="shared" si="11"/>
        <v>100</v>
      </c>
      <c r="V38" s="1463" t="s">
        <v>8</v>
      </c>
      <c r="W38" s="1464">
        <f t="shared" si="12"/>
        <v>100</v>
      </c>
      <c r="X38" s="1457"/>
      <c r="Y38" s="3661" t="s">
        <v>533</v>
      </c>
      <c r="Z38" s="1465">
        <f t="shared" si="13"/>
        <v>111</v>
      </c>
      <c r="AA38" s="1466">
        <f t="shared" si="3"/>
        <v>1</v>
      </c>
      <c r="AB38" s="1466">
        <f t="shared" si="4"/>
        <v>1</v>
      </c>
      <c r="AC38" s="1466">
        <f t="shared" si="5"/>
        <v>1</v>
      </c>
    </row>
    <row r="39" spans="1:29" s="1248"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61"/>
      <c r="Q39" s="1462">
        <f t="shared" si="8"/>
        <v>111</v>
      </c>
      <c r="R39" s="1467" t="s">
        <v>8</v>
      </c>
      <c r="S39" s="1468">
        <f t="shared" si="10"/>
        <v>100</v>
      </c>
      <c r="T39" s="1467" t="s">
        <v>8</v>
      </c>
      <c r="U39" s="1468">
        <f t="shared" si="11"/>
        <v>100</v>
      </c>
      <c r="V39" s="1467" t="s">
        <v>8</v>
      </c>
      <c r="W39" s="1468">
        <f t="shared" si="12"/>
        <v>100</v>
      </c>
      <c r="X39" s="1469"/>
      <c r="Y39" s="3661"/>
      <c r="Z39" s="1470">
        <f t="shared" si="13"/>
        <v>111</v>
      </c>
      <c r="AA39" s="1466">
        <f t="shared" si="3"/>
        <v>1</v>
      </c>
      <c r="AB39" s="1466">
        <f t="shared" si="4"/>
        <v>1</v>
      </c>
      <c r="AC39" s="1466">
        <f t="shared" si="5"/>
        <v>1</v>
      </c>
    </row>
    <row r="40" spans="1:29" ht="20.25">
      <c r="A40" s="2546" t="s">
        <v>2472</v>
      </c>
      <c r="B40" s="572" t="s">
        <v>535</v>
      </c>
      <c r="C40" s="573">
        <f>'数据-汇总表'!D3</f>
        <v>97473.98</v>
      </c>
      <c r="D40" s="574">
        <v>100</v>
      </c>
      <c r="E40" s="573">
        <f>土地案例!I2</f>
        <v>19759</v>
      </c>
      <c r="F40" s="574">
        <f>LOOKUP(E40,118:118,119:119)-LOOKUP(C40,118:118,119:119)+100</f>
        <v>98</v>
      </c>
      <c r="G40" s="573">
        <f>土地案例!I3</f>
        <v>6068.29</v>
      </c>
      <c r="H40" s="574">
        <f>LOOKUP(G40,118:118,119:119)-LOOKUP(C40,118:118,119:119)+100</f>
        <v>98</v>
      </c>
      <c r="I40" s="575">
        <f>土地案例!I4</f>
        <v>29450</v>
      </c>
      <c r="J40" s="574">
        <f>LOOKUP(I40,118:118,119:119)-LOOKUP(C40,118:118,119:119)+100</f>
        <v>98.5</v>
      </c>
      <c r="K40" s="558"/>
      <c r="L40" s="1978"/>
      <c r="M40" s="1968"/>
      <c r="N40" s="1968"/>
      <c r="O40" s="1977"/>
      <c r="P40" s="3661"/>
      <c r="Q40" s="1462" t="str">
        <f>B40</f>
        <v>宗地面积</v>
      </c>
      <c r="R40" s="1463" t="s">
        <v>8</v>
      </c>
      <c r="S40" s="1464">
        <f t="shared" si="10"/>
        <v>98</v>
      </c>
      <c r="T40" s="1463" t="s">
        <v>8</v>
      </c>
      <c r="U40" s="1464">
        <f t="shared" si="11"/>
        <v>98</v>
      </c>
      <c r="V40" s="1463" t="s">
        <v>8</v>
      </c>
      <c r="W40" s="1464">
        <f t="shared" si="12"/>
        <v>98.5</v>
      </c>
      <c r="X40" s="1457"/>
      <c r="Y40" s="3661"/>
      <c r="Z40" s="1465" t="str">
        <f t="shared" si="13"/>
        <v>宗地面积</v>
      </c>
      <c r="AA40" s="1466">
        <f t="shared" si="3"/>
        <v>1.0204081632653061</v>
      </c>
      <c r="AB40" s="1466">
        <f t="shared" si="4"/>
        <v>1.0204081632653061</v>
      </c>
      <c r="AC40" s="1466">
        <f t="shared" si="5"/>
        <v>1.015228426395939</v>
      </c>
    </row>
    <row r="41" spans="1:29" ht="20.25">
      <c r="A41" s="571"/>
      <c r="B41" s="504" t="s">
        <v>536</v>
      </c>
      <c r="C41" s="576" t="s">
        <v>4191</v>
      </c>
      <c r="D41" s="517">
        <v>100</v>
      </c>
      <c r="E41" s="576" t="s">
        <v>4191</v>
      </c>
      <c r="F41" s="517">
        <f>SUMIF(120:120,E41,121:121)-SUMIF(120:120,C41,121:121)+100</f>
        <v>100</v>
      </c>
      <c r="G41" s="576" t="s">
        <v>4191</v>
      </c>
      <c r="H41" s="517">
        <f>SUMIF(120:120,G41,121:121)-SUMIF(120:120,C41,121:121)+100</f>
        <v>100</v>
      </c>
      <c r="I41" s="576" t="s">
        <v>4191</v>
      </c>
      <c r="J41" s="517">
        <f>SUMIF(120:120,I41,121:121)-SUMIF(120:120,C41,121:121)+100</f>
        <v>100</v>
      </c>
      <c r="K41" s="561">
        <v>1</v>
      </c>
      <c r="L41" s="1978"/>
      <c r="M41" s="1968"/>
      <c r="N41" s="1968"/>
      <c r="O41" s="1977"/>
      <c r="P41" s="3661"/>
      <c r="Q41" s="1462" t="str">
        <f t="shared" ref="Q41:Q47" si="14">B41</f>
        <v>宗地形状</v>
      </c>
      <c r="R41" s="1463" t="s">
        <v>8</v>
      </c>
      <c r="S41" s="1464">
        <f t="shared" si="10"/>
        <v>100</v>
      </c>
      <c r="T41" s="1463" t="s">
        <v>8</v>
      </c>
      <c r="U41" s="1464">
        <f t="shared" si="11"/>
        <v>100</v>
      </c>
      <c r="V41" s="1463" t="s">
        <v>8</v>
      </c>
      <c r="W41" s="1464">
        <f t="shared" si="12"/>
        <v>100</v>
      </c>
      <c r="X41" s="1457"/>
      <c r="Y41" s="3661"/>
      <c r="Z41" s="1465" t="str">
        <f t="shared" si="13"/>
        <v>宗地形状</v>
      </c>
      <c r="AA41" s="1466">
        <f t="shared" si="3"/>
        <v>1</v>
      </c>
      <c r="AB41" s="1466">
        <f t="shared" si="4"/>
        <v>1</v>
      </c>
      <c r="AC41" s="1466">
        <f t="shared" si="5"/>
        <v>1</v>
      </c>
    </row>
    <row r="42" spans="1:29" ht="20.25">
      <c r="A42" s="571"/>
      <c r="B42" s="504" t="s">
        <v>537</v>
      </c>
      <c r="C42" s="576" t="s">
        <v>4193</v>
      </c>
      <c r="D42" s="517">
        <v>100</v>
      </c>
      <c r="E42" s="576" t="s">
        <v>4193</v>
      </c>
      <c r="F42" s="517">
        <f>SUMIF(122:122,E42,123:123)-SUMIF(122:122,C42,123:123)+100</f>
        <v>100</v>
      </c>
      <c r="G42" s="576" t="s">
        <v>4193</v>
      </c>
      <c r="H42" s="517">
        <f>SUMIF(122:122,G42,123:123)-SUMIF(122:122,C42,123:123)+100</f>
        <v>100</v>
      </c>
      <c r="I42" s="576" t="s">
        <v>4193</v>
      </c>
      <c r="J42" s="517">
        <f>SUMIF(122:122,I42,123:123)-SUMIF(122:122,C42,123:123)+100</f>
        <v>100</v>
      </c>
      <c r="K42" s="561">
        <v>1</v>
      </c>
      <c r="L42" s="1978"/>
      <c r="M42" s="1968"/>
      <c r="N42" s="1968"/>
      <c r="O42" s="1977"/>
      <c r="P42" s="3661"/>
      <c r="Q42" s="1462" t="str">
        <f t="shared" si="14"/>
        <v>临街宽度及深度</v>
      </c>
      <c r="R42" s="1463" t="s">
        <v>8</v>
      </c>
      <c r="S42" s="1464">
        <f t="shared" si="10"/>
        <v>100</v>
      </c>
      <c r="T42" s="1463" t="s">
        <v>8</v>
      </c>
      <c r="U42" s="1464">
        <f t="shared" si="11"/>
        <v>100</v>
      </c>
      <c r="V42" s="1463" t="s">
        <v>8</v>
      </c>
      <c r="W42" s="1464">
        <f t="shared" si="12"/>
        <v>100</v>
      </c>
      <c r="X42" s="1457"/>
      <c r="Y42" s="3661"/>
      <c r="Z42" s="1465" t="str">
        <f t="shared" si="13"/>
        <v>临街宽度及深度</v>
      </c>
      <c r="AA42" s="1466">
        <f t="shared" si="3"/>
        <v>1</v>
      </c>
      <c r="AB42" s="1466">
        <f t="shared" si="4"/>
        <v>1</v>
      </c>
      <c r="AC42" s="1466">
        <f t="shared" si="5"/>
        <v>1</v>
      </c>
    </row>
    <row r="43" spans="1:29" s="1166" customFormat="1" ht="20.25">
      <c r="A43" s="577"/>
      <c r="B43" s="1764" t="s">
        <v>2211</v>
      </c>
      <c r="C43" s="578" t="s">
        <v>3238</v>
      </c>
      <c r="D43" s="253">
        <v>100</v>
      </c>
      <c r="E43" s="578" t="s">
        <v>3238</v>
      </c>
      <c r="F43" s="517">
        <f>SUMIF(124:124,E43,125:125)-SUMIF(124:124,C43,125:125)+100</f>
        <v>100</v>
      </c>
      <c r="G43" s="578" t="s">
        <v>3238</v>
      </c>
      <c r="H43" s="517">
        <f>SUMIF(124:124,G43,125:125)-SUMIF(124:124,C43,125:125)+100</f>
        <v>100</v>
      </c>
      <c r="I43" s="578" t="s">
        <v>3238</v>
      </c>
      <c r="J43" s="517">
        <f>SUMIF(124:124,I43,125:125)-SUMIF(124:124,C43,125:125)+100</f>
        <v>100</v>
      </c>
      <c r="K43" s="561">
        <v>1</v>
      </c>
      <c r="L43" s="1971"/>
      <c r="M43" s="1968"/>
      <c r="N43" s="1968"/>
      <c r="O43" s="1973"/>
      <c r="P43" s="3661"/>
      <c r="Q43" s="1462" t="str">
        <f t="shared" si="14"/>
        <v>宗地开发程度</v>
      </c>
      <c r="R43" s="1458" t="s">
        <v>8</v>
      </c>
      <c r="S43" s="1459">
        <f t="shared" si="10"/>
        <v>100</v>
      </c>
      <c r="T43" s="1458" t="s">
        <v>8</v>
      </c>
      <c r="U43" s="1459">
        <f t="shared" si="11"/>
        <v>100</v>
      </c>
      <c r="V43" s="1458" t="s">
        <v>8</v>
      </c>
      <c r="W43" s="1459">
        <f t="shared" si="12"/>
        <v>100</v>
      </c>
      <c r="X43" s="1460"/>
      <c r="Y43" s="3661"/>
      <c r="Z43" s="1096" t="str">
        <f t="shared" si="13"/>
        <v>宗地开发程度</v>
      </c>
      <c r="AA43" s="1461">
        <f t="shared" si="3"/>
        <v>1</v>
      </c>
      <c r="AB43" s="1461">
        <f t="shared" si="4"/>
        <v>1</v>
      </c>
      <c r="AC43" s="1461">
        <f t="shared" si="5"/>
        <v>1</v>
      </c>
    </row>
    <row r="44" spans="1:29" ht="21" thickBot="1">
      <c r="A44" s="571"/>
      <c r="B44" s="504" t="s">
        <v>538</v>
      </c>
      <c r="C44" s="576" t="s">
        <v>3257</v>
      </c>
      <c r="D44" s="517">
        <v>100</v>
      </c>
      <c r="E44" s="576" t="s">
        <v>3257</v>
      </c>
      <c r="F44" s="517">
        <f>SUMIF(126:126,E44,127:127)-SUMIF(126:126,C44,127:127)+100</f>
        <v>100</v>
      </c>
      <c r="G44" s="576" t="s">
        <v>3257</v>
      </c>
      <c r="H44" s="517">
        <f>SUMIF(126:126,G44,127:127)-SUMIF(126:126,C44,127:127)+100</f>
        <v>100</v>
      </c>
      <c r="I44" s="576" t="s">
        <v>3257</v>
      </c>
      <c r="J44" s="517">
        <f>SUMIF(126:126,I44,127:127)-SUMIF(126:126,C44,127:127)+100</f>
        <v>100</v>
      </c>
      <c r="K44" s="561">
        <v>1</v>
      </c>
      <c r="L44" s="1978"/>
      <c r="M44" s="1968"/>
      <c r="N44" s="1968"/>
      <c r="O44" s="1977"/>
      <c r="P44" s="3661" t="s">
        <v>533</v>
      </c>
      <c r="Q44" s="1462" t="str">
        <f t="shared" si="14"/>
        <v>工程地质条件</v>
      </c>
      <c r="R44" s="1463" t="s">
        <v>8</v>
      </c>
      <c r="S44" s="1464">
        <f t="shared" si="10"/>
        <v>100</v>
      </c>
      <c r="T44" s="1463" t="s">
        <v>8</v>
      </c>
      <c r="U44" s="1464">
        <f t="shared" si="11"/>
        <v>100</v>
      </c>
      <c r="V44" s="1463" t="s">
        <v>8</v>
      </c>
      <c r="W44" s="1464">
        <f t="shared" si="12"/>
        <v>100</v>
      </c>
      <c r="X44" s="1457"/>
      <c r="Y44" s="3661"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661"/>
      <c r="Q45" s="1462">
        <f t="shared" si="14"/>
        <v>111</v>
      </c>
      <c r="R45" s="1463" t="s">
        <v>8</v>
      </c>
      <c r="S45" s="1464">
        <f t="shared" si="10"/>
        <v>100</v>
      </c>
      <c r="T45" s="1463" t="s">
        <v>8</v>
      </c>
      <c r="U45" s="1464">
        <f t="shared" si="11"/>
        <v>100</v>
      </c>
      <c r="V45" s="1463" t="s">
        <v>8</v>
      </c>
      <c r="W45" s="1464">
        <f t="shared" si="12"/>
        <v>100</v>
      </c>
      <c r="X45" s="1457"/>
      <c r="Y45" s="3661"/>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61"/>
      <c r="Q46" s="1462">
        <f t="shared" si="14"/>
        <v>111</v>
      </c>
      <c r="R46" s="1463" t="s">
        <v>8</v>
      </c>
      <c r="S46" s="1464">
        <f t="shared" si="10"/>
        <v>100</v>
      </c>
      <c r="T46" s="1463" t="s">
        <v>8</v>
      </c>
      <c r="U46" s="1464">
        <f t="shared" si="11"/>
        <v>100</v>
      </c>
      <c r="V46" s="1463" t="s">
        <v>8</v>
      </c>
      <c r="W46" s="1464">
        <f t="shared" si="12"/>
        <v>100</v>
      </c>
      <c r="X46" s="1457"/>
      <c r="Y46" s="3661"/>
      <c r="Z46" s="1465">
        <f t="shared" si="13"/>
        <v>111</v>
      </c>
      <c r="AA46" s="1466">
        <f t="shared" si="3"/>
        <v>1</v>
      </c>
      <c r="AB46" s="1466">
        <f t="shared" si="4"/>
        <v>1</v>
      </c>
      <c r="AC46" s="1466">
        <f t="shared" si="5"/>
        <v>1</v>
      </c>
    </row>
    <row r="47" spans="1:29" s="1248"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661"/>
      <c r="Q47" s="1462">
        <f t="shared" si="14"/>
        <v>111</v>
      </c>
      <c r="R47" s="1467" t="s">
        <v>8</v>
      </c>
      <c r="S47" s="1468">
        <f t="shared" si="10"/>
        <v>100</v>
      </c>
      <c r="T47" s="1467" t="s">
        <v>8</v>
      </c>
      <c r="U47" s="1468">
        <f t="shared" si="11"/>
        <v>100</v>
      </c>
      <c r="V47" s="1467" t="s">
        <v>8</v>
      </c>
      <c r="W47" s="1468">
        <f t="shared" si="12"/>
        <v>100</v>
      </c>
      <c r="X47" s="1469"/>
      <c r="Y47" s="3661"/>
      <c r="Z47" s="1470">
        <f t="shared" si="13"/>
        <v>111</v>
      </c>
      <c r="AA47" s="1466">
        <f t="shared" si="3"/>
        <v>1</v>
      </c>
      <c r="AB47" s="1466">
        <f t="shared" si="4"/>
        <v>1</v>
      </c>
      <c r="AC47" s="1466">
        <f t="shared" si="5"/>
        <v>1</v>
      </c>
    </row>
    <row r="48" spans="1:29" ht="20.25">
      <c r="A48" s="584" t="s">
        <v>539</v>
      </c>
      <c r="B48" s="585" t="s">
        <v>4189</v>
      </c>
      <c r="C48" s="586" t="s">
        <v>1</v>
      </c>
      <c r="D48" s="587"/>
      <c r="E48" s="588">
        <f>土地案例!AN2</f>
        <v>10000</v>
      </c>
      <c r="F48" s="589"/>
      <c r="G48" s="590">
        <f>土地案例!AN3</f>
        <v>10350</v>
      </c>
      <c r="H48" s="591"/>
      <c r="I48" s="588">
        <f>土地案例!AN4</f>
        <v>11886</v>
      </c>
      <c r="J48" s="591"/>
      <c r="K48" s="1249"/>
      <c r="L48" s="1980"/>
      <c r="M48" s="1968"/>
      <c r="N48" s="1968"/>
      <c r="O48" s="1981"/>
      <c r="P48" s="3656" t="str">
        <f>A48</f>
        <v>成交单价</v>
      </c>
      <c r="Q48" s="3656"/>
      <c r="R48" s="3672">
        <f>E48</f>
        <v>10000</v>
      </c>
      <c r="S48" s="3672"/>
      <c r="T48" s="3672">
        <f>G48</f>
        <v>10350</v>
      </c>
      <c r="U48" s="3672"/>
      <c r="V48" s="3672">
        <f>I48</f>
        <v>11886</v>
      </c>
      <c r="W48" s="3672"/>
      <c r="X48" s="1452"/>
      <c r="Y48" s="1471"/>
      <c r="Z48" s="1452"/>
      <c r="AA48" s="1452"/>
      <c r="AB48" s="1452"/>
      <c r="AC48" s="1452"/>
    </row>
    <row r="49" spans="1:29" ht="21" thickBot="1">
      <c r="A49" s="592" t="s">
        <v>2410</v>
      </c>
      <c r="B49" s="593"/>
      <c r="C49" s="594">
        <f>R50</f>
        <v>9726</v>
      </c>
      <c r="D49" s="2922" t="s">
        <v>2697</v>
      </c>
      <c r="E49" s="594">
        <f>R49</f>
        <v>8773</v>
      </c>
      <c r="F49" s="2923"/>
      <c r="G49" s="595">
        <f>T49</f>
        <v>9080</v>
      </c>
      <c r="H49" s="2923"/>
      <c r="I49" s="594">
        <f>V49</f>
        <v>11326</v>
      </c>
      <c r="J49" s="2923"/>
      <c r="K49" s="2924">
        <f>F49+H49+J49</f>
        <v>0</v>
      </c>
      <c r="L49" s="1980"/>
      <c r="M49" s="1968"/>
      <c r="N49" s="1968"/>
      <c r="O49" s="1981"/>
      <c r="P49" s="3656" t="str">
        <f>A49</f>
        <v>比较价格（元/平方米）</v>
      </c>
      <c r="Q49" s="3656"/>
      <c r="R49" s="3680">
        <f>ROUND(PRODUCT(R48,AA9:AA47),0)</f>
        <v>8773</v>
      </c>
      <c r="S49" s="3680"/>
      <c r="T49" s="3680">
        <f>ROUND(PRODUCT(T48,AB9:AB47),0)</f>
        <v>9080</v>
      </c>
      <c r="U49" s="3680"/>
      <c r="V49" s="3680">
        <f>ROUND(PRODUCT(V48,AC9:AC47),0)</f>
        <v>11326</v>
      </c>
      <c r="W49" s="3680"/>
      <c r="X49" s="1452"/>
      <c r="Y49" s="1452"/>
      <c r="Z49" s="1452"/>
      <c r="AA49" s="1452"/>
      <c r="AB49" s="1452"/>
      <c r="AC49" s="1452"/>
    </row>
    <row r="50" spans="1:29" ht="21" thickBot="1">
      <c r="A50" s="596" t="s">
        <v>2632</v>
      </c>
      <c r="B50" s="597"/>
      <c r="C50" s="598">
        <f>R50</f>
        <v>9726</v>
      </c>
      <c r="D50" s="598"/>
      <c r="E50" s="598"/>
      <c r="F50" s="598"/>
      <c r="G50" s="598"/>
      <c r="H50" s="598"/>
      <c r="I50" s="598"/>
      <c r="J50" s="598"/>
      <c r="K50" s="1250"/>
      <c r="L50" s="1980"/>
      <c r="M50" s="1968"/>
      <c r="N50" s="1968"/>
      <c r="O50" s="1981"/>
      <c r="P50" s="3662" t="str">
        <f>A50</f>
        <v>估价对象XX用房的比较价格（楼面单价，元/平方米）</v>
      </c>
      <c r="Q50" s="3663"/>
      <c r="R50" s="3679">
        <f>ROUND(IF(D49="简单平均",AVERAGE(R49:W49),R49*F49+T49*H49+V49*J49),0)</f>
        <v>9726</v>
      </c>
      <c r="S50" s="3679"/>
      <c r="T50" s="3679"/>
      <c r="U50" s="3679"/>
      <c r="V50" s="3679"/>
      <c r="W50" s="3679"/>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20.25">
      <c r="A53" s="3122"/>
      <c r="B53" s="3122"/>
      <c r="C53" s="599" t="s">
        <v>540</v>
      </c>
      <c r="D53" s="600"/>
      <c r="E53" s="601">
        <f>IF(E48&lt;E49,E49/E48-1,E48/E49-1)</f>
        <v>0.13986093696569024</v>
      </c>
      <c r="F53" s="602" t="str">
        <f>IF(OR(E53&gt;=0.3,E53&lt;=-0.3),"超过30%","")</f>
        <v/>
      </c>
      <c r="G53" s="601">
        <f>IF(G48&lt;G49,G49/G48-1,G48/G49-1)</f>
        <v>0.13986784140969166</v>
      </c>
      <c r="H53" s="602" t="str">
        <f>IF(OR(G53&gt;=0.3,G53&lt;=-0.3),"超过30%","")</f>
        <v/>
      </c>
      <c r="I53" s="601">
        <f>IF(I48&lt;I49,I49/I48-1,I48/I49-1)</f>
        <v>4.9443757725587067E-2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20.25">
      <c r="A54" s="3122"/>
      <c r="B54" s="3122"/>
      <c r="C54" s="599" t="s">
        <v>541</v>
      </c>
      <c r="D54" s="603"/>
      <c r="E54" s="601">
        <f>IF(E49&lt;G49,G49/E49-1,E49/G49-1)</f>
        <v>3.4993730764846687E-2</v>
      </c>
      <c r="F54" s="602" t="str">
        <f>IF(OR(E54&gt;=0.2,E54&lt;=-0.2),"超过20%","")</f>
        <v/>
      </c>
      <c r="G54" s="601">
        <f>IF(G49&lt;I49,I49/G49-1,G49/I49-1)</f>
        <v>0.24735682819383253</v>
      </c>
      <c r="H54" s="602" t="str">
        <f>IF(OR(G54&gt;=0.2,G54&lt;=-0.2),"超过20%","")</f>
        <v>超过20%</v>
      </c>
      <c r="I54" s="601">
        <f>IF(I49&lt;E49,E49/I49-1,I49/E49-1)</f>
        <v>0.29100649720734073</v>
      </c>
      <c r="J54" s="602" t="str">
        <f>IF(OR(I54&gt;=0.2,I54&lt;=-0.2),"超过20%","")</f>
        <v>超过20%</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20.25">
      <c r="A55" s="3123"/>
      <c r="B55" s="3123"/>
      <c r="C55" s="599" t="s">
        <v>542</v>
      </c>
      <c r="D55" s="603"/>
      <c r="E55" s="601">
        <f>IF(E48&lt;G48,G48/E48-1,E48/G48-1)</f>
        <v>3.499999999999992E-2</v>
      </c>
      <c r="F55" s="602" t="str">
        <f>IF(OR(E55&gt;=0.3,E55&lt;=-0.3),"超过30%","")</f>
        <v/>
      </c>
      <c r="G55" s="601">
        <f>IF(G48&lt;I48,I48/G48-1,G48/I48-1)</f>
        <v>0.14840579710144919</v>
      </c>
      <c r="H55" s="602" t="str">
        <f>IF(OR(G55&gt;=0.3,G55&lt;=-0.3),"超过30%","")</f>
        <v/>
      </c>
      <c r="I55" s="601">
        <f>IF(I48&lt;E48,E48/I48-1,I48/E48-1)</f>
        <v>0.1886000000000001</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7">
      <c r="A57" s="604" t="s">
        <v>543</v>
      </c>
      <c r="B57" s="605" t="s">
        <v>544</v>
      </c>
      <c r="C57" s="1453" t="s">
        <v>1524</v>
      </c>
      <c r="D57" s="2061" t="s">
        <v>2083</v>
      </c>
      <c r="E57" s="606" t="s">
        <v>545</v>
      </c>
      <c r="F57" s="607" t="s">
        <v>546</v>
      </c>
      <c r="G57" s="3641" t="s">
        <v>2072</v>
      </c>
      <c r="H57" s="3642"/>
      <c r="I57" s="1449" t="s">
        <v>1522</v>
      </c>
      <c r="J57" s="1449" t="str">
        <f>项目基本情况!F41</f>
        <v>海南省</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9726</v>
      </c>
      <c r="C58" s="610">
        <v>1</v>
      </c>
      <c r="D58" s="2062">
        <v>1</v>
      </c>
      <c r="E58" s="610">
        <f>'数据-汇总表'!E8+'数据-汇总表'!E9</f>
        <v>43511.83</v>
      </c>
      <c r="F58" s="611">
        <f t="shared" ref="F58:F66" si="15">ROUND(B58*E58/10000,0)</f>
        <v>42320</v>
      </c>
      <c r="G58" s="3643"/>
      <c r="H58" s="3644"/>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7725.79</v>
      </c>
      <c r="F64" s="611">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51237.62</v>
      </c>
      <c r="F67" s="619">
        <f>IF(B48="楼面地价",SUM(F58:F66),ROUND(C50*E67/10000,0))</f>
        <v>42320</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2022-5-1</v>
      </c>
      <c r="D69" s="2438">
        <f>EDATE(C69,-3)</f>
        <v>44593</v>
      </c>
      <c r="E69" s="2438">
        <f t="shared" ref="E69:N69" si="18">EDATE(D69,-3)</f>
        <v>44501</v>
      </c>
      <c r="F69" s="2438">
        <f t="shared" si="18"/>
        <v>44409</v>
      </c>
      <c r="G69" s="2438">
        <f t="shared" si="18"/>
        <v>44317</v>
      </c>
      <c r="H69" s="2438">
        <f t="shared" si="18"/>
        <v>44228</v>
      </c>
      <c r="I69" s="2438">
        <f t="shared" si="18"/>
        <v>44136</v>
      </c>
      <c r="J69" s="2438">
        <f t="shared" si="18"/>
        <v>44044</v>
      </c>
      <c r="K69" s="2438">
        <f t="shared" si="18"/>
        <v>43952</v>
      </c>
      <c r="L69" s="2438">
        <f t="shared" si="18"/>
        <v>43862</v>
      </c>
      <c r="M69" s="2438">
        <f t="shared" si="18"/>
        <v>43770</v>
      </c>
      <c r="N69" s="2438">
        <f t="shared" si="18"/>
        <v>43678</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2022-2</v>
      </c>
      <c r="D71" s="2440" t="str">
        <f>YEAR(D69)&amp;"-"&amp;ROUNDUP(MONTH(D69)/3,0)</f>
        <v>2022-1</v>
      </c>
      <c r="E71" s="2440" t="str">
        <f t="shared" ref="E71:N71" si="19">YEAR(E69)&amp;"-"&amp;ROUNDUP(MONTH(E69)/3,0)</f>
        <v>2021-4</v>
      </c>
      <c r="F71" s="2440" t="str">
        <f t="shared" si="19"/>
        <v>2021-3</v>
      </c>
      <c r="G71" s="2440" t="str">
        <f t="shared" si="19"/>
        <v>2021-2</v>
      </c>
      <c r="H71" s="2440" t="str">
        <f t="shared" si="19"/>
        <v>2021-1</v>
      </c>
      <c r="I71" s="2440" t="str">
        <f t="shared" si="19"/>
        <v>2020-4</v>
      </c>
      <c r="J71" s="2440" t="str">
        <f t="shared" si="19"/>
        <v>2020-3</v>
      </c>
      <c r="K71" s="2440" t="str">
        <f t="shared" si="19"/>
        <v>2020-2</v>
      </c>
      <c r="L71" s="2440" t="str">
        <f t="shared" si="19"/>
        <v>2020-1</v>
      </c>
      <c r="M71" s="2440" t="str">
        <f t="shared" si="19"/>
        <v>2019-4</v>
      </c>
      <c r="N71" s="2440" t="str">
        <f t="shared" si="19"/>
        <v>2019-3</v>
      </c>
      <c r="O71" s="1994"/>
      <c r="P71" s="1995"/>
      <c r="Q71" s="1996"/>
      <c r="R71" s="1996"/>
      <c r="S71" s="1996"/>
      <c r="T71" s="1996"/>
      <c r="U71" s="1996"/>
      <c r="V71" s="1996"/>
      <c r="W71" s="1996"/>
      <c r="X71" s="1996"/>
      <c r="Y71" s="1996"/>
      <c r="Z71" s="1996"/>
      <c r="AA71" s="1996"/>
      <c r="AB71" s="1996"/>
      <c r="AC71" s="1996"/>
    </row>
    <row r="72" spans="1:29" s="1166" customFormat="1" ht="30">
      <c r="A72" s="2445" t="s">
        <v>2364</v>
      </c>
      <c r="B72" s="472" t="str">
        <f>"北京市平均增长率"&amp;TEXT(SUMIF(基准地价!N21:N25,A72,基准地价!P21:P25),"0.00%")</f>
        <v>北京市平均增长率1.60%</v>
      </c>
      <c r="C72" s="865">
        <v>100</v>
      </c>
      <c r="D72" s="705">
        <f>C72-0.5</f>
        <v>99.5</v>
      </c>
      <c r="E72" s="705">
        <f t="shared" ref="E72:N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1997"/>
      <c r="P72" s="1993"/>
      <c r="Q72" s="1859"/>
      <c r="R72" s="1859"/>
      <c r="S72" s="1859"/>
      <c r="T72" s="1859"/>
      <c r="U72" s="1859"/>
      <c r="V72" s="1859"/>
      <c r="W72" s="1859"/>
      <c r="X72" s="1859"/>
      <c r="Y72" s="1859"/>
      <c r="Z72" s="1859"/>
      <c r="AA72" s="1859"/>
      <c r="AB72" s="1859"/>
      <c r="AC72" s="1859"/>
    </row>
    <row r="73" spans="1:29" s="1166" customFormat="1" ht="15.75"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54" t="s">
        <v>4188</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v>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95</v>
      </c>
      <c r="E82" s="654">
        <f t="shared" si="22"/>
        <v>90</v>
      </c>
      <c r="F82" s="654">
        <f t="shared" si="22"/>
        <v>85</v>
      </c>
      <c r="G82" s="654">
        <f t="shared" si="22"/>
        <v>80</v>
      </c>
      <c r="H82" s="654">
        <f t="shared" si="22"/>
        <v>75</v>
      </c>
      <c r="I82" s="654">
        <f t="shared" si="22"/>
        <v>70</v>
      </c>
      <c r="J82" s="654">
        <f t="shared" si="22"/>
        <v>65</v>
      </c>
      <c r="K82" s="654">
        <f t="shared" si="22"/>
        <v>60</v>
      </c>
      <c r="L82" s="654">
        <f t="shared" si="22"/>
        <v>55</v>
      </c>
      <c r="M82" s="654">
        <f t="shared" si="22"/>
        <v>50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95</v>
      </c>
      <c r="E96" s="654">
        <f>D96-$K23</f>
        <v>90</v>
      </c>
      <c r="F96" s="654">
        <f>E96-$K23</f>
        <v>85</v>
      </c>
      <c r="G96" s="654">
        <f>F96-$K23</f>
        <v>80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97</v>
      </c>
      <c r="E100" s="654">
        <f>D100-$K27</f>
        <v>94</v>
      </c>
      <c r="F100" s="654">
        <f>E100-$K27</f>
        <v>91</v>
      </c>
      <c r="G100" s="654">
        <f>F100-$K27</f>
        <v>88</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97</v>
      </c>
      <c r="E102" s="654">
        <f>D102-$K29</f>
        <v>94</v>
      </c>
      <c r="F102" s="654">
        <f>E102-$K29</f>
        <v>91</v>
      </c>
      <c r="G102" s="654">
        <f>F102-$K29</f>
        <v>88</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0(含)-20000</v>
      </c>
      <c r="D117" s="679" t="str">
        <f t="shared" si="26"/>
        <v>20000(含)-40000</v>
      </c>
      <c r="E117" s="679" t="str">
        <f t="shared" si="26"/>
        <v>40000(含)-60000</v>
      </c>
      <c r="F117" s="679" t="str">
        <f t="shared" si="26"/>
        <v>60000(含)-80000</v>
      </c>
      <c r="G117" s="679" t="str">
        <f t="shared" si="26"/>
        <v>80000(含)-100000</v>
      </c>
      <c r="H117" s="679" t="str">
        <f t="shared" si="26"/>
        <v>100000(含)-120000</v>
      </c>
      <c r="I117" s="679" t="str">
        <f t="shared" si="26"/>
        <v>120000(含)-140000</v>
      </c>
      <c r="J117" s="2698" t="str">
        <f t="shared" si="26"/>
        <v>140000(含)-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f>C118+20000</f>
        <v>20000</v>
      </c>
      <c r="E118" s="705">
        <f t="shared" ref="E118:J118" si="27">D118+20000</f>
        <v>40000</v>
      </c>
      <c r="F118" s="705">
        <f t="shared" si="27"/>
        <v>60000</v>
      </c>
      <c r="G118" s="705">
        <f t="shared" si="27"/>
        <v>80000</v>
      </c>
      <c r="H118" s="705">
        <f t="shared" si="27"/>
        <v>100000</v>
      </c>
      <c r="I118" s="705">
        <f t="shared" si="27"/>
        <v>120000</v>
      </c>
      <c r="J118" s="705">
        <f t="shared" si="27"/>
        <v>140000</v>
      </c>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C119+0.5</f>
        <v>100.5</v>
      </c>
      <c r="E119" s="701">
        <f t="shared" ref="E119:J119" si="28">D119+0.5</f>
        <v>101</v>
      </c>
      <c r="F119" s="701">
        <f t="shared" si="28"/>
        <v>101.5</v>
      </c>
      <c r="G119" s="701">
        <f t="shared" si="28"/>
        <v>102</v>
      </c>
      <c r="H119" s="701">
        <f t="shared" si="28"/>
        <v>102.5</v>
      </c>
      <c r="I119" s="701">
        <f t="shared" si="28"/>
        <v>103</v>
      </c>
      <c r="J119" s="701">
        <f t="shared" si="28"/>
        <v>103.5</v>
      </c>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53" t="s">
        <v>4192</v>
      </c>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9">C121-$K41</f>
        <v>99</v>
      </c>
      <c r="E121" s="654">
        <f t="shared" si="29"/>
        <v>98</v>
      </c>
      <c r="F121" s="654">
        <f t="shared" si="29"/>
        <v>97</v>
      </c>
      <c r="G121" s="654">
        <f t="shared" si="29"/>
        <v>96</v>
      </c>
      <c r="H121" s="654">
        <f t="shared" si="29"/>
        <v>95</v>
      </c>
      <c r="I121" s="654">
        <f t="shared" si="29"/>
        <v>94</v>
      </c>
      <c r="J121" s="654">
        <f t="shared" si="29"/>
        <v>93</v>
      </c>
      <c r="K121" s="654">
        <f t="shared" si="29"/>
        <v>92</v>
      </c>
      <c r="L121" s="654">
        <f t="shared" si="29"/>
        <v>91</v>
      </c>
      <c r="M121" s="655">
        <f t="shared" si="29"/>
        <v>90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452" t="s">
        <v>4194</v>
      </c>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0">C123-$K42</f>
        <v>99</v>
      </c>
      <c r="E123" s="654">
        <f t="shared" si="30"/>
        <v>98</v>
      </c>
      <c r="F123" s="654">
        <f t="shared" si="30"/>
        <v>97</v>
      </c>
      <c r="G123" s="654">
        <f t="shared" si="30"/>
        <v>96</v>
      </c>
      <c r="H123" s="654">
        <f t="shared" si="30"/>
        <v>95</v>
      </c>
      <c r="I123" s="654">
        <f t="shared" si="30"/>
        <v>94</v>
      </c>
      <c r="J123" s="654">
        <f t="shared" si="30"/>
        <v>93</v>
      </c>
      <c r="K123" s="654">
        <f t="shared" si="30"/>
        <v>92</v>
      </c>
      <c r="L123" s="654">
        <f t="shared" si="30"/>
        <v>91</v>
      </c>
      <c r="M123" s="655">
        <f t="shared" si="30"/>
        <v>90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2212</v>
      </c>
      <c r="C124" s="1282" t="s">
        <v>4195</v>
      </c>
      <c r="D124" s="1282"/>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3452" t="s">
        <v>4196</v>
      </c>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2">C127-$K44</f>
        <v>99</v>
      </c>
      <c r="E127" s="654">
        <f t="shared" si="32"/>
        <v>98</v>
      </c>
      <c r="F127" s="654">
        <f t="shared" si="32"/>
        <v>97</v>
      </c>
      <c r="G127" s="654">
        <f t="shared" si="32"/>
        <v>96</v>
      </c>
      <c r="H127" s="654">
        <f t="shared" si="32"/>
        <v>95</v>
      </c>
      <c r="I127" s="654">
        <f t="shared" si="32"/>
        <v>94</v>
      </c>
      <c r="J127" s="654">
        <f t="shared" si="32"/>
        <v>93</v>
      </c>
      <c r="K127" s="654">
        <f t="shared" si="32"/>
        <v>92</v>
      </c>
      <c r="L127" s="654">
        <f t="shared" si="32"/>
        <v>91</v>
      </c>
      <c r="M127" s="655">
        <f t="shared" si="32"/>
        <v>90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664" t="s">
        <v>505</v>
      </c>
      <c r="D6" s="3665"/>
      <c r="E6" s="3686" t="s">
        <v>506</v>
      </c>
      <c r="F6" s="3687"/>
      <c r="G6" s="3664" t="s">
        <v>507</v>
      </c>
      <c r="H6" s="3665"/>
      <c r="I6" s="3664" t="s">
        <v>508</v>
      </c>
      <c r="J6" s="3665"/>
      <c r="K6" s="491" t="s">
        <v>509</v>
      </c>
      <c r="L6" s="1969"/>
      <c r="M6" s="1970"/>
      <c r="N6" s="1970"/>
      <c r="O6" s="1970"/>
      <c r="P6" s="3666" t="s">
        <v>510</v>
      </c>
      <c r="Q6" s="3667"/>
      <c r="R6" s="3650" t="s">
        <v>506</v>
      </c>
      <c r="S6" s="3651"/>
      <c r="T6" s="3650" t="s">
        <v>507</v>
      </c>
      <c r="U6" s="3651"/>
      <c r="V6" s="3672" t="s">
        <v>508</v>
      </c>
      <c r="W6" s="3672"/>
      <c r="X6" s="1457"/>
      <c r="Y6" s="3650" t="s">
        <v>510</v>
      </c>
      <c r="Z6" s="3651"/>
      <c r="AA6" s="3645" t="s">
        <v>506</v>
      </c>
      <c r="AB6" s="3646" t="s">
        <v>507</v>
      </c>
      <c r="AC6" s="3645" t="s">
        <v>508</v>
      </c>
    </row>
    <row r="7" spans="1:29" ht="15">
      <c r="A7" s="492"/>
      <c r="B7" s="493"/>
      <c r="C7" s="3675" t="s">
        <v>2626</v>
      </c>
      <c r="D7" s="3676"/>
      <c r="E7" s="3688" t="s">
        <v>2627</v>
      </c>
      <c r="F7" s="3689"/>
      <c r="G7" s="3675" t="s">
        <v>2628</v>
      </c>
      <c r="H7" s="3676"/>
      <c r="I7" s="3675" t="s">
        <v>2629</v>
      </c>
      <c r="J7" s="3676"/>
      <c r="K7" s="491"/>
      <c r="L7" s="1969"/>
      <c r="M7" s="1970"/>
      <c r="N7" s="1970"/>
      <c r="O7" s="1970"/>
      <c r="P7" s="3668"/>
      <c r="Q7" s="3669"/>
      <c r="R7" s="3652"/>
      <c r="S7" s="3653"/>
      <c r="T7" s="3652"/>
      <c r="U7" s="3653"/>
      <c r="V7" s="3672"/>
      <c r="W7" s="3672"/>
      <c r="X7" s="1457"/>
      <c r="Y7" s="3652"/>
      <c r="Z7" s="3653"/>
      <c r="AA7" s="3646"/>
      <c r="AB7" s="3646"/>
      <c r="AC7" s="3646"/>
    </row>
    <row r="8" spans="1:29" ht="15.75" thickBot="1">
      <c r="A8" s="494"/>
      <c r="B8" s="495"/>
      <c r="C8" s="3690" t="s">
        <v>2630</v>
      </c>
      <c r="D8" s="3674"/>
      <c r="E8" s="3691" t="s">
        <v>2630</v>
      </c>
      <c r="F8" s="3692"/>
      <c r="G8" s="3690" t="s">
        <v>2630</v>
      </c>
      <c r="H8" s="3674"/>
      <c r="I8" s="3690" t="s">
        <v>2630</v>
      </c>
      <c r="J8" s="3674"/>
      <c r="K8" s="491" t="s">
        <v>511</v>
      </c>
      <c r="L8" s="1969"/>
      <c r="M8" s="1970"/>
      <c r="N8" s="1970"/>
      <c r="O8" s="1970"/>
      <c r="P8" s="3670"/>
      <c r="Q8" s="3671"/>
      <c r="R8" s="3652"/>
      <c r="S8" s="3653"/>
      <c r="T8" s="3654"/>
      <c r="U8" s="3655"/>
      <c r="V8" s="3672"/>
      <c r="W8" s="3672"/>
      <c r="X8" s="1457"/>
      <c r="Y8" s="3654"/>
      <c r="Z8" s="3655"/>
      <c r="AA8" s="3647"/>
      <c r="AB8" s="3647"/>
      <c r="AC8" s="3647"/>
    </row>
    <row r="9" spans="1:29" s="1166" customFormat="1" ht="15.75" thickBot="1">
      <c r="A9" s="2551"/>
      <c r="B9" s="2558" t="s">
        <v>512</v>
      </c>
      <c r="C9" s="496">
        <f>'数据-取费表'!B2</f>
        <v>44701</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48" t="s">
        <v>513</v>
      </c>
      <c r="Q9" s="3657"/>
      <c r="R9" s="1458" t="s">
        <v>8</v>
      </c>
      <c r="S9" s="1459">
        <f t="shared" ref="S9:S17" si="0">F9</f>
        <v>0</v>
      </c>
      <c r="T9" s="1458" t="s">
        <v>8</v>
      </c>
      <c r="U9" s="1459">
        <f t="shared" ref="U9:U17" si="1">H9</f>
        <v>0</v>
      </c>
      <c r="V9" s="1458" t="s">
        <v>8</v>
      </c>
      <c r="W9" s="1459">
        <f t="shared" ref="W9:W17" si="2">J9</f>
        <v>0</v>
      </c>
      <c r="X9" s="1460"/>
      <c r="Y9" s="3648" t="s">
        <v>513</v>
      </c>
      <c r="Z9" s="3649"/>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48" t="s">
        <v>516</v>
      </c>
      <c r="Q10" s="3649"/>
      <c r="R10" s="1458" t="s">
        <v>8</v>
      </c>
      <c r="S10" s="1459">
        <f t="shared" si="0"/>
        <v>0</v>
      </c>
      <c r="T10" s="1458" t="s">
        <v>8</v>
      </c>
      <c r="U10" s="1459">
        <f t="shared" si="1"/>
        <v>0</v>
      </c>
      <c r="V10" s="1458" t="s">
        <v>8</v>
      </c>
      <c r="W10" s="1459">
        <f t="shared" si="2"/>
        <v>0</v>
      </c>
      <c r="X10" s="1460"/>
      <c r="Y10" s="3648" t="s">
        <v>516</v>
      </c>
      <c r="Z10" s="3649"/>
      <c r="AA10" s="1461" t="e">
        <f t="shared" ref="AA10:AA42" si="3">D10/F10</f>
        <v>#DIV/0!</v>
      </c>
      <c r="AB10" s="1461" t="e">
        <f t="shared" ref="AB10:AB42" si="4">D10/H10</f>
        <v>#DIV/0!</v>
      </c>
      <c r="AC10" s="1461" t="e">
        <f t="shared" ref="AC10:AC42" si="5">D10/J10</f>
        <v>#DIV/0!</v>
      </c>
    </row>
    <row r="11" spans="1:29" s="1166"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56" t="s">
        <v>518</v>
      </c>
      <c r="Q11" s="1097" t="str">
        <f t="shared" ref="Q11:Q17" si="6">B11</f>
        <v>用途</v>
      </c>
      <c r="R11" s="1458" t="s">
        <v>8</v>
      </c>
      <c r="S11" s="1459">
        <f t="shared" si="0"/>
        <v>100</v>
      </c>
      <c r="T11" s="1458" t="s">
        <v>8</v>
      </c>
      <c r="U11" s="1459">
        <f t="shared" si="1"/>
        <v>100</v>
      </c>
      <c r="V11" s="1458" t="s">
        <v>8</v>
      </c>
      <c r="W11" s="1459">
        <f t="shared" si="2"/>
        <v>100</v>
      </c>
      <c r="X11" s="1460"/>
      <c r="Y11" s="3604" t="s">
        <v>519</v>
      </c>
      <c r="Z11" s="1096" t="str">
        <f t="shared" ref="Z11:Z17" si="7">Q11</f>
        <v>用途</v>
      </c>
      <c r="AA11" s="1461">
        <f t="shared" si="3"/>
        <v>1</v>
      </c>
      <c r="AB11" s="1461">
        <f t="shared" si="4"/>
        <v>1</v>
      </c>
      <c r="AC11" s="1461">
        <f t="shared" si="5"/>
        <v>1</v>
      </c>
    </row>
    <row r="12" spans="1:29" s="1247" customFormat="1" ht="27">
      <c r="A12" s="2554"/>
      <c r="B12" s="2559" t="s">
        <v>2474</v>
      </c>
      <c r="C12" s="505"/>
      <c r="D12" s="253">
        <v>100</v>
      </c>
      <c r="E12" s="505"/>
      <c r="F12" s="253">
        <f>ROUND(100/'数据-取费表'!G16,0)</f>
        <v>106</v>
      </c>
      <c r="G12" s="505"/>
      <c r="H12" s="253">
        <f>ROUND(100/'数据-取费表'!G16,0)</f>
        <v>106</v>
      </c>
      <c r="I12" s="505"/>
      <c r="J12" s="253">
        <f>ROUND(100/'数据-取费表'!G16,0)</f>
        <v>106</v>
      </c>
      <c r="K12" s="508"/>
      <c r="L12" s="1974"/>
      <c r="M12" s="2013"/>
      <c r="N12" s="2013"/>
      <c r="O12" s="1975"/>
      <c r="P12" s="3656"/>
      <c r="Q12" s="1097" t="str">
        <f t="shared" si="6"/>
        <v>土地使用年限（年）</v>
      </c>
      <c r="R12" s="1458" t="s">
        <v>8</v>
      </c>
      <c r="S12" s="1459">
        <f t="shared" si="0"/>
        <v>106</v>
      </c>
      <c r="T12" s="1458" t="s">
        <v>8</v>
      </c>
      <c r="U12" s="1459">
        <f t="shared" si="1"/>
        <v>106</v>
      </c>
      <c r="V12" s="1458" t="s">
        <v>8</v>
      </c>
      <c r="W12" s="1459">
        <f t="shared" si="2"/>
        <v>106</v>
      </c>
      <c r="X12" s="1460"/>
      <c r="Y12" s="3604"/>
      <c r="Z12" s="1096" t="str">
        <f t="shared" si="7"/>
        <v>土地使用年限（年）</v>
      </c>
      <c r="AA12" s="1461">
        <f t="shared" si="3"/>
        <v>0.94339622641509435</v>
      </c>
      <c r="AB12" s="1461">
        <f t="shared" si="4"/>
        <v>0.94339622641509435</v>
      </c>
      <c r="AC12" s="1461">
        <f t="shared" si="5"/>
        <v>0.94339622641509435</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56"/>
      <c r="Q13" s="1097" t="str">
        <f t="shared" si="6"/>
        <v>容积率</v>
      </c>
      <c r="R13" s="1458" t="s">
        <v>8</v>
      </c>
      <c r="S13" s="1459" t="e">
        <f t="shared" si="0"/>
        <v>#N/A</v>
      </c>
      <c r="T13" s="1458" t="s">
        <v>8</v>
      </c>
      <c r="U13" s="1459" t="e">
        <f t="shared" si="1"/>
        <v>#N/A</v>
      </c>
      <c r="V13" s="1458" t="s">
        <v>8</v>
      </c>
      <c r="W13" s="1459" t="e">
        <f t="shared" si="2"/>
        <v>#N/A</v>
      </c>
      <c r="X13" s="1460"/>
      <c r="Y13" s="3604"/>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56"/>
      <c r="Q14" s="1097">
        <f t="shared" si="6"/>
        <v>111</v>
      </c>
      <c r="R14" s="1458" t="s">
        <v>8</v>
      </c>
      <c r="S14" s="1459">
        <f t="shared" si="0"/>
        <v>100</v>
      </c>
      <c r="T14" s="1458" t="s">
        <v>8</v>
      </c>
      <c r="U14" s="1459">
        <f t="shared" si="1"/>
        <v>100</v>
      </c>
      <c r="V14" s="1458" t="s">
        <v>8</v>
      </c>
      <c r="W14" s="1459">
        <f t="shared" si="2"/>
        <v>100</v>
      </c>
      <c r="X14" s="1460"/>
      <c r="Y14" s="3604"/>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56"/>
      <c r="Q15" s="1097">
        <f t="shared" si="6"/>
        <v>111</v>
      </c>
      <c r="R15" s="1458" t="s">
        <v>8</v>
      </c>
      <c r="S15" s="1459">
        <f t="shared" si="0"/>
        <v>100</v>
      </c>
      <c r="T15" s="1458" t="s">
        <v>8</v>
      </c>
      <c r="U15" s="1459">
        <f t="shared" si="1"/>
        <v>100</v>
      </c>
      <c r="V15" s="1458" t="s">
        <v>8</v>
      </c>
      <c r="W15" s="1459">
        <f t="shared" si="2"/>
        <v>100</v>
      </c>
      <c r="X15" s="1460"/>
      <c r="Y15" s="3604"/>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56"/>
      <c r="Q16" s="1097">
        <f t="shared" si="6"/>
        <v>111</v>
      </c>
      <c r="R16" s="1458" t="s">
        <v>8</v>
      </c>
      <c r="S16" s="1459">
        <f t="shared" si="0"/>
        <v>100</v>
      </c>
      <c r="T16" s="1458" t="s">
        <v>8</v>
      </c>
      <c r="U16" s="1459">
        <f t="shared" si="1"/>
        <v>100</v>
      </c>
      <c r="V16" s="1458" t="s">
        <v>8</v>
      </c>
      <c r="W16" s="1459">
        <f t="shared" si="2"/>
        <v>100</v>
      </c>
      <c r="X16" s="1460"/>
      <c r="Y16" s="3604"/>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58" t="s">
        <v>523</v>
      </c>
      <c r="Q17" s="1462" t="str">
        <f t="shared" si="6"/>
        <v>产业集聚程度</v>
      </c>
      <c r="R17" s="1463" t="s">
        <v>8</v>
      </c>
      <c r="S17" s="1464">
        <f t="shared" si="0"/>
        <v>100</v>
      </c>
      <c r="T17" s="1463" t="s">
        <v>8</v>
      </c>
      <c r="U17" s="1464">
        <f t="shared" si="1"/>
        <v>100</v>
      </c>
      <c r="V17" s="1463" t="s">
        <v>8</v>
      </c>
      <c r="W17" s="1464">
        <f t="shared" si="2"/>
        <v>100</v>
      </c>
      <c r="X17" s="1457"/>
      <c r="Y17" s="3658"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659"/>
      <c r="Q18" s="1462"/>
      <c r="R18" s="1463"/>
      <c r="S18" s="1464"/>
      <c r="T18" s="1463"/>
      <c r="U18" s="1464"/>
      <c r="V18" s="1463"/>
      <c r="W18" s="1464"/>
      <c r="X18" s="1457"/>
      <c r="Y18" s="3659"/>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59"/>
      <c r="Q19" s="1462" t="str">
        <f>B19</f>
        <v>交通便捷度</v>
      </c>
      <c r="R19" s="1463" t="s">
        <v>8</v>
      </c>
      <c r="S19" s="1464">
        <f>F19</f>
        <v>100</v>
      </c>
      <c r="T19" s="1463" t="s">
        <v>8</v>
      </c>
      <c r="U19" s="1464">
        <f>H19</f>
        <v>100</v>
      </c>
      <c r="V19" s="1463" t="s">
        <v>8</v>
      </c>
      <c r="W19" s="1464">
        <f>J19</f>
        <v>100</v>
      </c>
      <c r="X19" s="1457"/>
      <c r="Y19" s="3659"/>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659"/>
      <c r="Q21" s="1462" t="str">
        <f t="shared" ref="Q21:Q35" si="8">B21</f>
        <v>区域土地利用方向</v>
      </c>
      <c r="R21" s="1463" t="s">
        <v>8</v>
      </c>
      <c r="S21" s="1464">
        <f>F21</f>
        <v>100</v>
      </c>
      <c r="T21" s="1463" t="s">
        <v>8</v>
      </c>
      <c r="U21" s="1464">
        <f>H21</f>
        <v>100</v>
      </c>
      <c r="V21" s="1463" t="s">
        <v>8</v>
      </c>
      <c r="W21" s="1464">
        <f>J21</f>
        <v>100</v>
      </c>
      <c r="X21" s="1457"/>
      <c r="Y21" s="3659"/>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659"/>
      <c r="Q22" s="1462"/>
      <c r="R22" s="1463"/>
      <c r="S22" s="1464"/>
      <c r="T22" s="1463"/>
      <c r="U22" s="1464"/>
      <c r="V22" s="1463"/>
      <c r="W22" s="1464"/>
      <c r="X22" s="1457"/>
      <c r="Y22" s="3659"/>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59"/>
      <c r="Q23" s="1462" t="str">
        <f t="shared" si="8"/>
        <v>环境状况</v>
      </c>
      <c r="R23" s="1463" t="s">
        <v>8</v>
      </c>
      <c r="S23" s="1464">
        <f>F23</f>
        <v>100</v>
      </c>
      <c r="T23" s="1463" t="s">
        <v>8</v>
      </c>
      <c r="U23" s="1464">
        <f>H23</f>
        <v>100</v>
      </c>
      <c r="V23" s="1463" t="s">
        <v>8</v>
      </c>
      <c r="W23" s="1464">
        <f>J23</f>
        <v>100</v>
      </c>
      <c r="X23" s="1457"/>
      <c r="Y23" s="3659"/>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659"/>
      <c r="Q24" s="1462"/>
      <c r="R24" s="1463"/>
      <c r="S24" s="1464"/>
      <c r="T24" s="1463"/>
      <c r="U24" s="1464"/>
      <c r="V24" s="1463"/>
      <c r="W24" s="1464"/>
      <c r="X24" s="1457"/>
      <c r="Y24" s="3659"/>
      <c r="Z24" s="1465"/>
      <c r="AA24" s="1466">
        <v>1</v>
      </c>
      <c r="AB24" s="1466">
        <v>1</v>
      </c>
      <c r="AC24" s="1466">
        <v>1</v>
      </c>
    </row>
    <row r="25" spans="1:29" s="1166" customFormat="1" ht="42.75">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59"/>
      <c r="Q25" s="1097" t="str">
        <f t="shared" si="8"/>
        <v>公共配套设施</v>
      </c>
      <c r="R25" s="1458" t="s">
        <v>8</v>
      </c>
      <c r="S25" s="1459">
        <f>F25</f>
        <v>100</v>
      </c>
      <c r="T25" s="1458" t="s">
        <v>8</v>
      </c>
      <c r="U25" s="1459">
        <f>H25</f>
        <v>100</v>
      </c>
      <c r="V25" s="1458" t="s">
        <v>8</v>
      </c>
      <c r="W25" s="1459">
        <f>J25</f>
        <v>100</v>
      </c>
      <c r="X25" s="1460"/>
      <c r="Y25" s="3659"/>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659"/>
      <c r="Q26" s="1097"/>
      <c r="R26" s="1458"/>
      <c r="S26" s="1459"/>
      <c r="T26" s="1458"/>
      <c r="U26" s="1459"/>
      <c r="V26" s="1458"/>
      <c r="W26" s="1459"/>
      <c r="X26" s="1460"/>
      <c r="Y26" s="3659"/>
      <c r="Z26" s="1096"/>
      <c r="AA26" s="1461">
        <v>1</v>
      </c>
      <c r="AB26" s="1461">
        <v>1</v>
      </c>
      <c r="AC26" s="1461">
        <v>1</v>
      </c>
    </row>
    <row r="27" spans="1:29" s="1166" customFormat="1" ht="28.5">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59"/>
      <c r="Q27" s="2350" t="str">
        <f t="shared" ref="Q27" si="9">B27</f>
        <v>基础设施水平</v>
      </c>
      <c r="R27" s="1458" t="s">
        <v>8</v>
      </c>
      <c r="S27" s="1459">
        <f>F27</f>
        <v>100</v>
      </c>
      <c r="T27" s="1458" t="s">
        <v>8</v>
      </c>
      <c r="U27" s="1459">
        <f>H27</f>
        <v>100</v>
      </c>
      <c r="V27" s="1458" t="s">
        <v>8</v>
      </c>
      <c r="W27" s="1459">
        <f>J27</f>
        <v>100</v>
      </c>
      <c r="X27" s="1460"/>
      <c r="Y27" s="3659"/>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659"/>
      <c r="Q28" s="2350"/>
      <c r="R28" s="1458"/>
      <c r="S28" s="1459"/>
      <c r="T28" s="1458"/>
      <c r="U28" s="1459"/>
      <c r="V28" s="1458"/>
      <c r="W28" s="1459"/>
      <c r="X28" s="1460"/>
      <c r="Y28" s="3659"/>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59"/>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59"/>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59"/>
      <c r="Q30" s="1462" t="str">
        <f t="shared" si="8"/>
        <v>毗邻道路的类型与等级</v>
      </c>
      <c r="R30" s="1463" t="s">
        <v>8</v>
      </c>
      <c r="S30" s="1464">
        <f t="shared" si="10"/>
        <v>100</v>
      </c>
      <c r="T30" s="1463" t="s">
        <v>8</v>
      </c>
      <c r="U30" s="1464">
        <f t="shared" si="11"/>
        <v>100</v>
      </c>
      <c r="V30" s="1463" t="s">
        <v>8</v>
      </c>
      <c r="W30" s="1464">
        <f t="shared" si="12"/>
        <v>100</v>
      </c>
      <c r="X30" s="1457"/>
      <c r="Y30" s="3659"/>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659"/>
      <c r="Q31" s="1462"/>
      <c r="R31" s="1463"/>
      <c r="S31" s="1464"/>
      <c r="T31" s="1463"/>
      <c r="U31" s="1464"/>
      <c r="V31" s="1463"/>
      <c r="W31" s="1464"/>
      <c r="X31" s="1457"/>
      <c r="Y31" s="3659"/>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59"/>
      <c r="Q32" s="1462" t="str">
        <f t="shared" si="8"/>
        <v>土地级别</v>
      </c>
      <c r="R32" s="1463" t="s">
        <v>8</v>
      </c>
      <c r="S32" s="1464">
        <f t="shared" si="10"/>
        <v>100</v>
      </c>
      <c r="T32" s="1463" t="s">
        <v>8</v>
      </c>
      <c r="U32" s="1464">
        <f t="shared" si="11"/>
        <v>100</v>
      </c>
      <c r="V32" s="1463" t="s">
        <v>8</v>
      </c>
      <c r="W32" s="1464">
        <f t="shared" si="12"/>
        <v>100</v>
      </c>
      <c r="X32" s="1457"/>
      <c r="Y32" s="3659"/>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59"/>
      <c r="Q33" s="1462">
        <f t="shared" si="8"/>
        <v>111</v>
      </c>
      <c r="R33" s="1463" t="s">
        <v>8</v>
      </c>
      <c r="S33" s="1464">
        <f t="shared" si="10"/>
        <v>100</v>
      </c>
      <c r="T33" s="1463" t="s">
        <v>8</v>
      </c>
      <c r="U33" s="1464">
        <f t="shared" si="11"/>
        <v>100</v>
      </c>
      <c r="V33" s="1463" t="s">
        <v>8</v>
      </c>
      <c r="W33" s="1464">
        <f t="shared" si="12"/>
        <v>100</v>
      </c>
      <c r="X33" s="1457"/>
      <c r="Y33" s="3659"/>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60" t="s">
        <v>533</v>
      </c>
      <c r="Q34" s="1462">
        <f t="shared" si="8"/>
        <v>111</v>
      </c>
      <c r="R34" s="1463" t="s">
        <v>8</v>
      </c>
      <c r="S34" s="1464">
        <f t="shared" si="10"/>
        <v>100</v>
      </c>
      <c r="T34" s="1463" t="s">
        <v>8</v>
      </c>
      <c r="U34" s="1464">
        <f t="shared" si="11"/>
        <v>100</v>
      </c>
      <c r="V34" s="1463" t="s">
        <v>8</v>
      </c>
      <c r="W34" s="1464">
        <f t="shared" si="12"/>
        <v>100</v>
      </c>
      <c r="X34" s="1457"/>
      <c r="Y34" s="3661"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61"/>
      <c r="Q35" s="1462">
        <f t="shared" si="8"/>
        <v>111</v>
      </c>
      <c r="R35" s="1467" t="s">
        <v>8</v>
      </c>
      <c r="S35" s="1468">
        <f t="shared" si="10"/>
        <v>100</v>
      </c>
      <c r="T35" s="1467" t="s">
        <v>8</v>
      </c>
      <c r="U35" s="1468">
        <f t="shared" si="11"/>
        <v>100</v>
      </c>
      <c r="V35" s="1467" t="s">
        <v>8</v>
      </c>
      <c r="W35" s="1468">
        <f t="shared" si="12"/>
        <v>100</v>
      </c>
      <c r="X35" s="1469"/>
      <c r="Y35" s="3661"/>
      <c r="Z35" s="1470">
        <f t="shared" si="13"/>
        <v>111</v>
      </c>
      <c r="AA35" s="1466">
        <f t="shared" si="3"/>
        <v>1</v>
      </c>
      <c r="AB35" s="1466">
        <f t="shared" si="4"/>
        <v>1</v>
      </c>
      <c r="AC35" s="1466">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61"/>
      <c r="Q36" s="1462" t="str">
        <f>B36</f>
        <v>宗地面积</v>
      </c>
      <c r="R36" s="1463" t="s">
        <v>8</v>
      </c>
      <c r="S36" s="1464" t="e">
        <f t="shared" si="10"/>
        <v>#N/A</v>
      </c>
      <c r="T36" s="1463" t="s">
        <v>8</v>
      </c>
      <c r="U36" s="1464" t="e">
        <f t="shared" si="11"/>
        <v>#N/A</v>
      </c>
      <c r="V36" s="1463" t="s">
        <v>8</v>
      </c>
      <c r="W36" s="1464" t="e">
        <f t="shared" si="12"/>
        <v>#N/A</v>
      </c>
      <c r="X36" s="1457"/>
      <c r="Y36" s="3661"/>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61"/>
      <c r="Q37" s="1462" t="str">
        <f t="shared" ref="Q37:Q42" si="14">B37</f>
        <v>宗地形状</v>
      </c>
      <c r="R37" s="1463" t="s">
        <v>8</v>
      </c>
      <c r="S37" s="1464">
        <f t="shared" si="10"/>
        <v>100</v>
      </c>
      <c r="T37" s="1463" t="s">
        <v>8</v>
      </c>
      <c r="U37" s="1464">
        <f t="shared" si="11"/>
        <v>100</v>
      </c>
      <c r="V37" s="1463" t="s">
        <v>8</v>
      </c>
      <c r="W37" s="1464">
        <f t="shared" si="12"/>
        <v>100</v>
      </c>
      <c r="X37" s="1457"/>
      <c r="Y37" s="3661"/>
      <c r="Z37" s="1465" t="str">
        <f t="shared" si="13"/>
        <v>宗地形状</v>
      </c>
      <c r="AA37" s="1466">
        <f t="shared" si="3"/>
        <v>1</v>
      </c>
      <c r="AB37" s="1466">
        <f t="shared" si="4"/>
        <v>1</v>
      </c>
      <c r="AC37" s="1466">
        <f t="shared" si="5"/>
        <v>1</v>
      </c>
    </row>
    <row r="38" spans="1:29" s="1166"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61"/>
      <c r="Q38" s="1462" t="str">
        <f t="shared" si="14"/>
        <v>宗地开发程度</v>
      </c>
      <c r="R38" s="1458" t="s">
        <v>8</v>
      </c>
      <c r="S38" s="1459">
        <f t="shared" si="10"/>
        <v>100</v>
      </c>
      <c r="T38" s="1458" t="s">
        <v>8</v>
      </c>
      <c r="U38" s="1459">
        <f t="shared" si="11"/>
        <v>100</v>
      </c>
      <c r="V38" s="1458" t="s">
        <v>8</v>
      </c>
      <c r="W38" s="1459">
        <f t="shared" si="12"/>
        <v>100</v>
      </c>
      <c r="X38" s="1460"/>
      <c r="Y38" s="3661"/>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61" t="s">
        <v>583</v>
      </c>
      <c r="Q39" s="1462" t="str">
        <f t="shared" si="14"/>
        <v>工程地质条件</v>
      </c>
      <c r="R39" s="1463" t="s">
        <v>8</v>
      </c>
      <c r="S39" s="1464">
        <f t="shared" si="10"/>
        <v>100</v>
      </c>
      <c r="T39" s="1463" t="s">
        <v>8</v>
      </c>
      <c r="U39" s="1464">
        <f t="shared" si="11"/>
        <v>100</v>
      </c>
      <c r="V39" s="1463" t="s">
        <v>8</v>
      </c>
      <c r="W39" s="1464">
        <f t="shared" si="12"/>
        <v>100</v>
      </c>
      <c r="X39" s="1457"/>
      <c r="Y39" s="3661"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61"/>
      <c r="Q40" s="1462">
        <f t="shared" si="14"/>
        <v>111</v>
      </c>
      <c r="R40" s="1463" t="s">
        <v>8</v>
      </c>
      <c r="S40" s="1464">
        <f t="shared" si="10"/>
        <v>100</v>
      </c>
      <c r="T40" s="1463" t="s">
        <v>8</v>
      </c>
      <c r="U40" s="1464">
        <f t="shared" si="11"/>
        <v>100</v>
      </c>
      <c r="V40" s="1463" t="s">
        <v>8</v>
      </c>
      <c r="W40" s="1464">
        <f t="shared" si="12"/>
        <v>100</v>
      </c>
      <c r="X40" s="1457"/>
      <c r="Y40" s="3661"/>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61"/>
      <c r="Q41" s="1462">
        <f t="shared" si="14"/>
        <v>111</v>
      </c>
      <c r="R41" s="1463" t="s">
        <v>8</v>
      </c>
      <c r="S41" s="1464">
        <f t="shared" si="10"/>
        <v>100</v>
      </c>
      <c r="T41" s="1463" t="s">
        <v>8</v>
      </c>
      <c r="U41" s="1464">
        <f t="shared" si="11"/>
        <v>100</v>
      </c>
      <c r="V41" s="1463" t="s">
        <v>8</v>
      </c>
      <c r="W41" s="1464">
        <f t="shared" si="12"/>
        <v>100</v>
      </c>
      <c r="X41" s="1457"/>
      <c r="Y41" s="3661"/>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61"/>
      <c r="Q42" s="1462">
        <f t="shared" si="14"/>
        <v>111</v>
      </c>
      <c r="R42" s="1467" t="s">
        <v>8</v>
      </c>
      <c r="S42" s="1468">
        <f t="shared" si="10"/>
        <v>100</v>
      </c>
      <c r="T42" s="1467" t="s">
        <v>8</v>
      </c>
      <c r="U42" s="1468">
        <f t="shared" si="11"/>
        <v>100</v>
      </c>
      <c r="V42" s="1467" t="s">
        <v>8</v>
      </c>
      <c r="W42" s="1468">
        <f t="shared" si="12"/>
        <v>100</v>
      </c>
      <c r="X42" s="1469"/>
      <c r="Y42" s="3661"/>
      <c r="Z42" s="1470">
        <f t="shared" si="13"/>
        <v>111</v>
      </c>
      <c r="AA42" s="1466">
        <f t="shared" si="3"/>
        <v>1</v>
      </c>
      <c r="AB42" s="1466">
        <f t="shared" si="4"/>
        <v>1</v>
      </c>
      <c r="AC42" s="1466">
        <f t="shared" si="5"/>
        <v>1</v>
      </c>
    </row>
    <row r="43" spans="1:29" ht="15">
      <c r="A43" s="584" t="s">
        <v>539</v>
      </c>
      <c r="B43" s="585" t="s">
        <v>2631</v>
      </c>
      <c r="C43" s="586" t="s">
        <v>1</v>
      </c>
      <c r="D43" s="587"/>
      <c r="E43" s="588"/>
      <c r="F43" s="589"/>
      <c r="G43" s="590"/>
      <c r="H43" s="591"/>
      <c r="I43" s="588"/>
      <c r="J43" s="591"/>
      <c r="K43" s="1249"/>
      <c r="L43" s="1980"/>
      <c r="M43" s="1970"/>
      <c r="N43" s="1970"/>
      <c r="O43" s="1981"/>
      <c r="P43" s="3656" t="str">
        <f>A43</f>
        <v>成交单价</v>
      </c>
      <c r="Q43" s="3656"/>
      <c r="R43" s="3672">
        <f>E43</f>
        <v>0</v>
      </c>
      <c r="S43" s="3672"/>
      <c r="T43" s="3672">
        <f>G43</f>
        <v>0</v>
      </c>
      <c r="U43" s="3672"/>
      <c r="V43" s="3672">
        <f>I43</f>
        <v>0</v>
      </c>
      <c r="W43" s="3672"/>
      <c r="X43" s="1452"/>
      <c r="Y43" s="1471"/>
      <c r="Z43" s="1452"/>
      <c r="AA43" s="1452"/>
      <c r="AB43" s="1452"/>
      <c r="AC43" s="1452"/>
    </row>
    <row r="44" spans="1:29" ht="15.75" thickBot="1">
      <c r="A44" s="592" t="s">
        <v>2410</v>
      </c>
      <c r="B44" s="593"/>
      <c r="C44" s="594" t="e">
        <f>R45</f>
        <v>#DIV/0!</v>
      </c>
      <c r="D44" s="2922" t="s">
        <v>2697</v>
      </c>
      <c r="E44" s="594" t="e">
        <f>R44</f>
        <v>#DIV/0!</v>
      </c>
      <c r="F44" s="2923"/>
      <c r="G44" s="595" t="e">
        <f>T44</f>
        <v>#DIV/0!</v>
      </c>
      <c r="H44" s="2923"/>
      <c r="I44" s="594" t="e">
        <f>V44</f>
        <v>#DIV/0!</v>
      </c>
      <c r="J44" s="2923"/>
      <c r="K44" s="2924">
        <f>F44+H44+J44</f>
        <v>0</v>
      </c>
      <c r="L44" s="1980"/>
      <c r="M44" s="1970"/>
      <c r="N44" s="1970"/>
      <c r="O44" s="1981"/>
      <c r="P44" s="3656" t="str">
        <f>A44</f>
        <v>比较价格（元/平方米）</v>
      </c>
      <c r="Q44" s="3656"/>
      <c r="R44" s="3680" t="e">
        <f>ROUND(PRODUCT(R43,AA9:AA42),0)</f>
        <v>#DIV/0!</v>
      </c>
      <c r="S44" s="3680"/>
      <c r="T44" s="3680" t="e">
        <f>ROUND(PRODUCT(T43,AB9:AB42),0)</f>
        <v>#DIV/0!</v>
      </c>
      <c r="U44" s="3680"/>
      <c r="V44" s="3680" t="e">
        <f>ROUND(PRODUCT(V43,AC9:AC42),0)</f>
        <v>#DIV/0!</v>
      </c>
      <c r="W44" s="3680"/>
      <c r="X44" s="1452"/>
      <c r="Y44" s="1452"/>
      <c r="Z44" s="1452"/>
      <c r="AA44" s="1452"/>
      <c r="AB44" s="1452"/>
      <c r="AC44" s="1452"/>
    </row>
    <row r="45" spans="1:29" ht="15.75" thickBot="1">
      <c r="A45" s="596" t="s">
        <v>2632</v>
      </c>
      <c r="B45" s="597"/>
      <c r="C45" s="598" t="e">
        <f>R45</f>
        <v>#DIV/0!</v>
      </c>
      <c r="D45" s="598"/>
      <c r="E45" s="598"/>
      <c r="F45" s="598"/>
      <c r="G45" s="598"/>
      <c r="H45" s="598"/>
      <c r="I45" s="598"/>
      <c r="J45" s="598"/>
      <c r="K45" s="1250"/>
      <c r="L45" s="1980"/>
      <c r="M45" s="1970"/>
      <c r="N45" s="1970"/>
      <c r="O45" s="1981"/>
      <c r="P45" s="3662" t="str">
        <f>A45</f>
        <v>估价对象XX用房的比较价格（楼面单价，元/平方米）</v>
      </c>
      <c r="Q45" s="3663"/>
      <c r="R45" s="3685" t="e">
        <f>ROUND(IF(D44="简单平均",AVERAGE(R44:W44),R44*F44+T44*H44+V44*J44),0)</f>
        <v>#DIV/0!</v>
      </c>
      <c r="S45" s="3685"/>
      <c r="T45" s="3685"/>
      <c r="U45" s="3685"/>
      <c r="V45" s="3685"/>
      <c r="W45" s="3685"/>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681" t="s">
        <v>2075</v>
      </c>
      <c r="H52" s="3682"/>
      <c r="I52" s="1821" t="s">
        <v>1737</v>
      </c>
      <c r="J52" s="1449" t="str">
        <f>项目基本情况!F41</f>
        <v>海南省</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43511.83</v>
      </c>
      <c r="F53" s="1819" t="e">
        <f t="shared" ref="F53:F61" si="15">ROUND(B53*E53/10000,0)</f>
        <v>#DIV/0!</v>
      </c>
      <c r="G53" s="3683"/>
      <c r="H53" s="3684"/>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7725.79</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97473.98</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2022-5-1</v>
      </c>
      <c r="D64" s="2438">
        <f>EDATE(C64,-3)</f>
        <v>44593</v>
      </c>
      <c r="E64" s="2438">
        <f t="shared" ref="E64:N64" si="18">EDATE(D64,-3)</f>
        <v>44501</v>
      </c>
      <c r="F64" s="2438">
        <f t="shared" si="18"/>
        <v>44409</v>
      </c>
      <c r="G64" s="2438">
        <f t="shared" si="18"/>
        <v>44317</v>
      </c>
      <c r="H64" s="2438">
        <f t="shared" si="18"/>
        <v>44228</v>
      </c>
      <c r="I64" s="2438">
        <f t="shared" si="18"/>
        <v>44136</v>
      </c>
      <c r="J64" s="2438">
        <f t="shared" si="18"/>
        <v>44044</v>
      </c>
      <c r="K64" s="2438">
        <f t="shared" si="18"/>
        <v>43952</v>
      </c>
      <c r="L64" s="2438">
        <f t="shared" si="18"/>
        <v>43862</v>
      </c>
      <c r="M64" s="2438">
        <f t="shared" si="18"/>
        <v>43770</v>
      </c>
      <c r="N64" s="2438">
        <f t="shared" si="18"/>
        <v>43678</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1"/>
      <c r="C66" s="2435" t="str">
        <f>YEAR(C64)&amp;"-"&amp;ROUNDUP(MONTH(C64)/3,0)</f>
        <v>2022-2</v>
      </c>
      <c r="D66" s="2440" t="str">
        <f t="shared" ref="D66:N66" si="19">YEAR(D64)&amp;"-"&amp;ROUNDUP(MONTH(D64)/3,0)</f>
        <v>2022-1</v>
      </c>
      <c r="E66" s="2440" t="str">
        <f t="shared" si="19"/>
        <v>2021-4</v>
      </c>
      <c r="F66" s="2440" t="str">
        <f t="shared" si="19"/>
        <v>2021-3</v>
      </c>
      <c r="G66" s="2440" t="str">
        <f t="shared" si="19"/>
        <v>2021-2</v>
      </c>
      <c r="H66" s="2440" t="str">
        <f t="shared" si="19"/>
        <v>2021-1</v>
      </c>
      <c r="I66" s="2440" t="str">
        <f t="shared" si="19"/>
        <v>2020-4</v>
      </c>
      <c r="J66" s="2440" t="str">
        <f t="shared" si="19"/>
        <v>2020-3</v>
      </c>
      <c r="K66" s="2440" t="str">
        <f t="shared" si="19"/>
        <v>2020-2</v>
      </c>
      <c r="L66" s="2440" t="str">
        <f t="shared" si="19"/>
        <v>2020-1</v>
      </c>
      <c r="M66" s="2440" t="str">
        <f t="shared" si="19"/>
        <v>2019-4</v>
      </c>
      <c r="N66" s="2440" t="str">
        <f t="shared" si="19"/>
        <v>2019-3</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2" t="str">
        <f>"北京市平均增长率"&amp;TEXT(基准地价!P24,"0.00%")</f>
        <v>北京市平均增长率1.16%</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2266</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2268</v>
      </c>
      <c r="C94" s="2364" t="s">
        <v>2269</v>
      </c>
      <c r="D94" s="2364" t="s">
        <v>2270</v>
      </c>
      <c r="E94" s="2364" t="s">
        <v>2271</v>
      </c>
      <c r="F94" s="2364" t="s">
        <v>2272</v>
      </c>
      <c r="G94" s="2364" t="s">
        <v>2273</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2212</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694"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2481</v>
      </c>
      <c r="X7" s="2566">
        <f>G2</f>
        <v>0</v>
      </c>
      <c r="Y7" s="2566" t="s">
        <v>2482</v>
      </c>
      <c r="Z7" s="2567">
        <f>G3</f>
        <v>0</v>
      </c>
      <c r="AA7" s="2027"/>
      <c r="AB7" s="2027"/>
      <c r="AC7" s="2028"/>
      <c r="AD7" s="2568"/>
      <c r="AE7" s="2568"/>
      <c r="AF7" s="2568"/>
      <c r="AG7" s="2568"/>
      <c r="AH7" s="2568"/>
      <c r="AI7" s="2568"/>
      <c r="AJ7" s="2569"/>
    </row>
    <row r="8" spans="1:39" ht="15">
      <c r="A8" s="3695"/>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05" t="s">
        <v>2499</v>
      </c>
      <c r="X8" s="3706"/>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695"/>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04"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695"/>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04"/>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695"/>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04" t="s">
        <v>2497</v>
      </c>
      <c r="X11" s="1017" t="s">
        <v>2482</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694"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04"/>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696"/>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04"/>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696"/>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697"/>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694" t="s">
        <v>1638</v>
      </c>
      <c r="B16" s="1331" t="s">
        <v>929</v>
      </c>
      <c r="C16" s="1021" t="e">
        <f>ROUND(IF(F17="与级别开发程度一致",0,(G17-E17)/C17),0)</f>
        <v>#DIV/0!</v>
      </c>
      <c r="D16" s="3712" t="s">
        <v>933</v>
      </c>
      <c r="E16" s="3713"/>
      <c r="F16" s="3712" t="s">
        <v>930</v>
      </c>
      <c r="G16" s="3713"/>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698"/>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44701</v>
      </c>
      <c r="H19" s="1371" t="s">
        <v>2682</v>
      </c>
      <c r="I19" s="2425" t="str">
        <f>IF(H19="季度增幅（自定义）",SUMIF(N21:N24,E2,O21:O24),"")</f>
        <v/>
      </c>
      <c r="J19" s="1367"/>
      <c r="K19" s="3142"/>
      <c r="L19" s="2672" t="s">
        <v>2555</v>
      </c>
      <c r="M19" s="2673">
        <f>ROUND(SUMIF(地价!B2:F2,E2,地价!B41:F41),0)</f>
        <v>0</v>
      </c>
      <c r="N19" s="2427" t="s">
        <v>1476</v>
      </c>
      <c r="O19" s="2426">
        <f>ROUNDDOWN(DATEDIF(E19,G19,"M")/3,0)</f>
        <v>33</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存贷款利率!E20/100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2715</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0.01</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0.01</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1.7600000000000001E-2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1.1599999999999999E-2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1.6E-2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01"/>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01" t="s">
        <v>2719</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02"/>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02"/>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02"/>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02"/>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03"/>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03"/>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2677</v>
      </c>
      <c r="C41" s="811" t="e">
        <f>ROUND(POWER(1+E41,H41-G41)*(POWER(1+E41,G41)-1)/(POWER(1+E41,H41)-1),4)</f>
        <v>#DIV/0!</v>
      </c>
      <c r="D41" s="372" t="s">
        <v>2675</v>
      </c>
      <c r="E41" s="2750">
        <f>G20</f>
        <v>0</v>
      </c>
      <c r="F41" s="372" t="s">
        <v>2676</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f>估价对象房地状况!C16</f>
        <v>0</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f>估价对象房地状况!C18</f>
        <v>0</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2634</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2633</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f>估价对象房地状况!C21</f>
        <v>0</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f>估价对象房地状况!C22</f>
        <v>0</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f>估价对象房地状况!C20</f>
        <v>0</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f>估价对象房地状况!C17</f>
        <v>0</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f>估价对象房地状况!C18</f>
        <v>0</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2635</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2633</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f>估价对象房地状况!C21</f>
        <v>0</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f>估价对象房地状况!C22</f>
        <v>0</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f>估价对象房地状况!C20</f>
        <v>0</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f>估价对象房地状况!C15</f>
        <v>0</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f>估价对象房地状况!C18</f>
        <v>0</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f>估价对象房地状况!C21</f>
        <v>0</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f>估价对象房地状况!C22</f>
        <v>0</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2633</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f>估价对象房地状况!C20</f>
        <v>0</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2633</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699" t="s">
        <v>1434</v>
      </c>
      <c r="B90" s="3699"/>
      <c r="C90" s="3699"/>
      <c r="D90" s="3699"/>
      <c r="E90" s="3699"/>
      <c r="F90" s="3699"/>
      <c r="G90" s="3699"/>
      <c r="H90" s="3699"/>
      <c r="I90" s="3699"/>
      <c r="J90" s="3699"/>
      <c r="K90" s="2259"/>
      <c r="L90" s="2259"/>
      <c r="M90" s="2259"/>
      <c r="N90" s="2259"/>
    </row>
    <row r="91" spans="1:40">
      <c r="A91" s="3700" t="s">
        <v>1422</v>
      </c>
      <c r="B91" s="3700" t="s">
        <v>1435</v>
      </c>
      <c r="C91" s="1086" t="s">
        <v>1436</v>
      </c>
      <c r="D91" s="1087"/>
      <c r="E91" s="1087"/>
      <c r="F91" s="1087"/>
      <c r="G91" s="1087"/>
      <c r="H91" s="1087"/>
      <c r="I91" s="1087"/>
      <c r="J91" s="1088"/>
      <c r="K91" s="1080"/>
      <c r="L91" s="1080"/>
      <c r="M91" s="1080"/>
      <c r="N91" s="1080"/>
    </row>
    <row r="92" spans="1:40">
      <c r="A92" s="3700"/>
      <c r="B92" s="3700"/>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07"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8"/>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8"/>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8"/>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8"/>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8"/>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8"/>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09"/>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07" t="s">
        <v>1438</v>
      </c>
      <c r="B101" s="1093" t="s">
        <v>885</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08"/>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08"/>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08"/>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08"/>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08"/>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08"/>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08"/>
      <c r="B108" s="3710"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09"/>
      <c r="B109" s="3711"/>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693" t="s">
        <v>1440</v>
      </c>
      <c r="B110" s="3693"/>
      <c r="C110" s="3693"/>
      <c r="D110" s="3693"/>
      <c r="E110" s="3693"/>
      <c r="F110" s="3693"/>
      <c r="G110" s="3693"/>
      <c r="H110" s="3693"/>
      <c r="I110" s="3693"/>
      <c r="J110" s="3693"/>
      <c r="K110" s="2257"/>
      <c r="L110" s="2257"/>
      <c r="M110" s="2257"/>
      <c r="N110" s="2257"/>
    </row>
    <row r="112" spans="1:14" ht="12.75" thickBot="1"/>
    <row r="113" spans="1:13" ht="25.5" thickBot="1">
      <c r="A113" s="985" t="s">
        <v>875</v>
      </c>
      <c r="B113" s="2260">
        <f>G3</f>
        <v>0</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880</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881</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882</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2889</v>
      </c>
      <c r="B2" s="3401">
        <v>3.5</v>
      </c>
      <c r="C2" s="3401">
        <v>3.5</v>
      </c>
      <c r="D2" s="3402">
        <v>2.5</v>
      </c>
      <c r="E2" s="3402">
        <v>2.5</v>
      </c>
      <c r="F2" s="3402">
        <v>2.5</v>
      </c>
      <c r="G2" s="3402">
        <v>2.5</v>
      </c>
      <c r="H2" s="3402">
        <v>2.5</v>
      </c>
      <c r="I2" s="3401">
        <v>2</v>
      </c>
      <c r="J2" s="3401">
        <v>2</v>
      </c>
      <c r="K2" s="3401">
        <v>2</v>
      </c>
      <c r="L2" s="3401">
        <v>2</v>
      </c>
      <c r="M2" s="3403">
        <v>2</v>
      </c>
    </row>
    <row r="3" spans="1:13">
      <c r="A3" s="3404" t="s">
        <v>2890</v>
      </c>
      <c r="B3" s="3405">
        <v>3.5</v>
      </c>
      <c r="C3" s="3405">
        <v>3.5</v>
      </c>
      <c r="D3" s="3406">
        <v>2.5</v>
      </c>
      <c r="E3" s="3406">
        <v>2.5</v>
      </c>
      <c r="F3" s="3406">
        <v>2.5</v>
      </c>
      <c r="G3" s="3406">
        <v>2.5</v>
      </c>
      <c r="H3" s="3406">
        <v>2.5</v>
      </c>
      <c r="I3" s="3405">
        <v>2</v>
      </c>
      <c r="J3" s="3405">
        <v>2</v>
      </c>
      <c r="K3" s="3405">
        <v>2</v>
      </c>
      <c r="L3" s="3405">
        <v>2</v>
      </c>
      <c r="M3" s="3407">
        <v>2</v>
      </c>
    </row>
    <row r="4" spans="1:13">
      <c r="A4" s="3404" t="s">
        <v>2891</v>
      </c>
      <c r="B4" s="3406">
        <v>2.5</v>
      </c>
      <c r="C4" s="3406">
        <v>2.5</v>
      </c>
      <c r="D4" s="3406">
        <v>2.5</v>
      </c>
      <c r="E4" s="3406">
        <v>2.5</v>
      </c>
      <c r="F4" s="3406">
        <v>2.5</v>
      </c>
      <c r="G4" s="3406">
        <v>2.5</v>
      </c>
      <c r="H4" s="3406">
        <v>2.5</v>
      </c>
      <c r="I4" s="3405">
        <v>1.5</v>
      </c>
      <c r="J4" s="3405">
        <v>1.5</v>
      </c>
      <c r="K4" s="3405">
        <v>1.5</v>
      </c>
      <c r="L4" s="3405">
        <v>1.5</v>
      </c>
      <c r="M4" s="3407">
        <v>1.5</v>
      </c>
    </row>
    <row r="5" spans="1:13">
      <c r="A5" s="3408" t="s">
        <v>2892</v>
      </c>
      <c r="B5" s="3405">
        <v>1.5</v>
      </c>
      <c r="C5" s="3405">
        <v>1.5</v>
      </c>
      <c r="D5" s="3405">
        <v>1.5</v>
      </c>
      <c r="E5" s="3405">
        <v>1.5</v>
      </c>
      <c r="F5" s="3405">
        <v>1.5</v>
      </c>
      <c r="G5" s="3405">
        <v>1.2</v>
      </c>
      <c r="H5" s="3405">
        <v>1.2</v>
      </c>
      <c r="I5" s="3405">
        <v>1</v>
      </c>
      <c r="J5" s="3405">
        <v>1</v>
      </c>
      <c r="K5" s="3405">
        <v>1</v>
      </c>
      <c r="L5" s="3405">
        <v>1</v>
      </c>
      <c r="M5" s="3407">
        <v>1</v>
      </c>
    </row>
    <row r="6" spans="1:13">
      <c r="A6" s="3409" t="s">
        <v>2893</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2894</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2679</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2895</v>
      </c>
      <c r="B19" s="3423" t="s">
        <v>2896</v>
      </c>
      <c r="C19" s="3424" t="s">
        <v>2897</v>
      </c>
      <c r="D19" s="3425"/>
      <c r="E19" s="3419" t="s">
        <v>2898</v>
      </c>
      <c r="F19" s="1078"/>
      <c r="G19" s="1078"/>
    </row>
    <row r="20" spans="1:13" s="1485" customFormat="1">
      <c r="A20" s="3717" t="s">
        <v>2889</v>
      </c>
      <c r="B20" s="3720" t="s">
        <v>2899</v>
      </c>
      <c r="C20" s="3426" t="s">
        <v>2900</v>
      </c>
      <c r="D20" s="3427"/>
      <c r="E20" s="3428">
        <v>1</v>
      </c>
      <c r="F20" s="3429" t="s">
        <v>2901</v>
      </c>
      <c r="G20" s="1080"/>
      <c r="H20" s="1070"/>
      <c r="I20" s="1070"/>
    </row>
    <row r="21" spans="1:13" s="1485" customFormat="1">
      <c r="A21" s="3718"/>
      <c r="B21" s="3721"/>
      <c r="C21" s="3430" t="s">
        <v>2902</v>
      </c>
      <c r="D21" s="3431"/>
      <c r="E21" s="3432">
        <v>1</v>
      </c>
      <c r="F21" s="3429" t="s">
        <v>2903</v>
      </c>
      <c r="G21" s="1080"/>
      <c r="H21" s="1070"/>
      <c r="I21" s="1070"/>
    </row>
    <row r="22" spans="1:13" s="1485" customFormat="1">
      <c r="A22" s="3718"/>
      <c r="B22" s="3721"/>
      <c r="C22" s="3430" t="s">
        <v>2904</v>
      </c>
      <c r="D22" s="3431"/>
      <c r="E22" s="3432">
        <v>0.9</v>
      </c>
      <c r="F22" s="3429" t="s">
        <v>2905</v>
      </c>
      <c r="G22" s="1080"/>
      <c r="H22" s="1070"/>
      <c r="I22" s="1070"/>
    </row>
    <row r="23" spans="1:13" s="1485" customFormat="1">
      <c r="A23" s="3718"/>
      <c r="B23" s="3721"/>
      <c r="C23" s="3430" t="s">
        <v>2906</v>
      </c>
      <c r="D23" s="3431"/>
      <c r="E23" s="3432">
        <v>0.9</v>
      </c>
      <c r="F23" s="3429" t="s">
        <v>2907</v>
      </c>
      <c r="G23" s="1080"/>
      <c r="H23" s="1070"/>
      <c r="I23" s="1070"/>
    </row>
    <row r="24" spans="1:13" s="1485" customFormat="1">
      <c r="A24" s="3718"/>
      <c r="B24" s="3721"/>
      <c r="C24" s="3430" t="s">
        <v>2908</v>
      </c>
      <c r="D24" s="3431"/>
      <c r="E24" s="3432">
        <v>0.8</v>
      </c>
      <c r="F24" s="3429" t="s">
        <v>2909</v>
      </c>
      <c r="G24" s="1080"/>
      <c r="H24" s="1070"/>
      <c r="I24" s="1070"/>
    </row>
    <row r="25" spans="1:13" s="1485" customFormat="1" ht="14.25" thickBot="1">
      <c r="A25" s="3719"/>
      <c r="B25" s="3722"/>
      <c r="C25" s="3433" t="s">
        <v>2910</v>
      </c>
      <c r="D25" s="3434"/>
      <c r="E25" s="3435">
        <v>0.8</v>
      </c>
      <c r="F25" s="3429" t="s">
        <v>2911</v>
      </c>
      <c r="G25" s="1080"/>
      <c r="H25" s="1070"/>
      <c r="I25" s="1070"/>
    </row>
    <row r="26" spans="1:13" s="1485" customFormat="1" ht="14.25" thickBot="1">
      <c r="A26" s="3436" t="s">
        <v>2890</v>
      </c>
      <c r="B26" s="3437" t="s">
        <v>2899</v>
      </c>
      <c r="C26" s="3438" t="s">
        <v>2912</v>
      </c>
      <c r="D26" s="3439"/>
      <c r="E26" s="3440">
        <v>1</v>
      </c>
      <c r="F26" s="3429" t="s">
        <v>2913</v>
      </c>
      <c r="G26" s="1080"/>
      <c r="H26" s="1070"/>
      <c r="I26" s="1070"/>
    </row>
    <row r="27" spans="1:13" s="1485" customFormat="1">
      <c r="A27" s="3723" t="s">
        <v>2894</v>
      </c>
      <c r="B27" s="3720" t="s">
        <v>2894</v>
      </c>
      <c r="C27" s="3426" t="s">
        <v>2914</v>
      </c>
      <c r="D27" s="3427"/>
      <c r="E27" s="3428">
        <v>1</v>
      </c>
      <c r="F27" s="3429" t="s">
        <v>2915</v>
      </c>
      <c r="G27" s="1080"/>
      <c r="H27" s="1070"/>
      <c r="I27" s="1070"/>
    </row>
    <row r="28" spans="1:13" s="1485" customFormat="1">
      <c r="A28" s="3724"/>
      <c r="B28" s="3721"/>
      <c r="C28" s="3430" t="s">
        <v>2916</v>
      </c>
      <c r="D28" s="3431"/>
      <c r="E28" s="3432">
        <v>1</v>
      </c>
      <c r="F28" s="3429" t="s">
        <v>2917</v>
      </c>
      <c r="G28" s="1080"/>
      <c r="H28" s="1070"/>
      <c r="I28" s="1070"/>
    </row>
    <row r="29" spans="1:13" s="1485" customFormat="1">
      <c r="A29" s="3724"/>
      <c r="B29" s="3721"/>
      <c r="C29" s="3430" t="s">
        <v>2918</v>
      </c>
      <c r="D29" s="3431"/>
      <c r="E29" s="3432">
        <v>0.8</v>
      </c>
      <c r="F29" s="3429" t="s">
        <v>2919</v>
      </c>
      <c r="G29" s="1080"/>
      <c r="H29" s="1070"/>
      <c r="I29" s="1070"/>
    </row>
    <row r="30" spans="1:13" s="1485" customFormat="1">
      <c r="A30" s="3724"/>
      <c r="B30" s="3721"/>
      <c r="C30" s="3430" t="s">
        <v>2920</v>
      </c>
      <c r="D30" s="3431"/>
      <c r="E30" s="3432">
        <v>0.8</v>
      </c>
      <c r="F30" s="3429" t="s">
        <v>2921</v>
      </c>
      <c r="G30" s="1080"/>
      <c r="H30" s="1070"/>
      <c r="I30" s="1070"/>
    </row>
    <row r="31" spans="1:13" s="1485" customFormat="1">
      <c r="A31" s="3724"/>
      <c r="B31" s="3721"/>
      <c r="C31" s="3430" t="s">
        <v>2922</v>
      </c>
      <c r="D31" s="3431"/>
      <c r="E31" s="3432">
        <v>0.8</v>
      </c>
      <c r="F31" s="3429" t="s">
        <v>2923</v>
      </c>
      <c r="G31" s="1080"/>
      <c r="H31" s="1070"/>
      <c r="I31" s="1070"/>
    </row>
    <row r="32" spans="1:13" s="1485" customFormat="1">
      <c r="A32" s="3724"/>
      <c r="B32" s="3721"/>
      <c r="C32" s="3430" t="s">
        <v>2924</v>
      </c>
      <c r="D32" s="3431"/>
      <c r="E32" s="3432">
        <v>0.7</v>
      </c>
      <c r="F32" s="3429" t="s">
        <v>2925</v>
      </c>
      <c r="G32" s="1080"/>
      <c r="H32" s="1070"/>
      <c r="I32" s="1070"/>
    </row>
    <row r="33" spans="1:9" s="1485" customFormat="1">
      <c r="A33" s="3724"/>
      <c r="B33" s="3721"/>
      <c r="C33" s="3430" t="s">
        <v>2926</v>
      </c>
      <c r="D33" s="3431"/>
      <c r="E33" s="3432">
        <v>0.8</v>
      </c>
      <c r="F33" s="3429" t="s">
        <v>2927</v>
      </c>
      <c r="G33" s="1080"/>
      <c r="H33" s="1070"/>
      <c r="I33" s="1070"/>
    </row>
    <row r="34" spans="1:9" s="1485" customFormat="1">
      <c r="A34" s="3724"/>
      <c r="B34" s="3721"/>
      <c r="C34" s="3430" t="s">
        <v>2928</v>
      </c>
      <c r="D34" s="3431"/>
      <c r="E34" s="3432">
        <v>0.6</v>
      </c>
      <c r="F34" s="3429" t="s">
        <v>2929</v>
      </c>
      <c r="G34" s="1080"/>
      <c r="H34" s="1070"/>
      <c r="I34" s="1070"/>
    </row>
    <row r="35" spans="1:9" s="1485" customFormat="1">
      <c r="A35" s="3724"/>
      <c r="B35" s="3721"/>
      <c r="C35" s="3430" t="s">
        <v>2930</v>
      </c>
      <c r="D35" s="3431"/>
      <c r="E35" s="3432">
        <v>0.2</v>
      </c>
      <c r="F35" s="3429" t="s">
        <v>2931</v>
      </c>
      <c r="G35" s="1080"/>
      <c r="H35" s="1070"/>
      <c r="I35" s="1070"/>
    </row>
    <row r="36" spans="1:9" s="1485" customFormat="1">
      <c r="A36" s="3724"/>
      <c r="B36" s="3721"/>
      <c r="C36" s="3430" t="s">
        <v>2932</v>
      </c>
      <c r="D36" s="3431"/>
      <c r="E36" s="3432">
        <v>0.2</v>
      </c>
      <c r="F36" s="3429" t="s">
        <v>2933</v>
      </c>
      <c r="G36" s="1080"/>
      <c r="H36" s="1070"/>
      <c r="I36" s="1070"/>
    </row>
    <row r="37" spans="1:9" s="1485" customFormat="1">
      <c r="A37" s="3724"/>
      <c r="B37" s="3715" t="s">
        <v>2934</v>
      </c>
      <c r="C37" s="3430" t="s">
        <v>2935</v>
      </c>
      <c r="D37" s="3431"/>
      <c r="E37" s="3432">
        <v>0.6</v>
      </c>
      <c r="F37" s="3429" t="s">
        <v>2936</v>
      </c>
      <c r="G37" s="1080"/>
      <c r="H37" s="1070"/>
      <c r="I37" s="1070"/>
    </row>
    <row r="38" spans="1:9" s="1485" customFormat="1">
      <c r="A38" s="3724"/>
      <c r="B38" s="3721"/>
      <c r="C38" s="3430" t="s">
        <v>2937</v>
      </c>
      <c r="D38" s="3431"/>
      <c r="E38" s="3432">
        <v>0.6</v>
      </c>
      <c r="F38" s="3429" t="s">
        <v>2938</v>
      </c>
      <c r="G38" s="1080"/>
      <c r="H38" s="1070"/>
      <c r="I38" s="1070"/>
    </row>
    <row r="39" spans="1:9" s="1485" customFormat="1" ht="14.25" thickBot="1">
      <c r="A39" s="3725"/>
      <c r="B39" s="3722"/>
      <c r="C39" s="3433" t="s">
        <v>2939</v>
      </c>
      <c r="D39" s="3434"/>
      <c r="E39" s="3435">
        <v>0.6</v>
      </c>
      <c r="F39" s="3429" t="s">
        <v>2940</v>
      </c>
      <c r="G39" s="1080"/>
      <c r="H39" s="1070"/>
      <c r="I39" s="1070"/>
    </row>
    <row r="40" spans="1:9" s="1485" customFormat="1" ht="14.25" thickBot="1">
      <c r="A40" s="3436" t="s">
        <v>2891</v>
      </c>
      <c r="B40" s="3437" t="s">
        <v>2891</v>
      </c>
      <c r="C40" s="3438" t="s">
        <v>2941</v>
      </c>
      <c r="D40" s="3439"/>
      <c r="E40" s="3440">
        <v>1</v>
      </c>
      <c r="F40" s="3429" t="s">
        <v>2942</v>
      </c>
      <c r="G40" s="1080"/>
      <c r="H40" s="1070"/>
      <c r="I40" s="1070"/>
    </row>
    <row r="41" spans="1:9" s="1485" customFormat="1">
      <c r="A41" s="3717" t="s">
        <v>2892</v>
      </c>
      <c r="B41" s="3720" t="s">
        <v>2943</v>
      </c>
      <c r="C41" s="3426" t="s">
        <v>2944</v>
      </c>
      <c r="D41" s="3427"/>
      <c r="E41" s="3428">
        <v>1</v>
      </c>
      <c r="F41" s="3429" t="s">
        <v>2945</v>
      </c>
      <c r="G41" s="1080"/>
      <c r="H41" s="1070"/>
      <c r="I41" s="1070"/>
    </row>
    <row r="42" spans="1:9" s="1485" customFormat="1">
      <c r="A42" s="3718"/>
      <c r="B42" s="3721"/>
      <c r="C42" s="3430" t="s">
        <v>2946</v>
      </c>
      <c r="D42" s="3431"/>
      <c r="E42" s="3432">
        <v>1</v>
      </c>
      <c r="F42" s="3429" t="s">
        <v>2947</v>
      </c>
      <c r="G42" s="1080"/>
      <c r="H42" s="1070"/>
      <c r="I42" s="1070"/>
    </row>
    <row r="43" spans="1:9" s="1485" customFormat="1">
      <c r="A43" s="3718"/>
      <c r="B43" s="3716"/>
      <c r="C43" s="3430" t="s">
        <v>2948</v>
      </c>
      <c r="D43" s="3431"/>
      <c r="E43" s="3432">
        <v>1.5</v>
      </c>
      <c r="F43" s="3429" t="s">
        <v>2949</v>
      </c>
      <c r="G43" s="1080"/>
      <c r="H43" s="1070"/>
      <c r="I43" s="1070"/>
    </row>
    <row r="44" spans="1:9" s="1485" customFormat="1">
      <c r="A44" s="3718"/>
      <c r="B44" s="3441" t="s">
        <v>2894</v>
      </c>
      <c r="C44" s="3430" t="s">
        <v>2893</v>
      </c>
      <c r="D44" s="3431"/>
      <c r="E44" s="3432">
        <v>2</v>
      </c>
      <c r="F44" s="3429" t="s">
        <v>2950</v>
      </c>
      <c r="G44" s="1080"/>
      <c r="H44" s="1070"/>
      <c r="I44" s="1070"/>
    </row>
    <row r="45" spans="1:9" s="1485" customFormat="1">
      <c r="A45" s="3718"/>
      <c r="B45" s="3715" t="s">
        <v>2951</v>
      </c>
      <c r="C45" s="3430" t="s">
        <v>2952</v>
      </c>
      <c r="D45" s="3431"/>
      <c r="E45" s="3432">
        <v>1</v>
      </c>
      <c r="F45" s="3429" t="s">
        <v>2953</v>
      </c>
      <c r="G45" s="1080"/>
      <c r="H45" s="1070"/>
      <c r="I45" s="1070"/>
    </row>
    <row r="46" spans="1:9" s="1485" customFormat="1">
      <c r="A46" s="3718"/>
      <c r="B46" s="3721"/>
      <c r="C46" s="3430" t="s">
        <v>2954</v>
      </c>
      <c r="D46" s="3431"/>
      <c r="E46" s="3432">
        <v>1</v>
      </c>
      <c r="F46" s="3429" t="s">
        <v>2955</v>
      </c>
      <c r="G46" s="1080"/>
      <c r="H46" s="1070"/>
      <c r="I46" s="1070"/>
    </row>
    <row r="47" spans="1:9" s="1485" customFormat="1">
      <c r="A47" s="3718"/>
      <c r="B47" s="3721"/>
      <c r="C47" s="3430" t="s">
        <v>2956</v>
      </c>
      <c r="D47" s="3431"/>
      <c r="E47" s="3432">
        <v>1</v>
      </c>
      <c r="F47" s="3429" t="s">
        <v>2957</v>
      </c>
      <c r="G47" s="1080"/>
      <c r="H47" s="1070"/>
      <c r="I47" s="1070"/>
    </row>
    <row r="48" spans="1:9" s="1485" customFormat="1">
      <c r="A48" s="3718"/>
      <c r="B48" s="3721"/>
      <c r="C48" s="3430" t="s">
        <v>2958</v>
      </c>
      <c r="D48" s="3431"/>
      <c r="E48" s="3432">
        <v>1</v>
      </c>
      <c r="F48" s="3429" t="s">
        <v>2959</v>
      </c>
      <c r="G48" s="1080"/>
      <c r="H48" s="1070"/>
      <c r="I48" s="1070"/>
    </row>
    <row r="49" spans="1:9" s="1485" customFormat="1">
      <c r="A49" s="3718"/>
      <c r="B49" s="3721"/>
      <c r="C49" s="3430" t="s">
        <v>2960</v>
      </c>
      <c r="D49" s="3431"/>
      <c r="E49" s="3432">
        <v>1</v>
      </c>
      <c r="F49" s="3429" t="s">
        <v>2961</v>
      </c>
      <c r="G49" s="1080"/>
      <c r="H49" s="1070"/>
      <c r="I49" s="1070"/>
    </row>
    <row r="50" spans="1:9" s="1485" customFormat="1">
      <c r="A50" s="3718"/>
      <c r="B50" s="3721"/>
      <c r="C50" s="3430" t="s">
        <v>2962</v>
      </c>
      <c r="D50" s="3431"/>
      <c r="E50" s="3432">
        <v>1</v>
      </c>
      <c r="F50" s="3429" t="s">
        <v>2963</v>
      </c>
      <c r="G50" s="1080"/>
      <c r="H50" s="1070"/>
      <c r="I50" s="1070"/>
    </row>
    <row r="51" spans="1:9" s="1485" customFormat="1" ht="14.25" thickBot="1">
      <c r="A51" s="3719"/>
      <c r="B51" s="3722"/>
      <c r="C51" s="3433" t="s">
        <v>2964</v>
      </c>
      <c r="D51" s="3434"/>
      <c r="E51" s="3435">
        <v>1</v>
      </c>
      <c r="F51" s="3429" t="s">
        <v>2965</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2966</v>
      </c>
      <c r="D72" s="1100"/>
      <c r="E72" s="1085" t="s">
        <v>1420</v>
      </c>
      <c r="F72" s="1100" t="s">
        <v>1420</v>
      </c>
    </row>
    <row r="73" spans="1:8" s="1070" customFormat="1">
      <c r="A73" s="3441">
        <v>1</v>
      </c>
      <c r="B73" s="3715" t="s">
        <v>2967</v>
      </c>
      <c r="C73" s="3419" t="s">
        <v>2968</v>
      </c>
      <c r="D73" s="3419" t="s">
        <v>2969</v>
      </c>
      <c r="E73" s="3442">
        <v>0.2</v>
      </c>
      <c r="F73" s="3441">
        <v>25</v>
      </c>
      <c r="H73" s="1070">
        <f>SUMIF(C71:C139,基准地价!C8,E71:E139)</f>
        <v>0</v>
      </c>
    </row>
    <row r="74" spans="1:8" s="1070" customFormat="1" ht="24">
      <c r="A74" s="3441">
        <v>2</v>
      </c>
      <c r="B74" s="3721"/>
      <c r="C74" s="3419" t="s">
        <v>2970</v>
      </c>
      <c r="D74" s="3419" t="s">
        <v>2971</v>
      </c>
      <c r="E74" s="3442">
        <v>0.2</v>
      </c>
      <c r="F74" s="3441">
        <v>25</v>
      </c>
    </row>
    <row r="75" spans="1:8" s="1070" customFormat="1" ht="24">
      <c r="A75" s="3441">
        <v>3</v>
      </c>
      <c r="B75" s="3721"/>
      <c r="C75" s="3419" t="s">
        <v>2972</v>
      </c>
      <c r="D75" s="3419" t="s">
        <v>2973</v>
      </c>
      <c r="E75" s="3442">
        <v>0.2</v>
      </c>
      <c r="F75" s="3441">
        <v>25</v>
      </c>
    </row>
    <row r="76" spans="1:8" s="1070" customFormat="1">
      <c r="A76" s="3441">
        <v>4</v>
      </c>
      <c r="B76" s="3721"/>
      <c r="C76" s="3419" t="s">
        <v>2974</v>
      </c>
      <c r="D76" s="3419" t="s">
        <v>2975</v>
      </c>
      <c r="E76" s="3442">
        <v>0.15</v>
      </c>
      <c r="F76" s="3441">
        <v>20</v>
      </c>
    </row>
    <row r="77" spans="1:8" s="1070" customFormat="1" ht="24">
      <c r="A77" s="3441">
        <v>5</v>
      </c>
      <c r="B77" s="3721"/>
      <c r="C77" s="3419" t="s">
        <v>2976</v>
      </c>
      <c r="D77" s="3419" t="s">
        <v>2977</v>
      </c>
      <c r="E77" s="3442">
        <v>0.15</v>
      </c>
      <c r="F77" s="3441">
        <v>20</v>
      </c>
    </row>
    <row r="78" spans="1:8" s="1070" customFormat="1" ht="24">
      <c r="A78" s="3441">
        <v>6</v>
      </c>
      <c r="B78" s="3721"/>
      <c r="C78" s="3419" t="s">
        <v>2978</v>
      </c>
      <c r="D78" s="3419" t="s">
        <v>2979</v>
      </c>
      <c r="E78" s="3442">
        <v>0.15</v>
      </c>
      <c r="F78" s="3441">
        <v>20</v>
      </c>
    </row>
    <row r="79" spans="1:8" s="1070" customFormat="1" ht="24">
      <c r="A79" s="3441">
        <v>7</v>
      </c>
      <c r="B79" s="3721"/>
      <c r="C79" s="3419" t="s">
        <v>2980</v>
      </c>
      <c r="D79" s="3419" t="s">
        <v>2981</v>
      </c>
      <c r="E79" s="3442">
        <v>0.15</v>
      </c>
      <c r="F79" s="3441">
        <v>20</v>
      </c>
    </row>
    <row r="80" spans="1:8" s="1070" customFormat="1" ht="24">
      <c r="A80" s="3441">
        <v>8</v>
      </c>
      <c r="B80" s="3721"/>
      <c r="C80" s="3419" t="s">
        <v>2982</v>
      </c>
      <c r="D80" s="3419" t="s">
        <v>2983</v>
      </c>
      <c r="E80" s="3442">
        <v>0.1</v>
      </c>
      <c r="F80" s="3441">
        <v>15</v>
      </c>
    </row>
    <row r="81" spans="1:6" s="1070" customFormat="1" ht="24">
      <c r="A81" s="3441">
        <v>9</v>
      </c>
      <c r="B81" s="3721"/>
      <c r="C81" s="3419" t="s">
        <v>2984</v>
      </c>
      <c r="D81" s="3419" t="s">
        <v>2985</v>
      </c>
      <c r="E81" s="3442">
        <v>0.1</v>
      </c>
      <c r="F81" s="3441">
        <v>15</v>
      </c>
    </row>
    <row r="82" spans="1:6" s="1070" customFormat="1" ht="24">
      <c r="A82" s="3441">
        <v>10</v>
      </c>
      <c r="B82" s="3721"/>
      <c r="C82" s="3419" t="s">
        <v>2986</v>
      </c>
      <c r="D82" s="3419" t="s">
        <v>2987</v>
      </c>
      <c r="E82" s="3442">
        <v>0.1</v>
      </c>
      <c r="F82" s="3441">
        <v>15</v>
      </c>
    </row>
    <row r="83" spans="1:6" s="1070" customFormat="1" ht="24">
      <c r="A83" s="3441">
        <v>11</v>
      </c>
      <c r="B83" s="3721"/>
      <c r="C83" s="3419" t="s">
        <v>2988</v>
      </c>
      <c r="D83" s="3419" t="s">
        <v>2989</v>
      </c>
      <c r="E83" s="3442">
        <v>0.1</v>
      </c>
      <c r="F83" s="3441">
        <v>15</v>
      </c>
    </row>
    <row r="84" spans="1:6" s="1070" customFormat="1" ht="24">
      <c r="A84" s="3441">
        <v>12</v>
      </c>
      <c r="B84" s="3721"/>
      <c r="C84" s="3419" t="s">
        <v>2990</v>
      </c>
      <c r="D84" s="3419" t="s">
        <v>2991</v>
      </c>
      <c r="E84" s="3442">
        <v>0.1</v>
      </c>
      <c r="F84" s="3441">
        <v>15</v>
      </c>
    </row>
    <row r="85" spans="1:6" s="1070" customFormat="1">
      <c r="A85" s="3441">
        <v>13</v>
      </c>
      <c r="B85" s="3721"/>
      <c r="C85" s="3419" t="s">
        <v>2992</v>
      </c>
      <c r="D85" s="3419" t="s">
        <v>2993</v>
      </c>
      <c r="E85" s="3442">
        <v>0.1</v>
      </c>
      <c r="F85" s="3441">
        <v>15</v>
      </c>
    </row>
    <row r="86" spans="1:6" s="1070" customFormat="1">
      <c r="A86" s="3441">
        <v>14</v>
      </c>
      <c r="B86" s="3721"/>
      <c r="C86" s="3419" t="s">
        <v>2994</v>
      </c>
      <c r="D86" s="3419" t="s">
        <v>2995</v>
      </c>
      <c r="E86" s="3442">
        <v>0.1</v>
      </c>
      <c r="F86" s="3441">
        <v>15</v>
      </c>
    </row>
    <row r="87" spans="1:6" s="1070" customFormat="1">
      <c r="A87" s="3441">
        <v>15</v>
      </c>
      <c r="B87" s="3721"/>
      <c r="C87" s="3419" t="s">
        <v>2996</v>
      </c>
      <c r="D87" s="3419" t="s">
        <v>2997</v>
      </c>
      <c r="E87" s="3442">
        <v>0.1</v>
      </c>
      <c r="F87" s="3441">
        <v>15</v>
      </c>
    </row>
    <row r="88" spans="1:6" s="1070" customFormat="1" ht="24">
      <c r="A88" s="3441">
        <v>16</v>
      </c>
      <c r="B88" s="3721"/>
      <c r="C88" s="3419" t="s">
        <v>2998</v>
      </c>
      <c r="D88" s="3419" t="s">
        <v>2999</v>
      </c>
      <c r="E88" s="3442">
        <v>0.1</v>
      </c>
      <c r="F88" s="3441">
        <v>15</v>
      </c>
    </row>
    <row r="89" spans="1:6" s="1070" customFormat="1" ht="24">
      <c r="A89" s="3441">
        <v>17</v>
      </c>
      <c r="B89" s="3716"/>
      <c r="C89" s="3419" t="s">
        <v>3000</v>
      </c>
      <c r="D89" s="3419" t="s">
        <v>3001</v>
      </c>
      <c r="E89" s="3442">
        <v>0.1</v>
      </c>
      <c r="F89" s="3441">
        <v>15</v>
      </c>
    </row>
    <row r="90" spans="1:6" s="1070" customFormat="1">
      <c r="A90" s="3441">
        <v>18</v>
      </c>
      <c r="B90" s="3715" t="s">
        <v>3002</v>
      </c>
      <c r="C90" s="3419" t="s">
        <v>3003</v>
      </c>
      <c r="D90" s="3419" t="s">
        <v>3004</v>
      </c>
      <c r="E90" s="3442">
        <v>0.2</v>
      </c>
      <c r="F90" s="3441">
        <v>25</v>
      </c>
    </row>
    <row r="91" spans="1:6" s="1070" customFormat="1" ht="24">
      <c r="A91" s="3441">
        <v>19</v>
      </c>
      <c r="B91" s="3721"/>
      <c r="C91" s="3419" t="s">
        <v>3005</v>
      </c>
      <c r="D91" s="3419" t="s">
        <v>3006</v>
      </c>
      <c r="E91" s="3442">
        <v>0.2</v>
      </c>
      <c r="F91" s="3441">
        <v>25</v>
      </c>
    </row>
    <row r="92" spans="1:6" s="1070" customFormat="1">
      <c r="A92" s="3441">
        <v>20</v>
      </c>
      <c r="B92" s="3721"/>
      <c r="C92" s="3419" t="s">
        <v>3007</v>
      </c>
      <c r="D92" s="3419" t="s">
        <v>3008</v>
      </c>
      <c r="E92" s="3442">
        <v>0.15</v>
      </c>
      <c r="F92" s="3441">
        <v>20</v>
      </c>
    </row>
    <row r="93" spans="1:6" s="1070" customFormat="1" ht="24">
      <c r="A93" s="3441">
        <v>21</v>
      </c>
      <c r="B93" s="3721"/>
      <c r="C93" s="3419" t="s">
        <v>3009</v>
      </c>
      <c r="D93" s="3419" t="s">
        <v>3010</v>
      </c>
      <c r="E93" s="3442">
        <v>0.15</v>
      </c>
      <c r="F93" s="3441">
        <v>20</v>
      </c>
    </row>
    <row r="94" spans="1:6" s="1070" customFormat="1" ht="24">
      <c r="A94" s="3441">
        <v>22</v>
      </c>
      <c r="B94" s="3721"/>
      <c r="C94" s="3419" t="s">
        <v>3011</v>
      </c>
      <c r="D94" s="3419" t="s">
        <v>3012</v>
      </c>
      <c r="E94" s="3442">
        <v>0.15</v>
      </c>
      <c r="F94" s="3441">
        <v>20</v>
      </c>
    </row>
    <row r="95" spans="1:6" s="1070" customFormat="1" ht="36">
      <c r="A95" s="3441">
        <v>23</v>
      </c>
      <c r="B95" s="3721"/>
      <c r="C95" s="3419" t="s">
        <v>3013</v>
      </c>
      <c r="D95" s="3419" t="s">
        <v>3014</v>
      </c>
      <c r="E95" s="3442">
        <v>0.15</v>
      </c>
      <c r="F95" s="3441">
        <v>20</v>
      </c>
    </row>
    <row r="96" spans="1:6" s="1070" customFormat="1">
      <c r="A96" s="3441">
        <v>24</v>
      </c>
      <c r="B96" s="3721"/>
      <c r="C96" s="3419" t="s">
        <v>3015</v>
      </c>
      <c r="D96" s="3419" t="s">
        <v>3016</v>
      </c>
      <c r="E96" s="3442">
        <v>0.1</v>
      </c>
      <c r="F96" s="3441">
        <v>15</v>
      </c>
    </row>
    <row r="97" spans="1:6" s="1070" customFormat="1" ht="24">
      <c r="A97" s="3441">
        <v>25</v>
      </c>
      <c r="B97" s="3721"/>
      <c r="C97" s="3419" t="s">
        <v>3017</v>
      </c>
      <c r="D97" s="3419" t="s">
        <v>3018</v>
      </c>
      <c r="E97" s="3442">
        <v>0.1</v>
      </c>
      <c r="F97" s="3441">
        <v>15</v>
      </c>
    </row>
    <row r="98" spans="1:6" s="1070" customFormat="1" ht="24">
      <c r="A98" s="3441">
        <v>26</v>
      </c>
      <c r="B98" s="3721"/>
      <c r="C98" s="3419" t="s">
        <v>3019</v>
      </c>
      <c r="D98" s="3419" t="s">
        <v>3020</v>
      </c>
      <c r="E98" s="3442">
        <v>0.1</v>
      </c>
      <c r="F98" s="3441">
        <v>15</v>
      </c>
    </row>
    <row r="99" spans="1:6" s="1070" customFormat="1" ht="24">
      <c r="A99" s="3441">
        <v>27</v>
      </c>
      <c r="B99" s="3721"/>
      <c r="C99" s="3419" t="s">
        <v>3021</v>
      </c>
      <c r="D99" s="3419" t="s">
        <v>3022</v>
      </c>
      <c r="E99" s="3442">
        <v>0.1</v>
      </c>
      <c r="F99" s="3441">
        <v>15</v>
      </c>
    </row>
    <row r="100" spans="1:6" s="1070" customFormat="1" ht="24">
      <c r="A100" s="3441">
        <v>28</v>
      </c>
      <c r="B100" s="3721"/>
      <c r="C100" s="3419" t="s">
        <v>3023</v>
      </c>
      <c r="D100" s="3419" t="s">
        <v>3024</v>
      </c>
      <c r="E100" s="3442">
        <v>0.1</v>
      </c>
      <c r="F100" s="3441">
        <v>15</v>
      </c>
    </row>
    <row r="101" spans="1:6" s="1070" customFormat="1" ht="24">
      <c r="A101" s="3441">
        <v>29</v>
      </c>
      <c r="B101" s="3721"/>
      <c r="C101" s="3419" t="s">
        <v>3025</v>
      </c>
      <c r="D101" s="3419" t="s">
        <v>3026</v>
      </c>
      <c r="E101" s="3442">
        <v>0.1</v>
      </c>
      <c r="F101" s="3441">
        <v>15</v>
      </c>
    </row>
    <row r="102" spans="1:6" s="1070" customFormat="1" ht="24">
      <c r="A102" s="3441">
        <v>30</v>
      </c>
      <c r="B102" s="3721"/>
      <c r="C102" s="3419" t="s">
        <v>3027</v>
      </c>
      <c r="D102" s="3419" t="s">
        <v>3028</v>
      </c>
      <c r="E102" s="3442">
        <v>0.1</v>
      </c>
      <c r="F102" s="3441">
        <v>15</v>
      </c>
    </row>
    <row r="103" spans="1:6" s="1070" customFormat="1" ht="24">
      <c r="A103" s="3441">
        <v>31</v>
      </c>
      <c r="B103" s="3721"/>
      <c r="C103" s="3419" t="s">
        <v>3029</v>
      </c>
      <c r="D103" s="3419" t="s">
        <v>3030</v>
      </c>
      <c r="E103" s="3442">
        <v>0.1</v>
      </c>
      <c r="F103" s="3441">
        <v>15</v>
      </c>
    </row>
    <row r="104" spans="1:6" s="1070" customFormat="1" ht="24">
      <c r="A104" s="3441">
        <v>32</v>
      </c>
      <c r="B104" s="3721"/>
      <c r="C104" s="3419" t="s">
        <v>3031</v>
      </c>
      <c r="D104" s="3419" t="s">
        <v>3032</v>
      </c>
      <c r="E104" s="3442">
        <v>0.1</v>
      </c>
      <c r="F104" s="3441">
        <v>15</v>
      </c>
    </row>
    <row r="105" spans="1:6" s="1070" customFormat="1" ht="24">
      <c r="A105" s="3441">
        <v>33</v>
      </c>
      <c r="B105" s="3721"/>
      <c r="C105" s="3419" t="s">
        <v>3033</v>
      </c>
      <c r="D105" s="3419" t="s">
        <v>3034</v>
      </c>
      <c r="E105" s="3442">
        <v>0.1</v>
      </c>
      <c r="F105" s="3441">
        <v>15</v>
      </c>
    </row>
    <row r="106" spans="1:6" s="1070" customFormat="1" ht="24">
      <c r="A106" s="3441">
        <v>34</v>
      </c>
      <c r="B106" s="3716"/>
      <c r="C106" s="3419" t="s">
        <v>3035</v>
      </c>
      <c r="D106" s="3419" t="s">
        <v>3036</v>
      </c>
      <c r="E106" s="3442">
        <v>0.1</v>
      </c>
      <c r="F106" s="3441">
        <v>15</v>
      </c>
    </row>
    <row r="107" spans="1:6" s="1070" customFormat="1" ht="24">
      <c r="A107" s="3441">
        <v>35</v>
      </c>
      <c r="B107" s="3715" t="s">
        <v>3037</v>
      </c>
      <c r="C107" s="3441" t="s">
        <v>3038</v>
      </c>
      <c r="D107" s="3419" t="s">
        <v>3039</v>
      </c>
      <c r="E107" s="3442">
        <v>0.15</v>
      </c>
      <c r="F107" s="3441">
        <v>20</v>
      </c>
    </row>
    <row r="108" spans="1:6" s="1070" customFormat="1" ht="24">
      <c r="A108" s="3441">
        <v>36</v>
      </c>
      <c r="B108" s="3721"/>
      <c r="C108" s="3441" t="s">
        <v>3040</v>
      </c>
      <c r="D108" s="3419" t="s">
        <v>3041</v>
      </c>
      <c r="E108" s="3442">
        <v>0.15</v>
      </c>
      <c r="F108" s="3441">
        <v>20</v>
      </c>
    </row>
    <row r="109" spans="1:6" s="1070" customFormat="1" ht="24">
      <c r="A109" s="3441">
        <v>37</v>
      </c>
      <c r="B109" s="3721"/>
      <c r="C109" s="3441" t="s">
        <v>3042</v>
      </c>
      <c r="D109" s="3419" t="s">
        <v>3043</v>
      </c>
      <c r="E109" s="3442">
        <v>0.15</v>
      </c>
      <c r="F109" s="3441">
        <v>20</v>
      </c>
    </row>
    <row r="110" spans="1:6" s="1070" customFormat="1">
      <c r="A110" s="3441">
        <v>38</v>
      </c>
      <c r="B110" s="3721"/>
      <c r="C110" s="3441" t="s">
        <v>3044</v>
      </c>
      <c r="D110" s="3419" t="s">
        <v>3045</v>
      </c>
      <c r="E110" s="3442">
        <v>0.1</v>
      </c>
      <c r="F110" s="3441">
        <v>15</v>
      </c>
    </row>
    <row r="111" spans="1:6" s="1070" customFormat="1" ht="24">
      <c r="A111" s="3441">
        <v>39</v>
      </c>
      <c r="B111" s="3721"/>
      <c r="C111" s="3441" t="s">
        <v>3046</v>
      </c>
      <c r="D111" s="3419" t="s">
        <v>3047</v>
      </c>
      <c r="E111" s="3442">
        <v>0.1</v>
      </c>
      <c r="F111" s="3441">
        <v>15</v>
      </c>
    </row>
    <row r="112" spans="1:6" s="1070" customFormat="1" ht="24">
      <c r="A112" s="3441">
        <v>40</v>
      </c>
      <c r="B112" s="3716"/>
      <c r="C112" s="3441" t="s">
        <v>3048</v>
      </c>
      <c r="D112" s="3419" t="s">
        <v>3049</v>
      </c>
      <c r="E112" s="3442">
        <v>0.1</v>
      </c>
      <c r="F112" s="3441">
        <v>15</v>
      </c>
    </row>
    <row r="113" spans="1:6" s="1070" customFormat="1" ht="24">
      <c r="A113" s="3441">
        <v>41</v>
      </c>
      <c r="B113" s="3714" t="s">
        <v>3050</v>
      </c>
      <c r="C113" s="3441" t="s">
        <v>3051</v>
      </c>
      <c r="D113" s="3419" t="s">
        <v>3052</v>
      </c>
      <c r="E113" s="3442">
        <v>0.1</v>
      </c>
      <c r="F113" s="3441">
        <v>15</v>
      </c>
    </row>
    <row r="114" spans="1:6" s="1070" customFormat="1">
      <c r="A114" s="3441">
        <v>42</v>
      </c>
      <c r="B114" s="3714"/>
      <c r="C114" s="3441" t="s">
        <v>3053</v>
      </c>
      <c r="D114" s="3419" t="s">
        <v>3054</v>
      </c>
      <c r="E114" s="3442">
        <v>0.1</v>
      </c>
      <c r="F114" s="3441">
        <v>15</v>
      </c>
    </row>
    <row r="115" spans="1:6" s="1070" customFormat="1" ht="24">
      <c r="A115" s="3441">
        <v>43</v>
      </c>
      <c r="B115" s="3714"/>
      <c r="C115" s="3441" t="s">
        <v>3055</v>
      </c>
      <c r="D115" s="3419" t="s">
        <v>3056</v>
      </c>
      <c r="E115" s="3442">
        <v>0.1</v>
      </c>
      <c r="F115" s="3441">
        <v>15</v>
      </c>
    </row>
    <row r="116" spans="1:6" s="1070" customFormat="1" ht="24">
      <c r="A116" s="3441">
        <v>44</v>
      </c>
      <c r="B116" s="3715" t="s">
        <v>3057</v>
      </c>
      <c r="C116" s="3441" t="s">
        <v>3058</v>
      </c>
      <c r="D116" s="3419" t="s">
        <v>3059</v>
      </c>
      <c r="E116" s="3442">
        <v>0.1</v>
      </c>
      <c r="F116" s="3441">
        <v>15</v>
      </c>
    </row>
    <row r="117" spans="1:6" s="1070" customFormat="1" ht="24">
      <c r="A117" s="3441">
        <v>45</v>
      </c>
      <c r="B117" s="3716"/>
      <c r="C117" s="3419" t="s">
        <v>3060</v>
      </c>
      <c r="D117" s="3419" t="s">
        <v>3061</v>
      </c>
      <c r="E117" s="3442">
        <v>0.1</v>
      </c>
      <c r="F117" s="3441">
        <v>15</v>
      </c>
    </row>
    <row r="118" spans="1:6" s="1070" customFormat="1" ht="24">
      <c r="A118" s="3441">
        <v>46</v>
      </c>
      <c r="B118" s="3715" t="s">
        <v>3062</v>
      </c>
      <c r="C118" s="3441" t="s">
        <v>3063</v>
      </c>
      <c r="D118" s="3419" t="s">
        <v>3064</v>
      </c>
      <c r="E118" s="3442">
        <v>0.1</v>
      </c>
      <c r="F118" s="3441">
        <v>15</v>
      </c>
    </row>
    <row r="119" spans="1:6" s="1070" customFormat="1" ht="24">
      <c r="A119" s="3441">
        <v>47</v>
      </c>
      <c r="B119" s="3716"/>
      <c r="C119" s="3441" t="s">
        <v>3065</v>
      </c>
      <c r="D119" s="3419" t="s">
        <v>3066</v>
      </c>
      <c r="E119" s="3442">
        <v>0.1</v>
      </c>
      <c r="F119" s="3441">
        <v>15</v>
      </c>
    </row>
    <row r="120" spans="1:6" s="1070" customFormat="1" ht="24">
      <c r="A120" s="3441">
        <v>48</v>
      </c>
      <c r="B120" s="3715" t="s">
        <v>3067</v>
      </c>
      <c r="C120" s="3441" t="s">
        <v>3068</v>
      </c>
      <c r="D120" s="3419" t="s">
        <v>3069</v>
      </c>
      <c r="E120" s="3442">
        <v>0.1</v>
      </c>
      <c r="F120" s="3441">
        <v>15</v>
      </c>
    </row>
    <row r="121" spans="1:6" s="1070" customFormat="1">
      <c r="A121" s="3441">
        <v>49</v>
      </c>
      <c r="B121" s="3716"/>
      <c r="C121" s="3441" t="s">
        <v>3070</v>
      </c>
      <c r="D121" s="3419" t="s">
        <v>3071</v>
      </c>
      <c r="E121" s="3442">
        <v>0.1</v>
      </c>
      <c r="F121" s="3441">
        <v>15</v>
      </c>
    </row>
    <row r="122" spans="1:6" s="1070" customFormat="1" ht="24">
      <c r="A122" s="3441">
        <v>50</v>
      </c>
      <c r="B122" s="3714" t="s">
        <v>3072</v>
      </c>
      <c r="C122" s="3441" t="s">
        <v>3073</v>
      </c>
      <c r="D122" s="3419" t="s">
        <v>3074</v>
      </c>
      <c r="E122" s="3442">
        <v>0.1</v>
      </c>
      <c r="F122" s="3441">
        <v>15</v>
      </c>
    </row>
    <row r="123" spans="1:6" s="1070" customFormat="1" ht="24">
      <c r="A123" s="3441">
        <v>51</v>
      </c>
      <c r="B123" s="3714"/>
      <c r="C123" s="3441" t="s">
        <v>3075</v>
      </c>
      <c r="D123" s="3419" t="s">
        <v>3076</v>
      </c>
      <c r="E123" s="3442">
        <v>0.1</v>
      </c>
      <c r="F123" s="3441">
        <v>15</v>
      </c>
    </row>
    <row r="124" spans="1:6" s="1070" customFormat="1" ht="24">
      <c r="A124" s="3441">
        <v>52</v>
      </c>
      <c r="B124" s="3714" t="s">
        <v>3077</v>
      </c>
      <c r="C124" s="3441" t="s">
        <v>3078</v>
      </c>
      <c r="D124" s="3419" t="s">
        <v>3079</v>
      </c>
      <c r="E124" s="3442">
        <v>0.1</v>
      </c>
      <c r="F124" s="3441">
        <v>15</v>
      </c>
    </row>
    <row r="125" spans="1:6" s="1070" customFormat="1" ht="24">
      <c r="A125" s="3441">
        <v>53</v>
      </c>
      <c r="B125" s="3714"/>
      <c r="C125" s="3441" t="s">
        <v>3080</v>
      </c>
      <c r="D125" s="3419" t="s">
        <v>3081</v>
      </c>
      <c r="E125" s="3442">
        <v>0.1</v>
      </c>
      <c r="F125" s="3441">
        <v>15</v>
      </c>
    </row>
    <row r="126" spans="1:6" ht="24">
      <c r="A126" s="3441">
        <v>54</v>
      </c>
      <c r="B126" s="3441" t="s">
        <v>3082</v>
      </c>
      <c r="C126" s="3441" t="s">
        <v>3083</v>
      </c>
      <c r="D126" s="3419" t="s">
        <v>3084</v>
      </c>
      <c r="E126" s="3442">
        <v>0.1</v>
      </c>
      <c r="F126" s="3441">
        <v>15</v>
      </c>
    </row>
    <row r="127" spans="1:6">
      <c r="A127" s="3441">
        <v>55</v>
      </c>
      <c r="B127" s="3714" t="s">
        <v>3085</v>
      </c>
      <c r="C127" s="3441" t="s">
        <v>3086</v>
      </c>
      <c r="D127" s="3419" t="s">
        <v>3087</v>
      </c>
      <c r="E127" s="3442">
        <v>0.1</v>
      </c>
      <c r="F127" s="3441">
        <v>15</v>
      </c>
    </row>
    <row r="128" spans="1:6">
      <c r="A128" s="3441">
        <v>56</v>
      </c>
      <c r="B128" s="3714"/>
      <c r="C128" s="3441" t="s">
        <v>3088</v>
      </c>
      <c r="D128" s="3419" t="s">
        <v>3089</v>
      </c>
      <c r="E128" s="3442">
        <v>0.1</v>
      </c>
      <c r="F128" s="3441">
        <v>15</v>
      </c>
    </row>
    <row r="129" spans="1:14" ht="24">
      <c r="A129" s="3441">
        <v>57</v>
      </c>
      <c r="B129" s="3714"/>
      <c r="C129" s="3441" t="s">
        <v>3090</v>
      </c>
      <c r="D129" s="3419" t="s">
        <v>3091</v>
      </c>
      <c r="E129" s="3442">
        <v>0.1</v>
      </c>
      <c r="F129" s="3441">
        <v>15</v>
      </c>
    </row>
    <row r="130" spans="1:14" ht="24">
      <c r="A130" s="3441">
        <v>58</v>
      </c>
      <c r="B130" s="3714" t="s">
        <v>3092</v>
      </c>
      <c r="C130" s="3441" t="s">
        <v>3093</v>
      </c>
      <c r="D130" s="3419" t="s">
        <v>3094</v>
      </c>
      <c r="E130" s="3442">
        <v>0.1</v>
      </c>
      <c r="F130" s="3441">
        <v>15</v>
      </c>
    </row>
    <row r="131" spans="1:14" ht="24">
      <c r="A131" s="3441">
        <v>59</v>
      </c>
      <c r="B131" s="3714"/>
      <c r="C131" s="3441" t="s">
        <v>3095</v>
      </c>
      <c r="D131" s="3419" t="s">
        <v>3096</v>
      </c>
      <c r="E131" s="3442">
        <v>0.1</v>
      </c>
      <c r="F131" s="3441">
        <v>15</v>
      </c>
    </row>
    <row r="132" spans="1:14" ht="24">
      <c r="A132" s="3441">
        <v>60</v>
      </c>
      <c r="B132" s="3715" t="s">
        <v>3097</v>
      </c>
      <c r="C132" s="3441" t="s">
        <v>3098</v>
      </c>
      <c r="D132" s="3419" t="s">
        <v>3099</v>
      </c>
      <c r="E132" s="3442">
        <v>0.1</v>
      </c>
      <c r="F132" s="3441">
        <v>15</v>
      </c>
    </row>
    <row r="133" spans="1:14" ht="24">
      <c r="A133" s="3441">
        <v>61</v>
      </c>
      <c r="B133" s="3716"/>
      <c r="C133" s="3441" t="s">
        <v>3100</v>
      </c>
      <c r="D133" s="3419" t="s">
        <v>3101</v>
      </c>
      <c r="E133" s="3442">
        <v>0.1</v>
      </c>
      <c r="F133" s="3441">
        <v>15</v>
      </c>
    </row>
    <row r="134" spans="1:14" ht="24">
      <c r="A134" s="3441">
        <v>62</v>
      </c>
      <c r="B134" s="3441" t="s">
        <v>3102</v>
      </c>
      <c r="C134" s="3441" t="s">
        <v>3103</v>
      </c>
      <c r="D134" s="3419" t="s">
        <v>3104</v>
      </c>
      <c r="E134" s="3442">
        <v>0.1</v>
      </c>
      <c r="F134" s="3441">
        <v>15</v>
      </c>
    </row>
    <row r="135" spans="1:14" ht="24">
      <c r="A135" s="3441">
        <v>63</v>
      </c>
      <c r="B135" s="3714" t="s">
        <v>3105</v>
      </c>
      <c r="C135" s="3441" t="s">
        <v>3106</v>
      </c>
      <c r="D135" s="3419" t="s">
        <v>3107</v>
      </c>
      <c r="E135" s="3442">
        <v>0.1</v>
      </c>
      <c r="F135" s="3441">
        <v>15</v>
      </c>
    </row>
    <row r="136" spans="1:14">
      <c r="A136" s="3441">
        <v>64</v>
      </c>
      <c r="B136" s="3714"/>
      <c r="C136" s="3441" t="s">
        <v>3108</v>
      </c>
      <c r="D136" s="3419" t="s">
        <v>3109</v>
      </c>
      <c r="E136" s="3442">
        <v>0.1</v>
      </c>
      <c r="F136" s="3441">
        <v>15</v>
      </c>
    </row>
    <row r="137" spans="1:14" ht="24">
      <c r="A137" s="3441">
        <v>65</v>
      </c>
      <c r="B137" s="3441" t="s">
        <v>3110</v>
      </c>
      <c r="C137" s="3441" t="s">
        <v>3111</v>
      </c>
      <c r="D137" s="3419" t="s">
        <v>3112</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699" t="s">
        <v>1434</v>
      </c>
      <c r="B141" s="3699"/>
      <c r="C141" s="3699"/>
      <c r="D141" s="3699"/>
      <c r="E141" s="3699"/>
      <c r="F141" s="3699"/>
      <c r="G141" s="3699"/>
      <c r="H141" s="3699"/>
      <c r="I141" s="3699"/>
      <c r="J141" s="3699"/>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26" t="s">
        <v>1018</v>
      </c>
      <c r="B1" s="3726"/>
      <c r="C1" s="3726"/>
      <c r="D1" s="3726"/>
      <c r="E1" s="3726"/>
      <c r="F1" s="3726"/>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27" t="s">
        <v>1031</v>
      </c>
      <c r="B2" s="3727"/>
      <c r="C2" s="3727"/>
      <c r="D2" s="3727"/>
      <c r="E2" s="3727"/>
      <c r="F2" s="3727"/>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28"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29"/>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30" t="s">
        <v>1871</v>
      </c>
      <c r="B1" s="3730"/>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33" t="s">
        <v>2293</v>
      </c>
      <c r="C1" s="3733"/>
      <c r="D1" s="3733"/>
      <c r="E1" s="3733"/>
      <c r="F1" s="3733"/>
      <c r="G1" s="3732" t="s">
        <v>2294</v>
      </c>
      <c r="H1" s="3732"/>
      <c r="I1" s="3732"/>
      <c r="J1" s="3732"/>
      <c r="K1" s="3732"/>
      <c r="L1" s="3732"/>
      <c r="N1" s="3732" t="s">
        <v>2295</v>
      </c>
      <c r="O1" s="3732"/>
      <c r="P1" s="3732"/>
      <c r="Q1" s="3732"/>
      <c r="S1" s="3732" t="s">
        <v>2296</v>
      </c>
      <c r="T1" s="3732"/>
      <c r="U1" s="3732"/>
      <c r="V1" s="3732"/>
      <c r="X1" s="3731" t="s">
        <v>2356</v>
      </c>
      <c r="Y1" s="3732"/>
      <c r="Z1" s="3732"/>
      <c r="AA1" s="3732"/>
      <c r="AB1" s="3732"/>
      <c r="AD1" s="3731" t="s">
        <v>2360</v>
      </c>
      <c r="AE1" s="3732"/>
      <c r="AF1" s="3732"/>
      <c r="AG1" s="3732"/>
      <c r="AH1" s="3732"/>
    </row>
    <row r="2" spans="1:34" s="2783" customFormat="1" ht="14.25" thickBot="1">
      <c r="B2" s="2784" t="s">
        <v>2297</v>
      </c>
      <c r="C2" s="2784" t="s">
        <v>2358</v>
      </c>
      <c r="D2" s="2785" t="s">
        <v>1444</v>
      </c>
      <c r="E2" s="2785" t="s">
        <v>1741</v>
      </c>
      <c r="F2" s="2784" t="s">
        <v>2359</v>
      </c>
      <c r="G2" s="2786"/>
      <c r="I2" s="2784" t="s">
        <v>2651</v>
      </c>
      <c r="J2" s="2785" t="s">
        <v>2653</v>
      </c>
      <c r="K2" s="2785" t="s">
        <v>2654</v>
      </c>
      <c r="L2" s="2784" t="s">
        <v>2655</v>
      </c>
      <c r="N2" s="2784" t="s">
        <v>2297</v>
      </c>
      <c r="O2" s="2785" t="s">
        <v>2652</v>
      </c>
      <c r="P2" s="2785" t="s">
        <v>1741</v>
      </c>
      <c r="Q2" s="2784" t="s">
        <v>2359</v>
      </c>
      <c r="S2" s="2784" t="s">
        <v>2297</v>
      </c>
      <c r="T2" s="2785" t="s">
        <v>2652</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2662</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2886</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2885</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2884</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2883</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2882</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2731</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2730</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2729</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2728</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2726</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2725</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2689</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2687</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2685</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2684</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2681</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2680</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2678</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35">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2671</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35"/>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2672</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35"/>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2668</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41"/>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2661</v>
      </c>
      <c r="B26" s="2823">
        <v>439</v>
      </c>
      <c r="C26" s="2823">
        <v>327</v>
      </c>
      <c r="D26" s="2823">
        <f t="shared" si="219"/>
        <v>327</v>
      </c>
      <c r="E26" s="2823">
        <v>627</v>
      </c>
      <c r="F26" s="2824">
        <v>283</v>
      </c>
      <c r="G26" s="3740">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2663</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35"/>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35"/>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41"/>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40">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35"/>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35"/>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36"/>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34">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35"/>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35"/>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36"/>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34">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35"/>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35"/>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36"/>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37">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38"/>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38"/>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39"/>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34">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35"/>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35"/>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36"/>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34">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35">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35">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36">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34">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35">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35">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36">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34">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35">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35">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36">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34">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35">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35">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36">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34">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35">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35">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36">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34">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35">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35">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36">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34">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35">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35">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36">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34">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35">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35">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36">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34">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35">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35">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36">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34">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35">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35">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36">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2645</v>
      </c>
      <c r="B1" s="3154"/>
      <c r="C1" s="3154"/>
      <c r="D1" s="3154"/>
      <c r="E1" s="3154"/>
      <c r="F1" s="3154"/>
      <c r="G1" s="3155"/>
      <c r="H1" s="3155"/>
      <c r="I1" s="3155"/>
      <c r="J1" s="3155"/>
      <c r="K1" s="3155"/>
      <c r="L1" s="3155"/>
      <c r="M1" s="3155"/>
      <c r="N1" s="3155"/>
    </row>
    <row r="2" spans="1:14" ht="14.25">
      <c r="A2" s="3160" t="s">
        <v>2640</v>
      </c>
      <c r="B2" s="3165">
        <f ca="1">SUMIF(B7:B14,"&lt;&gt;#ref!",B7:B14)</f>
        <v>0</v>
      </c>
      <c r="C2" s="3160" t="s">
        <v>2641</v>
      </c>
      <c r="D2" s="3157"/>
      <c r="E2" s="3157"/>
      <c r="F2" s="3157"/>
      <c r="G2" s="3155"/>
      <c r="H2" s="3155"/>
      <c r="I2" s="3155"/>
      <c r="J2" s="3155"/>
      <c r="K2" s="3155"/>
      <c r="L2" s="3155"/>
      <c r="M2" s="3155"/>
      <c r="N2" s="3155"/>
    </row>
    <row r="3" spans="1:14" ht="14.25">
      <c r="A3" s="3160" t="s">
        <v>2669</v>
      </c>
      <c r="B3" s="3165" t="e">
        <f ca="1">ROUND(B2*10000/E3,0)</f>
        <v>#DIV/0!</v>
      </c>
      <c r="C3" s="3160" t="s">
        <v>1870</v>
      </c>
      <c r="D3" s="3160" t="s">
        <v>2642</v>
      </c>
      <c r="E3" s="3158">
        <f ca="1">SUMIF(E7:E14,"&lt;&gt;#ref!",E7:E14)</f>
        <v>0</v>
      </c>
      <c r="F3" s="3157"/>
      <c r="G3" s="3155"/>
      <c r="H3" s="3155"/>
      <c r="I3" s="3155"/>
      <c r="J3" s="3155"/>
      <c r="K3" s="3155"/>
      <c r="L3" s="3155"/>
      <c r="M3" s="3155"/>
      <c r="N3" s="3155"/>
    </row>
    <row r="4" spans="1:14" ht="14.25">
      <c r="A4" s="3160" t="s">
        <v>2648</v>
      </c>
      <c r="B4" s="3165" t="e">
        <f ca="1">ROUND(B2*10000/E4,0)</f>
        <v>#DIV/0!</v>
      </c>
      <c r="C4" s="3160" t="s">
        <v>1870</v>
      </c>
      <c r="D4" s="3160" t="s">
        <v>2649</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2646</v>
      </c>
      <c r="B6" s="3160" t="s">
        <v>2643</v>
      </c>
      <c r="C6" s="2708"/>
      <c r="D6" s="3157"/>
      <c r="E6" s="3160" t="s">
        <v>2644</v>
      </c>
      <c r="F6" s="3160" t="s">
        <v>2647</v>
      </c>
      <c r="G6" s="3155"/>
      <c r="H6" s="3155"/>
      <c r="I6" s="3155"/>
      <c r="J6" s="3155"/>
      <c r="K6" s="3155"/>
      <c r="L6" s="3155"/>
      <c r="M6" s="3155"/>
      <c r="N6" s="3155"/>
    </row>
    <row r="7" spans="1:14" ht="14.25">
      <c r="A7" s="3163"/>
      <c r="B7" s="3165" t="e">
        <f ca="1">SUMIF(INDIRECT("'"&amp;A7&amp;"'"&amp;"!A:A"),"总价",INDIRECT("'"&amp;A7&amp;"'"&amp;"!B:B"))</f>
        <v>#REF!</v>
      </c>
      <c r="C7" s="3160" t="s">
        <v>2641</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2641</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2641</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2641</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2641</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2641</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2641</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2641</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受贵公司委托，我公司对海南省海口市新埠岛出让国有建设用地使用权抵押价格进行了预评估。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7" spans="1:4" ht="56.25">
      <c r="A7" s="1665" t="s">
        <v>2464</v>
      </c>
    </row>
    <row r="8" spans="1:4" ht="18.75">
      <c r="A8" s="1664" t="s">
        <v>1702</v>
      </c>
    </row>
    <row r="9" spans="1:4" ht="75">
      <c r="A9" s="1666" t="str">
        <f>IF(项目基本情况!B8="抵押",IF(项目基本情况!B5=项目基本情况!B6,定义!C51,定义!B51),定义!D51)</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2022年5月20日</v>
      </c>
    </row>
    <row r="12" spans="1:4" ht="18.75">
      <c r="A12" s="1667" t="s">
        <v>1817</v>
      </c>
    </row>
    <row r="13" spans="1:4" ht="18.75">
      <c r="A13" s="1661" t="s">
        <v>2638</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根据《国有土地使用证》[]，估价对象（分摊）出让国有建设用地使用权面积为97473.98平方米。根据《建设工程规划许可证》[]、《出让合同》[]，估价对象规划建筑面积为51575.14平方米。</v>
      </c>
    </row>
    <row r="21" spans="1:1" ht="18.75">
      <c r="A21" s="1661" t="s">
        <v>1866</v>
      </c>
    </row>
    <row r="22" spans="1:1" ht="93.7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11日车库2057年9月11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93.75">
      <c r="A25" s="1661" t="str">
        <f>定义!C53</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2161</v>
      </c>
      <c r="F1" s="2197">
        <f ca="1">J54</f>
        <v>-3</v>
      </c>
      <c r="G1" s="747">
        <f>MATCH(C1,'数据-取费表'!A6:A16,0)+5</f>
        <v>8</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2"/>
      <c r="H7" s="754">
        <v>1</v>
      </c>
      <c r="I7" s="755" t="s">
        <v>2237</v>
      </c>
      <c r="J7" s="53">
        <f ca="1">J8+J12+J14</f>
        <v>0</v>
      </c>
      <c r="K7" s="2301" t="s">
        <v>2240</v>
      </c>
      <c r="L7" s="2295"/>
      <c r="M7" s="2296"/>
    </row>
    <row r="8" spans="1:25" ht="18" customHeight="1">
      <c r="A8" s="1700" t="s">
        <v>1624</v>
      </c>
      <c r="B8" s="3743" t="s">
        <v>2242</v>
      </c>
      <c r="C8" s="1695">
        <f ca="1">ROUND(F8*F10*F9*(1-F11)/10000,0)</f>
        <v>0</v>
      </c>
      <c r="D8" s="1692" t="s">
        <v>2252</v>
      </c>
      <c r="E8" s="61" t="s">
        <v>619</v>
      </c>
      <c r="F8" s="758">
        <f ca="1">INDIRECT("'数据-取费表'!u"&amp;$G$1)</f>
        <v>0</v>
      </c>
      <c r="G8" s="1482"/>
      <c r="H8" s="2309" t="s">
        <v>1624</v>
      </c>
      <c r="I8" s="3743" t="s">
        <v>2242</v>
      </c>
      <c r="J8" s="756">
        <f ca="1">ROUND(M8*M10*M9*(1-M11)/10000,0)</f>
        <v>0</v>
      </c>
      <c r="K8" s="339" t="s">
        <v>2252</v>
      </c>
      <c r="L8" s="757" t="s">
        <v>1538</v>
      </c>
      <c r="M8" s="758">
        <f ca="1">INDIRECT("'数据-取费表'!z"&amp;$G$1)</f>
        <v>0</v>
      </c>
    </row>
    <row r="9" spans="1:25" ht="18" customHeight="1">
      <c r="A9" s="2305"/>
      <c r="B9" s="3744"/>
      <c r="C9" s="1696"/>
      <c r="D9" s="1693"/>
      <c r="E9" s="61" t="s">
        <v>620</v>
      </c>
      <c r="F9" s="758">
        <f ca="1">IF(INDIRECT("'数据-取费表'!ah"&amp;$G$1)="",INDIRECT("'数据-取费表'!k"&amp;$G$1),INDIRECT("'数据-取费表'!ah"&amp;$G$1))</f>
        <v>0</v>
      </c>
      <c r="G9" s="1482"/>
      <c r="H9" s="2294"/>
      <c r="I9" s="3744"/>
      <c r="J9" s="761"/>
      <c r="K9" s="762"/>
      <c r="L9" s="757" t="s">
        <v>1539</v>
      </c>
      <c r="M9" s="758">
        <f ca="1">F9</f>
        <v>0</v>
      </c>
    </row>
    <row r="10" spans="1:25" ht="18" customHeight="1">
      <c r="A10" s="2298"/>
      <c r="B10" s="3745"/>
      <c r="C10" s="1696"/>
      <c r="D10" s="1693"/>
      <c r="E10" s="61" t="s">
        <v>621</v>
      </c>
      <c r="F10" s="758">
        <f ca="1">INDIRECT("'数据-取费表'!ai"&amp;$G$1)</f>
        <v>0</v>
      </c>
      <c r="G10" s="1482"/>
      <c r="H10" s="2294"/>
      <c r="I10" s="3745"/>
      <c r="J10" s="761"/>
      <c r="K10" s="762"/>
      <c r="L10" s="757" t="s">
        <v>1540</v>
      </c>
      <c r="M10" s="758">
        <f ca="1">INDIRECT("'数据-取费表'!ai"&amp;$G$1)</f>
        <v>0</v>
      </c>
    </row>
    <row r="11" spans="1:25" ht="18" customHeight="1">
      <c r="A11" s="759"/>
      <c r="B11" s="3746"/>
      <c r="C11" s="1696"/>
      <c r="D11" s="1693"/>
      <c r="E11" s="61" t="s">
        <v>622</v>
      </c>
      <c r="F11" s="767">
        <f ca="1">INDIRECT("'数据-取费表'!w"&amp;$G$1)</f>
        <v>0</v>
      </c>
      <c r="G11" s="1482"/>
      <c r="H11" s="2310"/>
      <c r="I11" s="3745"/>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2666</v>
      </c>
      <c r="E12" s="2303" t="s">
        <v>2243</v>
      </c>
      <c r="F12" s="2387"/>
      <c r="G12" s="1482"/>
      <c r="H12" s="2337" t="s">
        <v>1625</v>
      </c>
      <c r="I12" s="2342" t="s">
        <v>2238</v>
      </c>
      <c r="J12" s="756">
        <f ca="1">ROUND(IF(M12="押一",J8/12*M13,IF(M12="押二",J8/12*2*M13,IF(M12="押三",J8/12*3*M13,J13*M13))),0)</f>
        <v>0</v>
      </c>
      <c r="K12" s="2306" t="s">
        <v>2666</v>
      </c>
      <c r="L12" s="2303" t="s">
        <v>2243</v>
      </c>
      <c r="M12" s="2387"/>
    </row>
    <row r="13" spans="1:25" ht="18" customHeight="1">
      <c r="A13" s="763"/>
      <c r="B13" s="2300" t="s">
        <v>2291</v>
      </c>
      <c r="C13" s="2304"/>
      <c r="D13" s="762"/>
      <c r="E13" s="2303" t="s">
        <v>2236</v>
      </c>
      <c r="F13" s="769">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2</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1.2999999999999999E-3</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2720</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2</v>
      </c>
      <c r="G36" s="1899"/>
      <c r="H36" s="1902"/>
      <c r="I36" s="3742"/>
      <c r="J36" s="1916"/>
      <c r="K36" s="1917"/>
      <c r="L36" s="1916"/>
      <c r="M36" s="1916"/>
    </row>
    <row r="37" spans="1:18" ht="18" customHeight="1">
      <c r="A37" s="787"/>
      <c r="B37" s="766"/>
      <c r="C37" s="69"/>
      <c r="D37" s="788"/>
      <c r="E37" s="757" t="s">
        <v>656</v>
      </c>
      <c r="F37" s="758">
        <f ca="1">INDIRECT("'数据-取费表'!r"&amp;$G$1)</f>
        <v>0</v>
      </c>
      <c r="G37" s="1899"/>
      <c r="H37" s="1902"/>
      <c r="I37" s="3742"/>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2656</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2659</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2670</v>
      </c>
      <c r="J54" s="2776">
        <f ca="1">IF(M48="住宅",MAX(J52,L49-'数据-取费表'!B20),MIN(J52,L49-'数据-取费表'!B20))</f>
        <v>-3</v>
      </c>
      <c r="K54" s="3747"/>
      <c r="L54" s="3748"/>
      <c r="O54" s="2210" t="s">
        <v>2175</v>
      </c>
      <c r="P54" s="2208" t="s">
        <v>2176</v>
      </c>
      <c r="Q54" s="2209">
        <f ca="1">J54</f>
        <v>-3</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2639</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8">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20" sqref="L20"/>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c r="D1" s="2716" t="s">
        <v>931</v>
      </c>
      <c r="E1" s="2196" t="s">
        <v>2161</v>
      </c>
      <c r="F1" s="2197">
        <f ca="1">J53</f>
        <v>0</v>
      </c>
      <c r="G1" s="3167">
        <f>MATCH(C1,'数据-取费表'!A6:A16,0)+5</f>
        <v>8</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t="e">
        <f ca="1">C40+J29+L46</f>
        <v>#DIV/0!</v>
      </c>
      <c r="C2" s="3172"/>
      <c r="D2" s="3173"/>
      <c r="E2" s="3174"/>
      <c r="F2" s="3174"/>
      <c r="G2" s="3168"/>
      <c r="H2" s="1894"/>
      <c r="I2" s="1894"/>
      <c r="J2" s="1894"/>
      <c r="K2" s="1895"/>
      <c r="L2" s="1894"/>
      <c r="M2" s="1894"/>
    </row>
    <row r="3" spans="1:33" ht="18" customHeight="1" thickBot="1">
      <c r="A3" s="805" t="s">
        <v>1527</v>
      </c>
      <c r="B3" s="806">
        <f ca="1">IF(ISERROR(B2*10000/F43),0,ROUND(B2*10000/F43,0))</f>
        <v>0</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0</v>
      </c>
      <c r="D5" s="2301" t="s">
        <v>2240</v>
      </c>
      <c r="E5" s="2295"/>
      <c r="F5" s="2296"/>
      <c r="G5" s="1899"/>
      <c r="H5" s="754">
        <v>1</v>
      </c>
      <c r="I5" s="755" t="s">
        <v>2237</v>
      </c>
      <c r="J5" s="55">
        <f ca="1">J6+J10+J12</f>
        <v>0</v>
      </c>
      <c r="K5" s="2301" t="s">
        <v>2240</v>
      </c>
      <c r="L5" s="2295"/>
      <c r="M5" s="2296"/>
    </row>
    <row r="6" spans="1:33" ht="18" customHeight="1">
      <c r="A6" s="1700" t="s">
        <v>1624</v>
      </c>
      <c r="B6" s="3743" t="s">
        <v>2242</v>
      </c>
      <c r="C6" s="756">
        <f ca="1">ROUND(F6*F8*F7*(1-F9)/10000,0)</f>
        <v>0</v>
      </c>
      <c r="D6" s="2302" t="s">
        <v>2241</v>
      </c>
      <c r="E6" s="757" t="s">
        <v>1538</v>
      </c>
      <c r="F6" s="758">
        <f ca="1">INDIRECT("'数据-取费表'!u"&amp;$G$1)</f>
        <v>0</v>
      </c>
      <c r="G6" s="1899"/>
      <c r="H6" s="2309" t="s">
        <v>2247</v>
      </c>
      <c r="I6" s="3743" t="s">
        <v>2242</v>
      </c>
      <c r="J6" s="756">
        <f ca="1">ROUND(M6*M8*M7*(1-M9)/10000,0)</f>
        <v>0</v>
      </c>
      <c r="K6" s="339" t="s">
        <v>1537</v>
      </c>
      <c r="L6" s="757" t="s">
        <v>1538</v>
      </c>
      <c r="M6" s="758">
        <f ca="1">INDIRECT("'数据-取费表'!z"&amp;$G$1)</f>
        <v>0</v>
      </c>
    </row>
    <row r="7" spans="1:33" ht="18" customHeight="1">
      <c r="A7" s="2305"/>
      <c r="B7" s="3744"/>
      <c r="C7" s="761"/>
      <c r="D7" s="762"/>
      <c r="E7" s="757" t="s">
        <v>1539</v>
      </c>
      <c r="F7" s="758">
        <f ca="1">IF(INDIRECT("'数据-取费表'!ah"&amp;$G$1)="",INDIRECT("'数据-取费表'!k"&amp;$G$1),INDIRECT("'数据-取费表'!ah"&amp;$G$1))</f>
        <v>0</v>
      </c>
      <c r="G7" s="1899"/>
      <c r="H7" s="2294"/>
      <c r="I7" s="3744"/>
      <c r="J7" s="761"/>
      <c r="K7" s="762"/>
      <c r="L7" s="757" t="s">
        <v>1539</v>
      </c>
      <c r="M7" s="758">
        <f ca="1">F7</f>
        <v>0</v>
      </c>
    </row>
    <row r="8" spans="1:33" ht="18" customHeight="1">
      <c r="A8" s="2298"/>
      <c r="B8" s="3745"/>
      <c r="C8" s="761"/>
      <c r="D8" s="762"/>
      <c r="E8" s="757" t="s">
        <v>1540</v>
      </c>
      <c r="F8" s="758">
        <f ca="1">INDIRECT("'数据-取费表'!ai"&amp;$G$1)</f>
        <v>0</v>
      </c>
      <c r="G8" s="1899"/>
      <c r="H8" s="2294"/>
      <c r="I8" s="3745"/>
      <c r="J8" s="761"/>
      <c r="K8" s="762"/>
      <c r="L8" s="757" t="s">
        <v>1540</v>
      </c>
      <c r="M8" s="758">
        <f ca="1">INDIRECT("'数据-取费表'!ai"&amp;$G$1)</f>
        <v>0</v>
      </c>
    </row>
    <row r="9" spans="1:33" ht="18" customHeight="1">
      <c r="A9" s="759"/>
      <c r="B9" s="3746"/>
      <c r="C9" s="761"/>
      <c r="D9" s="762"/>
      <c r="E9" s="757" t="s">
        <v>1541</v>
      </c>
      <c r="F9" s="767">
        <f ca="1">INDIRECT("'数据-取费表'!w"&amp;$G$1)</f>
        <v>0</v>
      </c>
      <c r="G9" s="1899"/>
      <c r="H9" s="2310"/>
      <c r="I9" s="3745"/>
      <c r="J9" s="761"/>
      <c r="K9" s="762"/>
      <c r="L9" s="768" t="s">
        <v>1541</v>
      </c>
      <c r="M9" s="769">
        <f ca="1">INDIRECT("'数据-取费表'!ab"&amp;$G$1)</f>
        <v>0</v>
      </c>
    </row>
    <row r="10" spans="1:33" ht="18" customHeight="1">
      <c r="A10" s="1700" t="s">
        <v>2245</v>
      </c>
      <c r="B10" s="2299" t="s">
        <v>2238</v>
      </c>
      <c r="C10" s="772">
        <f ca="1">ROUND(IF(F10="押一",C6/12*F11,IF(F10="押二",C6/12*2*F11,IF(F10="押三",C6/12*3*F11,C11*F11))),0)</f>
        <v>0</v>
      </c>
      <c r="D10" s="2306" t="s">
        <v>2666</v>
      </c>
      <c r="E10" s="2303" t="s">
        <v>2243</v>
      </c>
      <c r="F10" s="2387"/>
      <c r="G10" s="1899"/>
      <c r="H10" s="2337" t="s">
        <v>2248</v>
      </c>
      <c r="I10" s="2342" t="s">
        <v>2238</v>
      </c>
      <c r="J10" s="756">
        <f ca="1">ROUND(IF(M10="押一",J6/12*M11,IF(M10="押二",J6/12*2*M11,IF(M10="押三",J6/12*3*M11,J11*M11))),0)</f>
        <v>0</v>
      </c>
      <c r="K10" s="2306" t="s">
        <v>2666</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0</v>
      </c>
      <c r="D13" s="1704" t="s">
        <v>2087</v>
      </c>
      <c r="E13" s="1704" t="s">
        <v>1544</v>
      </c>
      <c r="F13" s="2312">
        <f ca="1">INDIRECT("'数据-取费表'!y"&amp;$G$1)</f>
        <v>0</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0</v>
      </c>
      <c r="D14" s="1847" t="s">
        <v>1545</v>
      </c>
      <c r="E14" s="1848"/>
      <c r="F14" s="778"/>
      <c r="G14" s="1899"/>
      <c r="H14" s="1532" t="s">
        <v>1630</v>
      </c>
      <c r="I14" s="2065" t="s">
        <v>2542</v>
      </c>
      <c r="J14" s="53">
        <f ca="1">C29</f>
        <v>0</v>
      </c>
      <c r="K14" s="26"/>
      <c r="L14" s="774"/>
      <c r="M14" s="775"/>
    </row>
    <row r="15" spans="1:33" s="1901" customFormat="1" ht="18" customHeight="1" thickBot="1">
      <c r="A15" s="1531" t="s">
        <v>1681</v>
      </c>
      <c r="B15" s="757" t="s">
        <v>629</v>
      </c>
      <c r="C15" s="53">
        <f ca="1">ROUND(C14*F15,0)</f>
        <v>0</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0</v>
      </c>
      <c r="K16" s="1691" t="s">
        <v>1550</v>
      </c>
      <c r="L16" s="2291"/>
      <c r="M16" s="2296"/>
    </row>
    <row r="17" spans="1:33" s="1901" customFormat="1" ht="18" customHeight="1">
      <c r="A17" s="1531" t="s">
        <v>1683</v>
      </c>
      <c r="B17" s="757" t="s">
        <v>635</v>
      </c>
      <c r="C17" s="53">
        <f ca="1">ROUND(F17*(F43+INDIRECT("'数据-取费表'!S"&amp;$G$1))/10000,0)</f>
        <v>0</v>
      </c>
      <c r="D17" s="757" t="s">
        <v>1551</v>
      </c>
      <c r="E17" s="757" t="s">
        <v>1552</v>
      </c>
      <c r="F17" s="56">
        <f>'数据-取费表'!B35</f>
        <v>200</v>
      </c>
      <c r="G17" s="3169"/>
      <c r="H17" s="1532" t="s">
        <v>1630</v>
      </c>
      <c r="I17" s="757" t="s">
        <v>638</v>
      </c>
      <c r="J17" s="2927">
        <f ca="1">ROUND(IF(AND(项目基本情况!B11="自然人",项目基本情况!B10="北京市"),J6*M17/(1+'数据-取费表'!C42),J18+J19+J20),0)</f>
        <v>0</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0</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0</v>
      </c>
      <c r="D19" s="259" t="s">
        <v>1557</v>
      </c>
      <c r="E19" s="1850"/>
      <c r="F19" s="56"/>
      <c r="G19" s="1899"/>
      <c r="H19" s="1531"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1" customFormat="1" ht="18" customHeight="1">
      <c r="A20" s="1532" t="s">
        <v>1685</v>
      </c>
      <c r="B20" s="757" t="s">
        <v>648</v>
      </c>
      <c r="C20" s="53">
        <f ca="1">ROUND(C19*F20,0)</f>
        <v>0</v>
      </c>
      <c r="D20" s="784" t="s">
        <v>1559</v>
      </c>
      <c r="E20" s="757" t="s">
        <v>1547</v>
      </c>
      <c r="F20" s="782">
        <f>'数据-取费表'!B37</f>
        <v>0.02</v>
      </c>
      <c r="G20" s="3169"/>
      <c r="H20" s="1534" t="s">
        <v>1676</v>
      </c>
      <c r="I20" s="339" t="s">
        <v>1560</v>
      </c>
      <c r="J20" s="54">
        <f ca="1">ROUND(M20*M21/10000,0)</f>
        <v>0</v>
      </c>
      <c r="K20" s="786" t="s">
        <v>1561</v>
      </c>
      <c r="L20" s="757" t="s">
        <v>1562</v>
      </c>
      <c r="M20" s="615">
        <f>'数据-取费表'!B52</f>
        <v>2</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0</v>
      </c>
      <c r="K22" s="2289" t="s">
        <v>1569</v>
      </c>
      <c r="L22" s="757" t="s">
        <v>1547</v>
      </c>
      <c r="M22" s="789">
        <f ca="1">INDIRECT("'数据-取费表'!Ak"&amp;$G$1)</f>
        <v>0</v>
      </c>
    </row>
    <row r="23" spans="1:33" s="1901" customFormat="1" ht="18" customHeight="1">
      <c r="A23" s="1531" t="s">
        <v>1631</v>
      </c>
      <c r="B23" s="757" t="s">
        <v>2253</v>
      </c>
      <c r="C23" s="53">
        <f ca="1">ROUND(IF('数据-取费表'!B22&lt;=1,(C19+C20)*F24*F23/2,(C19+C20)*(POWER((1+F24),F23/2)-1)),0)</f>
        <v>0</v>
      </c>
      <c r="D23" s="2345" t="str">
        <f>IF(F23&lt;=1,"(建造成本+管理费用)×利率×(建设周期÷2)","(建造成本+管理费用)×((1+利率)^(建设周期÷2)-1)")</f>
        <v>(建造成本+管理费用)×((1+利率)^(建设周期÷2)-1)</v>
      </c>
      <c r="E23" s="757" t="s">
        <v>1570</v>
      </c>
      <c r="F23" s="615">
        <f>'数据-取费表'!B20</f>
        <v>3</v>
      </c>
      <c r="G23" s="3169"/>
      <c r="H23" s="1532" t="s">
        <v>1686</v>
      </c>
      <c r="I23" s="757" t="s">
        <v>661</v>
      </c>
      <c r="J23" s="53">
        <f ca="1">ROUND(J13*M23,0)</f>
        <v>0</v>
      </c>
      <c r="K23" s="2289" t="s">
        <v>1571</v>
      </c>
      <c r="L23" s="757" t="s">
        <v>1547</v>
      </c>
      <c r="M23" s="790">
        <f ca="1">INDIRECT("'数据-取费表'!Al"&amp;$G$1)</f>
        <v>0</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1.2999999999999999E-3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2538</v>
      </c>
      <c r="J25" s="765">
        <f ca="1">J5-J16</f>
        <v>0</v>
      </c>
      <c r="K25" s="2324" t="s">
        <v>1577</v>
      </c>
      <c r="L25" s="2325"/>
      <c r="M25" s="2326"/>
    </row>
    <row r="26" spans="1:33" ht="18" customHeight="1">
      <c r="A26" s="1531" t="s">
        <v>1631</v>
      </c>
      <c r="B26" s="757" t="s">
        <v>2220</v>
      </c>
      <c r="C26" s="53">
        <f ca="1">ROUND((C19+C20)*F26,0)</f>
        <v>0</v>
      </c>
      <c r="D26" s="784" t="s">
        <v>1578</v>
      </c>
      <c r="E26" s="768" t="s">
        <v>1579</v>
      </c>
      <c r="F26" s="767">
        <f ca="1">INDIRECT("'数据-取费表'!q"&amp;$G$1)</f>
        <v>0</v>
      </c>
      <c r="G26" s="1899"/>
      <c r="H26" s="2307" t="s">
        <v>1580</v>
      </c>
      <c r="I26" s="2066" t="s">
        <v>2543</v>
      </c>
      <c r="J26" s="756">
        <f ca="1">IF(J5&lt;&gt;0,ROUND(J25*(1-((1+M28)/(1+M26))^M27)/(M26-M28),0),0)</f>
        <v>0</v>
      </c>
      <c r="K26" s="786" t="s">
        <v>1581</v>
      </c>
      <c r="L26" s="757" t="s">
        <v>2206</v>
      </c>
      <c r="M26" s="767">
        <f ca="1">INDIRECT("'数据-取费表'!I"&amp;$G$1)</f>
        <v>0</v>
      </c>
    </row>
    <row r="27" spans="1:33" ht="18" customHeight="1">
      <c r="A27" s="1531" t="s">
        <v>1632</v>
      </c>
      <c r="B27" s="757" t="s">
        <v>668</v>
      </c>
      <c r="C27" s="53">
        <f ca="1">ROUND(F21*F26,4)</f>
        <v>0</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0</v>
      </c>
      <c r="D29" s="2321"/>
      <c r="E29" s="2322"/>
      <c r="F29" s="2323"/>
      <c r="G29" s="3169"/>
      <c r="H29" s="795" t="s">
        <v>1587</v>
      </c>
      <c r="I29" s="796" t="s">
        <v>1588</v>
      </c>
      <c r="J29" s="797">
        <f ca="1">ROUND(J26/(1+F40)^F41,0)</f>
        <v>0</v>
      </c>
      <c r="K29" s="798" t="s">
        <v>1589</v>
      </c>
      <c r="L29" s="799"/>
      <c r="M29" s="800">
        <f ca="1">INDIRECT("'数据-取费表'!k"&amp;$G$1)</f>
        <v>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0</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0</v>
      </c>
      <c r="D31" s="1847" t="s">
        <v>1592</v>
      </c>
      <c r="E31" s="1845" t="s">
        <v>1593</v>
      </c>
      <c r="F31" s="2926" t="str">
        <f>IF(项目基本情况!B11="企业","——",IF('数据-取费表'!B10="住宅",IF(F6*F7*F8/12/(1+'数据-取费表'!F30)&gt;100000,4%,2.5%),IF(F6*F7*F8/12/(1+'数据-取费表'!F30)&gt;100000,12%,7%)))</f>
        <v>——</v>
      </c>
      <c r="G31" s="1899"/>
      <c r="H31" s="3166" t="s">
        <v>2721</v>
      </c>
      <c r="I31" s="1903"/>
      <c r="J31" s="1904"/>
      <c r="K31" s="1905"/>
      <c r="L31" s="1906"/>
      <c r="M31" s="1907"/>
    </row>
    <row r="32" spans="1:33" ht="18" customHeight="1">
      <c r="A32" s="1531" t="s">
        <v>1631</v>
      </c>
      <c r="B32" s="757" t="s">
        <v>1594</v>
      </c>
      <c r="C32" s="53">
        <f ca="1">ROUND(C6*F32/(1+'数据-取费表'!C42),1)</f>
        <v>0</v>
      </c>
      <c r="D32" s="1845" t="s">
        <v>1595</v>
      </c>
      <c r="E32" s="757" t="s">
        <v>1596</v>
      </c>
      <c r="F32" s="782">
        <f>'数据-取费表'!B41</f>
        <v>5.5000000000000007E-2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899"/>
      <c r="H33" s="1914"/>
      <c r="I33" s="1914"/>
      <c r="J33" s="1914"/>
      <c r="K33" s="1915"/>
      <c r="L33" s="1914"/>
      <c r="M33" s="1914"/>
    </row>
    <row r="34" spans="1:18" ht="18" customHeight="1">
      <c r="A34" s="1534" t="s">
        <v>1633</v>
      </c>
      <c r="B34" s="339" t="s">
        <v>1598</v>
      </c>
      <c r="C34" s="54">
        <f ca="1">ROUND(F34*F35/10000,1)</f>
        <v>0</v>
      </c>
      <c r="D34" s="786" t="s">
        <v>1599</v>
      </c>
      <c r="E34" s="757" t="s">
        <v>1600</v>
      </c>
      <c r="F34" s="615">
        <f>'数据-取费表'!B52</f>
        <v>2</v>
      </c>
      <c r="G34" s="1899"/>
      <c r="H34" s="1902"/>
      <c r="I34" s="807" t="s">
        <v>1613</v>
      </c>
      <c r="J34" s="808"/>
      <c r="K34" s="1917"/>
      <c r="L34" s="1916"/>
      <c r="M34" s="1916"/>
    </row>
    <row r="35" spans="1:18" ht="18" customHeight="1">
      <c r="A35" s="787"/>
      <c r="B35" s="766"/>
      <c r="C35" s="69"/>
      <c r="D35" s="788"/>
      <c r="E35" s="757" t="s">
        <v>1601</v>
      </c>
      <c r="F35" s="758">
        <f ca="1">INDIRECT("'数据-取费表'!r"&amp;$G$1)</f>
        <v>0</v>
      </c>
      <c r="G35" s="1899"/>
      <c r="H35" s="1902"/>
      <c r="I35" s="809" t="s">
        <v>1614</v>
      </c>
      <c r="J35" s="810">
        <f ca="1">ROUND(C13*J36,0)</f>
        <v>0</v>
      </c>
      <c r="K35" s="1915"/>
      <c r="L35" s="1914"/>
      <c r="M35" s="1914"/>
    </row>
    <row r="36" spans="1:18" ht="18" customHeight="1">
      <c r="A36" s="1532" t="s">
        <v>1685</v>
      </c>
      <c r="B36" s="757" t="s">
        <v>1602</v>
      </c>
      <c r="C36" s="53">
        <f ca="1">ROUND(C29*F36,1)</f>
        <v>0</v>
      </c>
      <c r="D36" s="1845" t="s">
        <v>1603</v>
      </c>
      <c r="E36" s="757" t="s">
        <v>1596</v>
      </c>
      <c r="F36" s="789">
        <f ca="1">INDIRECT("'数据-取费表'!Ak"&amp;$G$1)</f>
        <v>0</v>
      </c>
      <c r="G36" s="1899"/>
      <c r="H36" s="1914"/>
      <c r="I36" s="811" t="s">
        <v>1615</v>
      </c>
      <c r="J36" s="812">
        <f ca="1">INDIRECT("'数据-取费表'!j"&amp;$G$1)</f>
        <v>0</v>
      </c>
      <c r="K36" s="1918"/>
      <c r="L36" s="1914"/>
      <c r="M36" s="1914"/>
    </row>
    <row r="37" spans="1:18" ht="18" customHeight="1">
      <c r="A37" s="1532" t="s">
        <v>1686</v>
      </c>
      <c r="B37" s="757" t="s">
        <v>661</v>
      </c>
      <c r="C37" s="53">
        <f ca="1">ROUND(C13*F37,1)</f>
        <v>0</v>
      </c>
      <c r="D37" s="1845" t="s">
        <v>1604</v>
      </c>
      <c r="E37" s="757" t="s">
        <v>1596</v>
      </c>
      <c r="F37" s="790">
        <f ca="1">INDIRECT("'数据-取费表'!Al"&amp;$G$1)</f>
        <v>0</v>
      </c>
      <c r="G37" s="1899"/>
      <c r="H37" s="1914"/>
      <c r="I37" s="813" t="s">
        <v>1616</v>
      </c>
      <c r="J37" s="814"/>
      <c r="K37" s="1918"/>
      <c r="L37" s="1914"/>
      <c r="M37" s="1914"/>
    </row>
    <row r="38" spans="1:18" ht="18" customHeight="1" thickBot="1">
      <c r="A38" s="2327" t="s">
        <v>1687</v>
      </c>
      <c r="B38" s="2322" t="s">
        <v>648</v>
      </c>
      <c r="C38" s="2320">
        <f ca="1">ROUND(C5*F38,1)</f>
        <v>0</v>
      </c>
      <c r="D38" s="2321" t="s">
        <v>1605</v>
      </c>
      <c r="E38" s="2322" t="s">
        <v>1596</v>
      </c>
      <c r="F38" s="2318">
        <f ca="1">INDIRECT("'数据-取费表'!Am"&amp;$G$1)</f>
        <v>0</v>
      </c>
      <c r="G38" s="1899"/>
      <c r="H38" s="1914"/>
      <c r="I38" s="815" t="s">
        <v>1617</v>
      </c>
      <c r="J38" s="816"/>
      <c r="K38" s="1919"/>
      <c r="L38" s="1914"/>
      <c r="M38" s="1914"/>
    </row>
    <row r="39" spans="1:18" ht="24.6" customHeight="1" thickTop="1">
      <c r="A39" s="1699" t="s">
        <v>1690</v>
      </c>
      <c r="B39" s="2644" t="s">
        <v>2538</v>
      </c>
      <c r="C39" s="765">
        <f ca="1">C5-C30</f>
        <v>0</v>
      </c>
      <c r="D39" s="2324" t="s">
        <v>1606</v>
      </c>
      <c r="E39" s="2325"/>
      <c r="F39" s="2326"/>
      <c r="G39" s="1899"/>
      <c r="H39" s="1914"/>
      <c r="I39" s="809" t="s">
        <v>1618</v>
      </c>
      <c r="J39" s="817" t="e">
        <f ca="1">ROUND(J35/C39,3)</f>
        <v>#DIV/0!</v>
      </c>
      <c r="K39" s="1919"/>
      <c r="L39" s="1914"/>
      <c r="M39" s="1914"/>
    </row>
    <row r="40" spans="1:18" ht="18" customHeight="1">
      <c r="A40" s="754" t="s">
        <v>1691</v>
      </c>
      <c r="B40" s="2066" t="s">
        <v>2091</v>
      </c>
      <c r="C40" s="756" t="e">
        <f ca="1">ROUND(C39*(1-((1+F42)/(1+F40))^F41)/(F40-F42),0)</f>
        <v>#DIV/0!</v>
      </c>
      <c r="D40" s="786" t="s">
        <v>1607</v>
      </c>
      <c r="E40" s="757" t="s">
        <v>2206</v>
      </c>
      <c r="F40" s="767">
        <f ca="1">INDIRECT("'数据-取费表'!I"&amp;$G$1)</f>
        <v>0</v>
      </c>
      <c r="G40" s="1899"/>
      <c r="H40" s="1899"/>
      <c r="I40" s="809" t="s">
        <v>1619</v>
      </c>
      <c r="J40" s="817" t="e">
        <f ca="1">1-J39</f>
        <v>#DIV/0!</v>
      </c>
      <c r="K40" s="1919"/>
      <c r="L40" s="1899"/>
      <c r="M40" s="1899"/>
    </row>
    <row r="41" spans="1:18" ht="18" customHeight="1">
      <c r="A41" s="759"/>
      <c r="B41" s="760"/>
      <c r="C41" s="761"/>
      <c r="D41" s="793" t="s">
        <v>1608</v>
      </c>
      <c r="E41" s="757" t="s">
        <v>2658</v>
      </c>
      <c r="F41" s="794">
        <f ca="1">IF(INDIRECT("'数据-取费表'!af"&amp;$G$1)=0,INDIRECT("'数据-取费表'!ae"&amp;$G$1),INDIRECT("'数据-取费表'!af"&amp;$G$1))</f>
        <v>0</v>
      </c>
      <c r="G41" s="1899"/>
      <c r="H41" s="1854"/>
      <c r="I41" s="815" t="s">
        <v>1620</v>
      </c>
      <c r="J41" s="818"/>
      <c r="K41" s="1918"/>
      <c r="L41" s="1854"/>
      <c r="M41" s="1854"/>
    </row>
    <row r="42" spans="1:18" ht="18" customHeight="1">
      <c r="A42" s="763"/>
      <c r="B42" s="764"/>
      <c r="C42" s="765"/>
      <c r="D42" s="788"/>
      <c r="E42" s="757" t="s">
        <v>1609</v>
      </c>
      <c r="F42" s="767">
        <f ca="1">INDIRECT("'数据-取费表'!v"&amp;$G$1)</f>
        <v>0</v>
      </c>
      <c r="G42" s="1899"/>
      <c r="H42" s="1854"/>
      <c r="I42" s="819" t="s">
        <v>1621</v>
      </c>
      <c r="J42" s="817" t="e">
        <f ca="1">ROUND(C13/C40,3)</f>
        <v>#DIV/0!</v>
      </c>
      <c r="K42" s="1918"/>
      <c r="L42" s="1854"/>
      <c r="M42" s="1854"/>
    </row>
    <row r="43" spans="1:18" ht="18" customHeight="1" thickBot="1">
      <c r="A43" s="795" t="s">
        <v>1587</v>
      </c>
      <c r="B43" s="796" t="s">
        <v>1610</v>
      </c>
      <c r="C43" s="797" t="e">
        <f ca="1">ROUND(C40*10000/F43,0)</f>
        <v>#DIV/0!</v>
      </c>
      <c r="D43" s="798" t="s">
        <v>1611</v>
      </c>
      <c r="E43" s="799" t="s">
        <v>1612</v>
      </c>
      <c r="F43" s="800">
        <f ca="1">INDIRECT("'数据-取费表'!k"&amp;$G$1)</f>
        <v>0</v>
      </c>
      <c r="G43" s="1899"/>
      <c r="H43" s="1854"/>
      <c r="I43" s="819" t="s">
        <v>1622</v>
      </c>
      <c r="J43" s="820" t="e">
        <f ca="1">1-J42</f>
        <v>#DIV/0!</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t="e">
        <f ca="1">C67-C40</f>
        <v>#DIV/0!</v>
      </c>
      <c r="D46" s="3170"/>
      <c r="E46" s="3170"/>
      <c r="F46" s="3170"/>
      <c r="I46" s="2187" t="s">
        <v>2130</v>
      </c>
      <c r="J46" s="2188"/>
      <c r="K46" s="2189"/>
      <c r="L46" s="2729" t="e">
        <f ca="1">IF(OR(M47="住宅",D1="土地（套用方法）"),0,IF(L48&gt;J51,L60,J60))</f>
        <v>#DIV/0!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c r="K47" s="2726" t="s">
        <v>2136</v>
      </c>
      <c r="L47" s="2730">
        <f ca="1">INDIRECT("'数据-取费表'!d"&amp;$G$1)</f>
        <v>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c r="K48" s="2727" t="s">
        <v>2138</v>
      </c>
      <c r="L48" s="1777">
        <f ca="1">INDIRECT("'数据-取费表'!f"&amp;$G$1)</f>
        <v>0</v>
      </c>
      <c r="M48" s="3171"/>
      <c r="O48" s="2207" t="s">
        <v>2166</v>
      </c>
      <c r="P48" s="2208" t="s">
        <v>2192</v>
      </c>
      <c r="Q48" s="2209" t="e">
        <f ca="1">C40+J29</f>
        <v>#DIV/0!</v>
      </c>
      <c r="R48" s="2208" t="s">
        <v>2167</v>
      </c>
    </row>
    <row r="49" spans="1:18" s="1896" customFormat="1" ht="18" customHeight="1" thickBot="1">
      <c r="A49" s="759"/>
      <c r="B49" s="760"/>
      <c r="C49" s="761"/>
      <c r="D49" s="762"/>
      <c r="E49" s="757" t="s">
        <v>1539</v>
      </c>
      <c r="F49" s="758">
        <f ca="1">F7</f>
        <v>0</v>
      </c>
      <c r="G49" s="1926"/>
      <c r="H49" s="1929"/>
      <c r="I49" s="2717" t="s">
        <v>2133</v>
      </c>
      <c r="J49" s="2192"/>
      <c r="K49" s="2728" t="s">
        <v>2139</v>
      </c>
      <c r="L49" s="2193"/>
      <c r="M49" s="3171"/>
      <c r="O49" s="2207" t="s">
        <v>2168</v>
      </c>
      <c r="P49" s="2208" t="s">
        <v>2193</v>
      </c>
      <c r="Q49" s="2209" t="e">
        <f ca="1">J60</f>
        <v>#DIV/0!</v>
      </c>
      <c r="R49" s="2208" t="s">
        <v>2169</v>
      </c>
    </row>
    <row r="50" spans="1:18" s="1896" customFormat="1" ht="18" customHeight="1" thickBot="1">
      <c r="A50" s="759"/>
      <c r="B50" s="760"/>
      <c r="C50" s="761"/>
      <c r="D50" s="762"/>
      <c r="E50" s="757" t="s">
        <v>1540</v>
      </c>
      <c r="F50" s="758">
        <f ca="1">F8</f>
        <v>0</v>
      </c>
      <c r="G50" s="1931"/>
      <c r="H50" s="1929"/>
      <c r="I50" s="2717" t="s">
        <v>2134</v>
      </c>
      <c r="J50" s="2724">
        <f>SUMPRODUCT((I63:I65=J47)*(J62:L62=J48)*(J63:L65))</f>
        <v>0</v>
      </c>
      <c r="K50" s="2728" t="s">
        <v>2140</v>
      </c>
      <c r="L50" s="2193"/>
      <c r="M50" s="3171"/>
      <c r="O50" s="2210" t="s">
        <v>2170</v>
      </c>
      <c r="P50" s="2208" t="s">
        <v>2194</v>
      </c>
      <c r="Q50" s="2209">
        <f ca="1">C29</f>
        <v>0</v>
      </c>
      <c r="R50" s="2208" t="s">
        <v>2167</v>
      </c>
    </row>
    <row r="51" spans="1:18" s="1896" customFormat="1" ht="18" customHeight="1" thickBot="1">
      <c r="A51" s="759"/>
      <c r="B51" s="760"/>
      <c r="C51" s="761"/>
      <c r="D51" s="762"/>
      <c r="E51" s="757" t="s">
        <v>622</v>
      </c>
      <c r="F51" s="2180"/>
      <c r="H51" s="1929"/>
      <c r="I51" s="2721" t="s">
        <v>2135</v>
      </c>
      <c r="J51" s="2725">
        <f>IF(J49="",J50,J49+J50-YEAR('数据-取费表'!B2))</f>
        <v>0</v>
      </c>
      <c r="K51" s="2717" t="s">
        <v>2141</v>
      </c>
      <c r="L51" s="2731">
        <f ca="1">ROUND(-PV(INDIRECT("'数据-取费表'!h"&amp;$G$1),J51,(C39-C13*J36),0),0)</f>
        <v>0</v>
      </c>
      <c r="M51" s="3171"/>
      <c r="O51" s="2210" t="s">
        <v>2171</v>
      </c>
      <c r="P51" s="2208" t="s">
        <v>2172</v>
      </c>
      <c r="Q51" s="2211" t="e">
        <f ca="1">J58</f>
        <v>#DIV/0!</v>
      </c>
      <c r="R51" s="2212"/>
    </row>
    <row r="52" spans="1:18" s="1896" customFormat="1" ht="18" customHeight="1" thickBot="1">
      <c r="A52" s="754" t="s">
        <v>2254</v>
      </c>
      <c r="B52" s="2299" t="s">
        <v>2238</v>
      </c>
      <c r="C52" s="772">
        <f ca="1">ROUND(IF(F52="押一",C48/12*F11,IF(F52="押二",C48/12*2*F11,IF(F52="押三",C48/12*3*F11,C53*F11))),0)</f>
        <v>0</v>
      </c>
      <c r="D52" s="2306" t="s">
        <v>2667</v>
      </c>
      <c r="E52" s="2303" t="s">
        <v>2243</v>
      </c>
      <c r="F52" s="2387"/>
      <c r="I52" s="2722" t="s">
        <v>2208</v>
      </c>
      <c r="J52" s="2194"/>
      <c r="K52" s="2722" t="s">
        <v>2207</v>
      </c>
      <c r="L52" s="2194"/>
      <c r="M52" s="3171"/>
      <c r="O52" s="2210" t="s">
        <v>2173</v>
      </c>
      <c r="P52" s="2208" t="s">
        <v>2174</v>
      </c>
      <c r="Q52" s="2211">
        <f>J52</f>
        <v>0</v>
      </c>
      <c r="R52" s="2212"/>
    </row>
    <row r="53" spans="1:18" s="1896" customFormat="1" ht="39.75" customHeight="1" thickBot="1">
      <c r="A53" s="759"/>
      <c r="B53" s="2300" t="s">
        <v>2291</v>
      </c>
      <c r="C53" s="2304"/>
      <c r="D53" s="2306"/>
      <c r="E53" s="2303"/>
      <c r="F53" s="773"/>
      <c r="I53" s="2723" t="s">
        <v>2670</v>
      </c>
      <c r="J53" s="2776">
        <f ca="1">IF(M47="住宅",IF(D1="——",MAX(J51,L48),MAX(J51,L48-'数据-取费表'!B20)),IF(D1="——",MIN(J51,L48),MIN(J51,L48-'数据-取费表'!B20)))</f>
        <v>0</v>
      </c>
      <c r="K53" s="3749" t="s">
        <v>2660</v>
      </c>
      <c r="L53" s="3750"/>
      <c r="M53" s="3171"/>
      <c r="O53" s="2210" t="s">
        <v>2175</v>
      </c>
      <c r="P53" s="2208" t="s">
        <v>2176</v>
      </c>
      <c r="Q53" s="2209">
        <f ca="1">J53</f>
        <v>0</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2"/>
      <c r="M54" s="3171"/>
      <c r="O54" s="2207" t="s">
        <v>2178</v>
      </c>
      <c r="P54" s="2208" t="s">
        <v>2195</v>
      </c>
      <c r="Q54" s="2209" t="e">
        <f ca="1">Q48+Q49</f>
        <v>#DIV/0!</v>
      </c>
      <c r="R54" s="2212" t="s">
        <v>2179</v>
      </c>
    </row>
    <row r="55" spans="1:18" s="1896" customFormat="1" ht="18" customHeight="1" thickTop="1" thickBot="1">
      <c r="A55" s="770">
        <v>2</v>
      </c>
      <c r="B55" s="771" t="s">
        <v>626</v>
      </c>
      <c r="C55" s="772">
        <f ca="1">C13</f>
        <v>0</v>
      </c>
      <c r="D55" s="768"/>
      <c r="E55" s="768"/>
      <c r="F55" s="773"/>
      <c r="I55" s="2734" t="s">
        <v>2142</v>
      </c>
      <c r="J55" s="2706" t="e">
        <f ca="1">ROUND(IF(J47="钢混",J57/J50,1-(1-2%)*(J50-J57)/J50),3)</f>
        <v>#DIV/0!</v>
      </c>
      <c r="K55" s="2735" t="s">
        <v>2143</v>
      </c>
      <c r="L55" s="2195"/>
      <c r="M55" s="3171"/>
      <c r="O55" s="2213" t="s">
        <v>2198</v>
      </c>
      <c r="P55" s="1482"/>
      <c r="Q55" s="1490"/>
      <c r="R55" s="1482"/>
    </row>
    <row r="56" spans="1:18" s="1896" customFormat="1" ht="42.75" customHeight="1" thickBot="1">
      <c r="A56" s="1533"/>
      <c r="B56" s="2065" t="s">
        <v>2092</v>
      </c>
      <c r="C56" s="53">
        <f ca="1">C29</f>
        <v>0</v>
      </c>
      <c r="D56" s="2403"/>
      <c r="E56" s="757"/>
      <c r="F56" s="782"/>
      <c r="I56" s="2736" t="s">
        <v>2144</v>
      </c>
      <c r="J56" s="2746"/>
      <c r="K56" s="2717" t="s">
        <v>2149</v>
      </c>
      <c r="L56" s="1777">
        <f ca="1">IF(L48&lt;J51,"——",L48-J51)</f>
        <v>0</v>
      </c>
      <c r="M56" s="3171"/>
      <c r="O56" s="2204" t="s">
        <v>2162</v>
      </c>
      <c r="P56" s="2205" t="s">
        <v>2163</v>
      </c>
      <c r="Q56" s="2206" t="s">
        <v>2164</v>
      </c>
      <c r="R56" s="2205" t="s">
        <v>2165</v>
      </c>
    </row>
    <row r="57" spans="1:18" s="1896" customFormat="1" ht="28.5" customHeight="1" thickBot="1">
      <c r="A57" s="770" t="s">
        <v>1548</v>
      </c>
      <c r="B57" s="771" t="s">
        <v>633</v>
      </c>
      <c r="C57" s="772">
        <f ca="1">ROUND(C58+C63+C64+C65,0)</f>
        <v>0</v>
      </c>
      <c r="D57" s="26" t="s">
        <v>1550</v>
      </c>
      <c r="E57" s="2404"/>
      <c r="F57" s="56"/>
      <c r="I57" s="2737" t="s">
        <v>2145</v>
      </c>
      <c r="J57" s="2738">
        <f ca="1">IF(OR(M47="住宅",J51&lt;L48,J56="是"),"——",J51-L48)</f>
        <v>0</v>
      </c>
      <c r="K57" s="2717" t="s">
        <v>2150</v>
      </c>
      <c r="L57" s="1777">
        <f ca="1">IF(L48&lt;J51,"——",IF(L55="比较法",L49,IF(L55="基准地价",L50,L51)))</f>
        <v>0</v>
      </c>
      <c r="M57" s="3171"/>
      <c r="O57" s="2207" t="s">
        <v>2166</v>
      </c>
      <c r="P57" s="2208" t="s">
        <v>2196</v>
      </c>
      <c r="Q57" s="2209" t="e">
        <f ca="1">C40+J29</f>
        <v>#DIV/0!</v>
      </c>
      <c r="R57" s="2208" t="s">
        <v>2167</v>
      </c>
    </row>
    <row r="58" spans="1:18" s="1896" customFormat="1" ht="28.5" customHeight="1" thickBot="1">
      <c r="A58" s="1532" t="s">
        <v>1624</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#DIV/0!</v>
      </c>
      <c r="K58" s="2717" t="s">
        <v>2151</v>
      </c>
      <c r="L58" s="1777" t="e">
        <f ca="1">ROUND(POWER(1+L52,L47-L48)*(POWER(1+L52,L48)-1)/(POWER(1+L52,L47)-1),4)</f>
        <v>#DIV/0!</v>
      </c>
      <c r="M58" s="3171"/>
      <c r="O58" s="2207" t="s">
        <v>2168</v>
      </c>
      <c r="P58" s="2208" t="s">
        <v>2199</v>
      </c>
      <c r="Q58" s="2209" t="e">
        <f ca="1">L60</f>
        <v>#DIV/0!</v>
      </c>
      <c r="R58" s="2212" t="s">
        <v>2201</v>
      </c>
    </row>
    <row r="59" spans="1:18" s="1896" customFormat="1" ht="28.5" customHeight="1" thickBot="1">
      <c r="A59" s="1531" t="s">
        <v>1631</v>
      </c>
      <c r="B59" s="757" t="s">
        <v>642</v>
      </c>
      <c r="C59" s="53">
        <f ca="1">ROUND(C47*F59/1.05,1)</f>
        <v>0</v>
      </c>
      <c r="D59" s="2403" t="s">
        <v>1556</v>
      </c>
      <c r="E59" s="757" t="s">
        <v>1547</v>
      </c>
      <c r="F59" s="782">
        <f t="shared" ref="F59:F65" si="0">F32</f>
        <v>5.5000000000000007E-2</v>
      </c>
      <c r="I59" s="2737" t="s">
        <v>2147</v>
      </c>
      <c r="J59" s="2738" t="e">
        <f ca="1">IF(OR(M47="住宅",J51&lt;L48,J56="是"),"——",ROUND(C29*J58,0))</f>
        <v>#DIV/0!</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按房产原值计税</v>
      </c>
      <c r="E60" s="757" t="s">
        <v>1547</v>
      </c>
      <c r="F60" s="782">
        <f t="shared" si="0"/>
        <v>1.2E-2</v>
      </c>
      <c r="I60" s="2739" t="s">
        <v>2148</v>
      </c>
      <c r="J60" s="2740" t="e">
        <f ca="1">IF(OR(M47="住宅",J51&lt;L48,J56="是"),"0",ROUND(J59/(1+J52)^J53,0))</f>
        <v>#DIV/0!</v>
      </c>
      <c r="K60" s="2741" t="s">
        <v>2153</v>
      </c>
      <c r="L60" s="2740" t="e">
        <f ca="1">IF(OR(M47="住宅",L48&lt;J51),0,ROUND(L57*(L58/L59-1),0))</f>
        <v>#DIV/0!</v>
      </c>
      <c r="M60" s="3171"/>
      <c r="O60" s="2210" t="s">
        <v>2171</v>
      </c>
      <c r="P60" s="2208" t="s">
        <v>2180</v>
      </c>
      <c r="Q60" s="2211">
        <f>L52</f>
        <v>0</v>
      </c>
      <c r="R60" s="2212"/>
    </row>
    <row r="61" spans="1:18" s="1896" customFormat="1" ht="18" customHeight="1" thickBot="1">
      <c r="A61" s="1534" t="s">
        <v>1633</v>
      </c>
      <c r="B61" s="339" t="s">
        <v>650</v>
      </c>
      <c r="C61" s="54">
        <f ca="1">ROUND(F61*F62/10000,1)</f>
        <v>0</v>
      </c>
      <c r="D61" s="786" t="s">
        <v>651</v>
      </c>
      <c r="E61" s="757" t="s">
        <v>652</v>
      </c>
      <c r="F61" s="615">
        <f t="shared" si="0"/>
        <v>2</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0</v>
      </c>
      <c r="I62" s="2742" t="s">
        <v>2154</v>
      </c>
      <c r="J62" s="2743" t="s">
        <v>2155</v>
      </c>
      <c r="K62" s="2743" t="s">
        <v>2156</v>
      </c>
      <c r="L62" s="2743" t="s">
        <v>2137</v>
      </c>
      <c r="M62" s="2744" t="s">
        <v>2639</v>
      </c>
      <c r="O62" s="2210" t="s">
        <v>2175</v>
      </c>
      <c r="P62" s="2208" t="str">
        <f>K59</f>
        <v>建筑物剩余耐用年限下的土地年期修正系数Kn</v>
      </c>
      <c r="Q62" s="2209" t="e">
        <f ca="1">L59</f>
        <v>#DIV/0!</v>
      </c>
      <c r="R62" s="2212" t="s">
        <v>2184</v>
      </c>
    </row>
    <row r="63" spans="1:18" s="1896" customFormat="1" ht="15.75" thickBot="1">
      <c r="A63" s="1532" t="s">
        <v>1685</v>
      </c>
      <c r="B63" s="757" t="s">
        <v>658</v>
      </c>
      <c r="C63" s="53">
        <f ca="1">ROUND(C56*F63,1)</f>
        <v>0</v>
      </c>
      <c r="D63" s="2403" t="s">
        <v>1603</v>
      </c>
      <c r="E63" s="757" t="s">
        <v>1547</v>
      </c>
      <c r="F63" s="789">
        <f t="shared" ca="1" si="0"/>
        <v>0</v>
      </c>
      <c r="I63" s="2742" t="s">
        <v>2157</v>
      </c>
      <c r="J63" s="2743">
        <v>70</v>
      </c>
      <c r="K63" s="2743">
        <v>50</v>
      </c>
      <c r="L63" s="2743">
        <v>80</v>
      </c>
      <c r="M63" s="2745">
        <v>0.02</v>
      </c>
      <c r="O63" s="2207" t="s">
        <v>2178</v>
      </c>
      <c r="P63" s="2208" t="s">
        <v>2195</v>
      </c>
      <c r="Q63" s="2209" t="e">
        <f ca="1">Q57+Q58</f>
        <v>#DIV/0!</v>
      </c>
      <c r="R63" s="2212" t="s">
        <v>2179</v>
      </c>
    </row>
    <row r="64" spans="1:18" s="1896" customFormat="1" ht="16.5" thickBot="1">
      <c r="A64" s="1532" t="s">
        <v>1686</v>
      </c>
      <c r="B64" s="757" t="s">
        <v>661</v>
      </c>
      <c r="C64" s="53">
        <f ca="1">ROUND(C55*F64,1)</f>
        <v>0</v>
      </c>
      <c r="D64" s="2403" t="s">
        <v>662</v>
      </c>
      <c r="E64" s="757" t="s">
        <v>1547</v>
      </c>
      <c r="F64" s="790">
        <f t="shared" ca="1" si="0"/>
        <v>0</v>
      </c>
      <c r="I64" s="2742" t="s">
        <v>2158</v>
      </c>
      <c r="J64" s="2743">
        <v>50</v>
      </c>
      <c r="K64" s="2743">
        <v>35</v>
      </c>
      <c r="L64" s="2743">
        <v>60</v>
      </c>
      <c r="M64" s="818">
        <v>0</v>
      </c>
      <c r="O64" s="2213" t="s">
        <v>2202</v>
      </c>
      <c r="P64" s="1482"/>
      <c r="Q64" s="1490"/>
      <c r="R64" s="1482"/>
    </row>
    <row r="65" spans="1:18" s="1896" customFormat="1" ht="15.75" thickBot="1">
      <c r="A65" s="1532" t="s">
        <v>1687</v>
      </c>
      <c r="B65" s="757" t="s">
        <v>648</v>
      </c>
      <c r="C65" s="53">
        <f ca="1">ROUND(C47*F65,1)</f>
        <v>0</v>
      </c>
      <c r="D65" s="2403" t="s">
        <v>665</v>
      </c>
      <c r="E65" s="757" t="s">
        <v>1547</v>
      </c>
      <c r="F65" s="767">
        <f t="shared" ca="1" si="0"/>
        <v>0</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0</v>
      </c>
      <c r="D66" s="2402" t="s">
        <v>682</v>
      </c>
      <c r="E66" s="2401"/>
      <c r="F66" s="792"/>
      <c r="K66" s="1922"/>
      <c r="O66" s="2207" t="s">
        <v>2166</v>
      </c>
      <c r="P66" s="2208" t="s">
        <v>2196</v>
      </c>
      <c r="Q66" s="2209" t="e">
        <f ca="1">C40+J29</f>
        <v>#DIV/0!</v>
      </c>
      <c r="R66" s="2208" t="s">
        <v>2167</v>
      </c>
    </row>
    <row r="67" spans="1:18" s="1896" customFormat="1" ht="20.25" thickBot="1">
      <c r="A67" s="754" t="s">
        <v>1580</v>
      </c>
      <c r="B67" s="2066" t="s">
        <v>2091</v>
      </c>
      <c r="C67" s="756" t="e">
        <f ca="1">ROUND(C66*(1-((1+F69)/(1+F67))^F68)/(F67-F69),0)</f>
        <v>#DIV/0!</v>
      </c>
      <c r="D67" s="786" t="s">
        <v>686</v>
      </c>
      <c r="E67" s="757" t="s">
        <v>687</v>
      </c>
      <c r="F67" s="767">
        <f ca="1">F40</f>
        <v>0</v>
      </c>
      <c r="K67" s="1922"/>
      <c r="O67" s="2207" t="s">
        <v>2168</v>
      </c>
      <c r="P67" s="2208" t="s">
        <v>2199</v>
      </c>
      <c r="Q67" s="2209" t="e">
        <f ca="1">L60</f>
        <v>#DIV/0!</v>
      </c>
      <c r="R67" s="2212" t="s">
        <v>2201</v>
      </c>
    </row>
    <row r="68" spans="1:18" ht="21.75" thickBot="1">
      <c r="A68" s="759"/>
      <c r="B68" s="760"/>
      <c r="C68" s="761"/>
      <c r="D68" s="793" t="s">
        <v>1608</v>
      </c>
      <c r="E68" s="757" t="s">
        <v>1584</v>
      </c>
      <c r="F68" s="794">
        <f ca="1">F41</f>
        <v>0</v>
      </c>
      <c r="O68" s="2210" t="s">
        <v>2170</v>
      </c>
      <c r="P68" s="2208" t="s">
        <v>2200</v>
      </c>
      <c r="Q68" s="2214">
        <f ca="1">L51</f>
        <v>0</v>
      </c>
      <c r="R68" s="2215" t="s">
        <v>2203</v>
      </c>
    </row>
    <row r="69" spans="1:18" ht="20.25" thickBot="1">
      <c r="A69" s="763"/>
      <c r="B69" s="764"/>
      <c r="C69" s="765"/>
      <c r="D69" s="788"/>
      <c r="E69" s="757" t="s">
        <v>692</v>
      </c>
      <c r="F69" s="2180"/>
      <c r="O69" s="2210" t="s">
        <v>2171</v>
      </c>
      <c r="P69" s="2216" t="s">
        <v>2185</v>
      </c>
      <c r="Q69" s="2209">
        <f ca="1">ROUND(Q70-Q71*Q72,0)</f>
        <v>0</v>
      </c>
      <c r="R69" s="2212"/>
    </row>
    <row r="70" spans="1:18" ht="15.75" thickBot="1">
      <c r="A70" s="795" t="s">
        <v>1587</v>
      </c>
      <c r="B70" s="796" t="s">
        <v>1610</v>
      </c>
      <c r="C70" s="797" t="e">
        <f ca="1">ROUND(C67*10000/F70,0)</f>
        <v>#DIV/0!</v>
      </c>
      <c r="D70" s="798" t="s">
        <v>1611</v>
      </c>
      <c r="E70" s="799" t="s">
        <v>1612</v>
      </c>
      <c r="F70" s="800">
        <f ca="1">F43</f>
        <v>0</v>
      </c>
      <c r="O70" s="2210" t="s">
        <v>2186</v>
      </c>
      <c r="P70" s="2216" t="s">
        <v>2187</v>
      </c>
      <c r="Q70" s="2209">
        <f ca="1">C39</f>
        <v>0</v>
      </c>
      <c r="R70" s="2208" t="s">
        <v>2167</v>
      </c>
    </row>
    <row r="71" spans="1:18" ht="15.75" thickBot="1">
      <c r="O71" s="2210" t="s">
        <v>2188</v>
      </c>
      <c r="P71" s="2216" t="s">
        <v>2189</v>
      </c>
      <c r="Q71" s="2209">
        <f ca="1">C13</f>
        <v>0</v>
      </c>
      <c r="R71" s="2208" t="s">
        <v>2167</v>
      </c>
    </row>
    <row r="72" spans="1:18" ht="15.75" thickBot="1">
      <c r="O72" s="2210" t="s">
        <v>2190</v>
      </c>
      <c r="P72" s="2216" t="s">
        <v>2191</v>
      </c>
      <c r="Q72" s="2211">
        <f ca="1">J36</f>
        <v>0</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建筑物剩余耐用年限下的土地年期修正系数Kn</v>
      </c>
      <c r="Q75" s="2209" t="e">
        <f ca="1">L59</f>
        <v>#DIV/0!</v>
      </c>
      <c r="R75" s="2212" t="s">
        <v>2184</v>
      </c>
    </row>
    <row r="76" spans="1:18" ht="15.75" thickBot="1">
      <c r="O76" s="2207" t="s">
        <v>2178</v>
      </c>
      <c r="P76" s="2208" t="s">
        <v>2195</v>
      </c>
      <c r="Q76" s="2209" t="e">
        <f ca="1">Q66+Q67</f>
        <v>#DIV/0!</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20" sqref="L20"/>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2880</v>
      </c>
      <c r="B1" s="3225"/>
      <c r="C1" s="3238"/>
      <c r="D1" s="3238"/>
      <c r="E1" s="3226"/>
      <c r="F1" s="3227"/>
      <c r="G1" s="3228"/>
      <c r="J1" s="3231" t="s">
        <v>2737</v>
      </c>
      <c r="K1" s="3232"/>
      <c r="L1" s="3232"/>
      <c r="M1" s="3232"/>
      <c r="N1" s="3232"/>
      <c r="O1" s="3232"/>
      <c r="P1" s="3232"/>
      <c r="Q1" s="3232"/>
      <c r="R1" s="3233"/>
      <c r="S1" s="3234"/>
      <c r="T1" s="3234"/>
      <c r="U1" s="3234"/>
    </row>
    <row r="2" spans="1:22" s="3247" customFormat="1" ht="13.15" customHeight="1">
      <c r="A2" s="3236" t="s">
        <v>2738</v>
      </c>
      <c r="B2" s="3237" t="e">
        <f>C40</f>
        <v>#DIV/0!</v>
      </c>
      <c r="C2" s="3238" t="s">
        <v>2739</v>
      </c>
      <c r="D2" s="3238"/>
      <c r="E2" s="3239"/>
      <c r="F2" s="3240"/>
      <c r="G2" s="3241"/>
      <c r="H2" s="3242"/>
      <c r="I2" s="3243"/>
      <c r="J2" s="3757" t="s">
        <v>2740</v>
      </c>
      <c r="K2" s="3758"/>
      <c r="L2" s="3244" t="s">
        <v>2741</v>
      </c>
      <c r="M2" s="3244" t="s">
        <v>2742</v>
      </c>
      <c r="N2" s="3244" t="s">
        <v>2743</v>
      </c>
      <c r="O2" s="3244" t="s">
        <v>2744</v>
      </c>
      <c r="P2" s="3244" t="s">
        <v>2745</v>
      </c>
      <c r="Q2" s="3245" t="s">
        <v>2746</v>
      </c>
      <c r="R2" s="3246" t="s">
        <v>2747</v>
      </c>
      <c r="S2" s="3234"/>
      <c r="T2" s="3234"/>
      <c r="U2" s="3234"/>
      <c r="V2" s="3243"/>
    </row>
    <row r="3" spans="1:22" s="3247" customFormat="1" ht="13.15" customHeight="1">
      <c r="A3" s="3248" t="s">
        <v>2748</v>
      </c>
      <c r="B3" s="3249" t="e">
        <f>ROUND(B2*10000/B4,0)</f>
        <v>#DIV/0!</v>
      </c>
      <c r="C3" s="3238" t="s">
        <v>2749</v>
      </c>
      <c r="D3" s="3238"/>
      <c r="E3" s="3239"/>
      <c r="F3" s="3240"/>
      <c r="G3" s="3241"/>
      <c r="H3" s="3242"/>
      <c r="I3" s="3243"/>
      <c r="J3" s="3759" t="s">
        <v>2750</v>
      </c>
      <c r="K3" s="3760"/>
      <c r="L3" s="3250"/>
      <c r="M3" s="3250"/>
      <c r="N3" s="3250"/>
      <c r="O3" s="3250"/>
      <c r="P3" s="3250"/>
      <c r="Q3" s="3251"/>
      <c r="R3" s="3252">
        <f>SUM(L3:Q3)</f>
        <v>0</v>
      </c>
      <c r="S3" s="3234"/>
      <c r="T3" s="3234"/>
      <c r="U3" s="3234"/>
      <c r="V3" s="3243"/>
    </row>
    <row r="4" spans="1:22" s="3247" customFormat="1" ht="13.15" customHeight="1">
      <c r="A4" s="3253" t="s">
        <v>2751</v>
      </c>
      <c r="B4" s="3254"/>
      <c r="C4" s="3238"/>
      <c r="D4" s="3238"/>
      <c r="E4" s="3239"/>
      <c r="F4" s="3240"/>
      <c r="G4" s="3241"/>
      <c r="H4" s="3242"/>
      <c r="I4" s="3243"/>
      <c r="J4" s="3759" t="s">
        <v>2752</v>
      </c>
      <c r="K4" s="3760"/>
      <c r="L4" s="3255"/>
      <c r="M4" s="3255"/>
      <c r="N4" s="3255"/>
      <c r="O4" s="3255"/>
      <c r="P4" s="3255"/>
      <c r="Q4" s="3256"/>
      <c r="R4" s="3257">
        <f>SUM(L4:Q4)</f>
        <v>0</v>
      </c>
      <c r="S4" s="3234"/>
      <c r="T4" s="3234"/>
      <c r="U4" s="3234"/>
      <c r="V4" s="3243"/>
    </row>
    <row r="5" spans="1:22" s="3247" customFormat="1" ht="13.15" customHeight="1" thickBot="1">
      <c r="A5" s="3258" t="s">
        <v>2753</v>
      </c>
      <c r="B5" s="3259"/>
      <c r="C5" s="3238"/>
      <c r="D5" s="3260"/>
      <c r="E5" s="3240"/>
      <c r="F5" s="3240"/>
      <c r="G5" s="3241"/>
      <c r="H5" s="3242"/>
      <c r="I5" s="3243"/>
      <c r="J5" s="3261" t="s">
        <v>2754</v>
      </c>
      <c r="K5" s="3262"/>
      <c r="L5" s="3262"/>
      <c r="M5" s="3263"/>
      <c r="N5" s="3263"/>
      <c r="O5" s="3263"/>
      <c r="P5" s="3263"/>
      <c r="Q5" s="3263"/>
      <c r="R5" s="3246">
        <f>SUM(R14,R19,R24,R25,R27,R28)</f>
        <v>0</v>
      </c>
      <c r="S5" s="3234"/>
      <c r="T5" s="3234" t="s">
        <v>2755</v>
      </c>
      <c r="U5" s="3234" t="e">
        <f>ROUND(R5*10000/365/R3,1)</f>
        <v>#DIV/0!</v>
      </c>
      <c r="V5" s="3243"/>
    </row>
    <row r="6" spans="1:22" s="3247" customFormat="1" ht="13.15" customHeight="1" thickBot="1">
      <c r="A6" s="3765" t="s">
        <v>2756</v>
      </c>
      <c r="B6" s="3766"/>
      <c r="C6" s="3767"/>
      <c r="D6" s="3264"/>
      <c r="E6" s="3265"/>
      <c r="F6" s="3266"/>
      <c r="G6" s="3267"/>
      <c r="H6" s="3242"/>
      <c r="I6" s="3243"/>
      <c r="J6" s="3751">
        <v>1</v>
      </c>
      <c r="K6" s="3752" t="s">
        <v>2757</v>
      </c>
      <c r="L6" s="3268" t="s">
        <v>2758</v>
      </c>
      <c r="M6" s="3269" t="s">
        <v>2759</v>
      </c>
      <c r="N6" s="3269" t="s">
        <v>2760</v>
      </c>
      <c r="O6" s="3269" t="s">
        <v>2761</v>
      </c>
      <c r="P6" s="3269" t="s">
        <v>2762</v>
      </c>
      <c r="Q6" s="3269" t="s">
        <v>2763</v>
      </c>
      <c r="R6" s="3252" t="s">
        <v>2764</v>
      </c>
      <c r="S6" s="3234"/>
      <c r="T6" s="3234" t="s">
        <v>2765</v>
      </c>
      <c r="U6" s="3234"/>
      <c r="V6" s="3243"/>
    </row>
    <row r="7" spans="1:22" s="3247" customFormat="1" ht="13.15" customHeight="1">
      <c r="A7" s="3270" t="s">
        <v>2766</v>
      </c>
      <c r="B7" s="3271"/>
      <c r="C7" s="3272"/>
      <c r="D7" s="3273">
        <f>SUM(D9,D10,D11,D17,0)</f>
        <v>0</v>
      </c>
      <c r="E7" s="3274" t="e">
        <f>E9+E10+E11+E17</f>
        <v>#DIV/0!</v>
      </c>
      <c r="F7" s="3275"/>
      <c r="G7" s="3276"/>
      <c r="H7" s="3242"/>
      <c r="I7" s="3243"/>
      <c r="J7" s="3751"/>
      <c r="K7" s="3753"/>
      <c r="L7" s="3277" t="s">
        <v>2767</v>
      </c>
      <c r="M7" s="3278"/>
      <c r="N7" s="3254"/>
      <c r="O7" s="3279"/>
      <c r="P7" s="3279"/>
      <c r="Q7" s="3280">
        <v>365</v>
      </c>
      <c r="R7" s="3281">
        <f>ROUND(M7*N7*O7*P7*Q7/10000,0)</f>
        <v>0</v>
      </c>
      <c r="S7" s="3234"/>
      <c r="T7" s="3234" t="s">
        <v>2768</v>
      </c>
      <c r="U7" s="3234"/>
      <c r="V7" s="3243"/>
    </row>
    <row r="8" spans="1:22" s="3247" customFormat="1" ht="13.15" customHeight="1">
      <c r="A8" s="3282" t="s">
        <v>2769</v>
      </c>
      <c r="B8" s="3768" t="s">
        <v>2770</v>
      </c>
      <c r="C8" s="3769"/>
      <c r="D8" s="3283" t="s">
        <v>2771</v>
      </c>
      <c r="E8" s="3284" t="s">
        <v>2772</v>
      </c>
      <c r="F8" s="3285" t="s">
        <v>2773</v>
      </c>
      <c r="G8" s="3286"/>
      <c r="H8" s="3242"/>
      <c r="I8" s="3243"/>
      <c r="J8" s="3751"/>
      <c r="K8" s="3753"/>
      <c r="L8" s="3277" t="s">
        <v>2774</v>
      </c>
      <c r="M8" s="3278"/>
      <c r="N8" s="3254"/>
      <c r="O8" s="3279"/>
      <c r="P8" s="3279"/>
      <c r="Q8" s="3280">
        <v>365</v>
      </c>
      <c r="R8" s="3281">
        <f t="shared" ref="R8:R13" si="0">ROUND(M8*N8*O8*P8*Q8/10000,0)</f>
        <v>0</v>
      </c>
      <c r="S8" s="3234"/>
      <c r="T8" s="3234" t="s">
        <v>2775</v>
      </c>
      <c r="U8" s="3234"/>
      <c r="V8" s="3243"/>
    </row>
    <row r="9" spans="1:22" s="3247" customFormat="1" ht="13.15" customHeight="1">
      <c r="A9" s="3282">
        <v>1</v>
      </c>
      <c r="B9" s="3768" t="s">
        <v>2776</v>
      </c>
      <c r="C9" s="3769"/>
      <c r="D9" s="3283">
        <f>ROUND(D6*E9,0)</f>
        <v>0</v>
      </c>
      <c r="E9" s="3287"/>
      <c r="F9" s="3288" t="s">
        <v>2777</v>
      </c>
      <c r="G9" s="3267"/>
      <c r="H9" s="3242"/>
      <c r="I9" s="3243"/>
      <c r="J9" s="3751"/>
      <c r="K9" s="3753"/>
      <c r="L9" s="3277" t="s">
        <v>2778</v>
      </c>
      <c r="M9" s="3278"/>
      <c r="N9" s="3254"/>
      <c r="O9" s="3279"/>
      <c r="P9" s="3279"/>
      <c r="Q9" s="3280">
        <v>365</v>
      </c>
      <c r="R9" s="3281">
        <f t="shared" si="0"/>
        <v>0</v>
      </c>
      <c r="S9" s="3234"/>
      <c r="T9" s="3234"/>
      <c r="U9" s="3234"/>
      <c r="V9" s="3243"/>
    </row>
    <row r="10" spans="1:22" s="3247" customFormat="1" ht="13.15" customHeight="1">
      <c r="A10" s="3282">
        <v>2</v>
      </c>
      <c r="B10" s="3768" t="s">
        <v>2779</v>
      </c>
      <c r="C10" s="3769"/>
      <c r="D10" s="3283">
        <f>ROUND(D6*E10,0)</f>
        <v>0</v>
      </c>
      <c r="E10" s="3287"/>
      <c r="F10" s="3288" t="s">
        <v>2780</v>
      </c>
      <c r="G10" s="3267"/>
      <c r="H10" s="3242"/>
      <c r="I10" s="3243"/>
      <c r="J10" s="3751"/>
      <c r="K10" s="3753"/>
      <c r="L10" s="3277" t="s">
        <v>2781</v>
      </c>
      <c r="M10" s="3278"/>
      <c r="N10" s="3254"/>
      <c r="O10" s="3279"/>
      <c r="P10" s="3279"/>
      <c r="Q10" s="3280">
        <v>365</v>
      </c>
      <c r="R10" s="3281">
        <f t="shared" si="0"/>
        <v>0</v>
      </c>
      <c r="S10" s="3234"/>
      <c r="T10" s="3234"/>
      <c r="U10" s="3234"/>
      <c r="V10" s="3243"/>
    </row>
    <row r="11" spans="1:22" s="3247" customFormat="1" ht="13.15" customHeight="1">
      <c r="A11" s="3282">
        <v>3</v>
      </c>
      <c r="B11" s="3768" t="s">
        <v>2782</v>
      </c>
      <c r="C11" s="3769"/>
      <c r="D11" s="3283">
        <f>D12+D14+D15+D16</f>
        <v>0</v>
      </c>
      <c r="E11" s="3289" t="e">
        <f>D11/D6</f>
        <v>#DIV/0!</v>
      </c>
      <c r="F11" s="3285"/>
      <c r="G11" s="3286"/>
      <c r="H11" s="3242"/>
      <c r="I11" s="3243"/>
      <c r="J11" s="3751"/>
      <c r="K11" s="3753"/>
      <c r="L11" s="3277" t="s">
        <v>2783</v>
      </c>
      <c r="M11" s="3278"/>
      <c r="N11" s="3254"/>
      <c r="O11" s="3279"/>
      <c r="P11" s="3279"/>
      <c r="Q11" s="3280">
        <v>365</v>
      </c>
      <c r="R11" s="3281">
        <f t="shared" si="0"/>
        <v>0</v>
      </c>
      <c r="S11" s="3234"/>
      <c r="T11" s="3234"/>
      <c r="U11" s="3234"/>
      <c r="V11" s="3243"/>
    </row>
    <row r="12" spans="1:22" s="3247" customFormat="1" ht="13.15" customHeight="1">
      <c r="A12" s="3290" t="s">
        <v>2784</v>
      </c>
      <c r="B12" s="3761" t="s">
        <v>2785</v>
      </c>
      <c r="C12" s="3762"/>
      <c r="D12" s="3291">
        <f>ROUND(D13*1.2%*(1-30%),0)</f>
        <v>0</v>
      </c>
      <c r="E12" s="3292">
        <v>1.2E-2</v>
      </c>
      <c r="F12" s="3285" t="s">
        <v>2786</v>
      </c>
      <c r="G12" s="3286"/>
      <c r="H12" s="3242"/>
      <c r="I12" s="3243"/>
      <c r="J12" s="3751"/>
      <c r="K12" s="3753"/>
      <c r="L12" s="3277" t="s">
        <v>2787</v>
      </c>
      <c r="M12" s="3278"/>
      <c r="N12" s="3254"/>
      <c r="O12" s="3279"/>
      <c r="P12" s="3279"/>
      <c r="Q12" s="3280">
        <v>365</v>
      </c>
      <c r="R12" s="3281">
        <f t="shared" si="0"/>
        <v>0</v>
      </c>
      <c r="S12" s="3234"/>
      <c r="T12" s="3234"/>
      <c r="U12" s="3234"/>
      <c r="V12" s="3243"/>
    </row>
    <row r="13" spans="1:22" s="3247" customFormat="1" ht="13.15" customHeight="1">
      <c r="A13" s="3290"/>
      <c r="B13" s="3293"/>
      <c r="C13" s="3294" t="s">
        <v>2788</v>
      </c>
      <c r="D13" s="3295"/>
      <c r="E13" s="3296"/>
      <c r="F13" s="3285"/>
      <c r="G13" s="3286"/>
      <c r="H13" s="3242"/>
      <c r="I13" s="3243"/>
      <c r="J13" s="3751"/>
      <c r="K13" s="3753"/>
      <c r="L13" s="3277" t="s">
        <v>2789</v>
      </c>
      <c r="M13" s="3278"/>
      <c r="N13" s="3254"/>
      <c r="O13" s="3279"/>
      <c r="P13" s="3279"/>
      <c r="Q13" s="3280">
        <v>365</v>
      </c>
      <c r="R13" s="3281">
        <f t="shared" si="0"/>
        <v>0</v>
      </c>
      <c r="S13" s="3234"/>
      <c r="T13" s="3234"/>
      <c r="U13" s="3234"/>
      <c r="V13" s="3243"/>
    </row>
    <row r="14" spans="1:22" s="3247" customFormat="1" ht="13.15" customHeight="1">
      <c r="A14" s="3290" t="s">
        <v>2790</v>
      </c>
      <c r="B14" s="3761" t="s">
        <v>2791</v>
      </c>
      <c r="C14" s="3762"/>
      <c r="D14" s="3291">
        <f>ROUND(E14*B5/10000,0)</f>
        <v>0</v>
      </c>
      <c r="E14" s="3280"/>
      <c r="F14" s="3285" t="s">
        <v>2792</v>
      </c>
      <c r="G14" s="3286"/>
      <c r="H14" s="3242"/>
      <c r="I14" s="3243"/>
      <c r="J14" s="3751"/>
      <c r="K14" s="3754"/>
      <c r="L14" s="3297" t="s">
        <v>2793</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2794</v>
      </c>
      <c r="B15" s="3761" t="s">
        <v>2795</v>
      </c>
      <c r="C15" s="3762"/>
      <c r="D15" s="3291">
        <f>ROUND(D6*E15,0)</f>
        <v>0</v>
      </c>
      <c r="E15" s="3292">
        <v>5.5E-2</v>
      </c>
      <c r="F15" s="3285" t="s">
        <v>2796</v>
      </c>
      <c r="G15" s="3267"/>
      <c r="H15" s="3242"/>
      <c r="I15" s="3243"/>
      <c r="J15" s="3751">
        <v>2</v>
      </c>
      <c r="K15" s="3752" t="s">
        <v>2797</v>
      </c>
      <c r="L15" s="3277" t="s">
        <v>2798</v>
      </c>
      <c r="M15" s="3278" t="s">
        <v>2799</v>
      </c>
      <c r="N15" s="3278" t="s">
        <v>2800</v>
      </c>
      <c r="O15" s="3279" t="s">
        <v>2801</v>
      </c>
      <c r="P15" s="3279" t="s">
        <v>2802</v>
      </c>
      <c r="Q15" s="3254" t="s">
        <v>2803</v>
      </c>
      <c r="R15" s="3301" t="s">
        <v>2804</v>
      </c>
      <c r="S15" s="3234"/>
      <c r="T15" s="3234"/>
      <c r="U15" s="3234"/>
      <c r="V15" s="3243"/>
    </row>
    <row r="16" spans="1:22" s="3247" customFormat="1" ht="13.15" customHeight="1">
      <c r="A16" s="3290" t="s">
        <v>2805</v>
      </c>
      <c r="B16" s="3761" t="s">
        <v>2806</v>
      </c>
      <c r="C16" s="3762"/>
      <c r="D16" s="3302">
        <f>D6*E16</f>
        <v>0</v>
      </c>
      <c r="E16" s="3303"/>
      <c r="F16" s="3288" t="s">
        <v>2807</v>
      </c>
      <c r="G16" s="3267"/>
      <c r="H16" s="3242"/>
      <c r="I16" s="3243"/>
      <c r="J16" s="3751"/>
      <c r="K16" s="3753"/>
      <c r="L16" s="3277" t="s">
        <v>2808</v>
      </c>
      <c r="M16" s="3278"/>
      <c r="N16" s="3278"/>
      <c r="O16" s="3279"/>
      <c r="P16" s="3280">
        <v>365</v>
      </c>
      <c r="Q16" s="3254"/>
      <c r="R16" s="3301">
        <f>ROUND(M16*N16*O16*P16/10000,0)</f>
        <v>0</v>
      </c>
      <c r="S16" s="3234"/>
      <c r="T16" s="3234"/>
      <c r="U16" s="3234"/>
      <c r="V16" s="3243"/>
    </row>
    <row r="17" spans="1:22" s="3247" customFormat="1" ht="13.15" customHeight="1" thickBot="1">
      <c r="A17" s="3304">
        <v>4</v>
      </c>
      <c r="B17" s="3763" t="s">
        <v>2809</v>
      </c>
      <c r="C17" s="3764"/>
      <c r="D17" s="3305">
        <f>ROUND(D6*E17,0)</f>
        <v>0</v>
      </c>
      <c r="E17" s="3306"/>
      <c r="F17" s="3307" t="s">
        <v>2810</v>
      </c>
      <c r="G17" s="3267"/>
      <c r="H17" s="3242"/>
      <c r="I17" s="3243"/>
      <c r="J17" s="3751"/>
      <c r="K17" s="3753"/>
      <c r="L17" s="3277" t="s">
        <v>2811</v>
      </c>
      <c r="M17" s="3278"/>
      <c r="N17" s="3278"/>
      <c r="O17" s="3279"/>
      <c r="P17" s="3280">
        <v>365</v>
      </c>
      <c r="Q17" s="3254"/>
      <c r="R17" s="3301">
        <f>ROUND(M17*N17*O17*P17/10000,0)</f>
        <v>0</v>
      </c>
      <c r="S17" s="3234"/>
      <c r="T17" s="3234"/>
      <c r="U17" s="3234"/>
      <c r="V17" s="3243"/>
    </row>
    <row r="18" spans="1:22" s="3247" customFormat="1" ht="13.15" customHeight="1" thickBot="1">
      <c r="A18" s="3270" t="s">
        <v>2812</v>
      </c>
      <c r="B18" s="3271"/>
      <c r="C18" s="3271"/>
      <c r="D18" s="3308">
        <f>ROUND(D6*E18,0)</f>
        <v>0</v>
      </c>
      <c r="E18" s="3309"/>
      <c r="F18" s="3310" t="s">
        <v>2813</v>
      </c>
      <c r="G18" s="3267"/>
      <c r="H18" s="3242"/>
      <c r="I18" s="3243"/>
      <c r="J18" s="3751"/>
      <c r="K18" s="3753"/>
      <c r="L18" s="3277" t="s">
        <v>2814</v>
      </c>
      <c r="M18" s="3278"/>
      <c r="N18" s="3278"/>
      <c r="O18" s="3279"/>
      <c r="P18" s="3280">
        <v>365</v>
      </c>
      <c r="Q18" s="3254"/>
      <c r="R18" s="3301">
        <f>ROUND(M18*N18*O18*P18/10000,0)</f>
        <v>0</v>
      </c>
      <c r="S18" s="3234"/>
      <c r="T18" s="3234"/>
      <c r="U18" s="3234"/>
      <c r="V18" s="3243"/>
    </row>
    <row r="19" spans="1:22" s="3247" customFormat="1" ht="13.15" customHeight="1" thickBot="1">
      <c r="A19" s="3311" t="s">
        <v>2815</v>
      </c>
      <c r="B19" s="3265"/>
      <c r="C19" s="3265"/>
      <c r="D19" s="3265"/>
      <c r="E19" s="3265"/>
      <c r="F19" s="3266"/>
      <c r="G19" s="3286"/>
      <c r="H19" s="3242"/>
      <c r="I19" s="3243"/>
      <c r="J19" s="3751"/>
      <c r="K19" s="3754"/>
      <c r="L19" s="3297" t="s">
        <v>2793</v>
      </c>
      <c r="M19" s="3298"/>
      <c r="N19" s="3298">
        <f>SUM(N16:N18)</f>
        <v>0</v>
      </c>
      <c r="O19" s="3299"/>
      <c r="P19" s="3312" t="s">
        <v>2881</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51">
        <v>3</v>
      </c>
      <c r="K20" s="3752" t="s">
        <v>2816</v>
      </c>
      <c r="L20" s="3277" t="s">
        <v>2817</v>
      </c>
      <c r="M20" s="3278" t="s">
        <v>2818</v>
      </c>
      <c r="N20" s="3315" t="s">
        <v>2819</v>
      </c>
      <c r="O20" s="3279" t="s">
        <v>2820</v>
      </c>
      <c r="P20" s="3280" t="s">
        <v>2821</v>
      </c>
      <c r="Q20" s="3254" t="s">
        <v>2822</v>
      </c>
      <c r="R20" s="3301" t="s">
        <v>2764</v>
      </c>
      <c r="S20" s="3316"/>
      <c r="T20" s="3316"/>
      <c r="U20" s="3316"/>
      <c r="V20" s="3243"/>
    </row>
    <row r="21" spans="1:22" s="3247" customFormat="1" ht="13.15" customHeight="1">
      <c r="A21" s="3270"/>
      <c r="B21" s="3271"/>
      <c r="C21" s="3317" t="s">
        <v>2823</v>
      </c>
      <c r="D21" s="3318" t="s">
        <v>2824</v>
      </c>
      <c r="E21" s="3319" t="s">
        <v>2825</v>
      </c>
      <c r="F21" s="3314"/>
      <c r="G21" s="3286"/>
      <c r="H21" s="3242"/>
      <c r="I21" s="3243"/>
      <c r="J21" s="3751"/>
      <c r="K21" s="3753"/>
      <c r="L21" s="3277" t="s">
        <v>2826</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2827</v>
      </c>
      <c r="D22" s="3322" t="s">
        <v>2828</v>
      </c>
      <c r="E22" s="3323" t="s">
        <v>2829</v>
      </c>
      <c r="F22" s="3314"/>
      <c r="G22" s="3324"/>
      <c r="H22" s="3242"/>
      <c r="I22" s="3243"/>
      <c r="J22" s="3751"/>
      <c r="K22" s="3753"/>
      <c r="L22" s="3277" t="s">
        <v>2830</v>
      </c>
      <c r="M22" s="3278"/>
      <c r="N22" s="3278"/>
      <c r="O22" s="3279"/>
      <c r="P22" s="3280">
        <v>365</v>
      </c>
      <c r="Q22" s="3254"/>
      <c r="R22" s="3320">
        <f>ROUND(M22*N22*O22*P22/10000,0)</f>
        <v>0</v>
      </c>
      <c r="S22" s="3316"/>
      <c r="T22" s="3316"/>
      <c r="U22" s="3316"/>
      <c r="V22" s="3243"/>
    </row>
    <row r="23" spans="1:22" s="3247" customFormat="1" ht="13.15" customHeight="1">
      <c r="A23" s="3325">
        <v>1</v>
      </c>
      <c r="B23" s="3326" t="s">
        <v>2831</v>
      </c>
      <c r="C23" s="3327">
        <f>D6</f>
        <v>0</v>
      </c>
      <c r="D23" s="3328">
        <f>C23*(1+D24)</f>
        <v>0</v>
      </c>
      <c r="E23" s="3329">
        <f>D23*(1+E24)</f>
        <v>0</v>
      </c>
      <c r="F23" s="3330"/>
      <c r="G23" s="3331"/>
      <c r="H23" s="3242"/>
      <c r="I23" s="3243"/>
      <c r="J23" s="3751"/>
      <c r="K23" s="3753"/>
      <c r="L23" s="3277" t="s">
        <v>2832</v>
      </c>
      <c r="M23" s="3278"/>
      <c r="N23" s="3278"/>
      <c r="O23" s="3279"/>
      <c r="P23" s="3280">
        <v>365</v>
      </c>
      <c r="Q23" s="3254"/>
      <c r="R23" s="3320">
        <f>ROUND(M23*N23*O23*P23/10000,0)</f>
        <v>0</v>
      </c>
      <c r="S23" s="3234"/>
      <c r="T23" s="3234"/>
      <c r="U23" s="3234"/>
      <c r="V23" s="3243"/>
    </row>
    <row r="24" spans="1:22" s="3247" customFormat="1" ht="13.15" customHeight="1">
      <c r="A24" s="3332"/>
      <c r="B24" s="3333" t="s">
        <v>2833</v>
      </c>
      <c r="C24" s="3334"/>
      <c r="D24" s="3335"/>
      <c r="E24" s="3336"/>
      <c r="F24" s="3337"/>
      <c r="G24" s="3331"/>
      <c r="H24" s="3242"/>
      <c r="I24" s="3243"/>
      <c r="J24" s="3751"/>
      <c r="K24" s="3754"/>
      <c r="L24" s="3297" t="s">
        <v>2793</v>
      </c>
      <c r="M24" s="3298">
        <f>SUM(M21:M23)</f>
        <v>0</v>
      </c>
      <c r="N24" s="3298"/>
      <c r="O24" s="3299"/>
      <c r="P24" s="3312" t="s">
        <v>2881</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2834</v>
      </c>
      <c r="L25" s="3340"/>
      <c r="M25" s="3340"/>
      <c r="N25" s="3340"/>
      <c r="O25" s="3340"/>
      <c r="P25" s="3341"/>
      <c r="Q25" s="3342"/>
      <c r="R25" s="3313">
        <f>ROUND(R14*Q25,0)</f>
        <v>0</v>
      </c>
      <c r="S25" s="3234"/>
      <c r="T25" s="3234"/>
      <c r="U25" s="3234"/>
      <c r="V25" s="3343"/>
    </row>
    <row r="26" spans="1:22" s="3344" customFormat="1" ht="13.15" customHeight="1">
      <c r="A26" s="3325">
        <v>2</v>
      </c>
      <c r="B26" s="3326" t="s">
        <v>2835</v>
      </c>
      <c r="C26" s="3327">
        <f>D7</f>
        <v>0</v>
      </c>
      <c r="D26" s="3328">
        <f>D23*D27</f>
        <v>0</v>
      </c>
      <c r="E26" s="3329">
        <f>E23*E27</f>
        <v>0</v>
      </c>
      <c r="F26" s="3330"/>
      <c r="G26" s="3331"/>
      <c r="H26" s="3242"/>
      <c r="I26" s="3243"/>
      <c r="J26" s="3755">
        <v>5</v>
      </c>
      <c r="K26" s="3345" t="s">
        <v>2836</v>
      </c>
      <c r="L26" s="3346"/>
      <c r="M26" s="3347"/>
      <c r="N26" s="3348" t="s">
        <v>2837</v>
      </c>
      <c r="O26" s="3348" t="s">
        <v>2838</v>
      </c>
      <c r="P26" s="3349" t="s">
        <v>2839</v>
      </c>
      <c r="Q26" s="3349" t="s">
        <v>2840</v>
      </c>
      <c r="R26" s="3252" t="s">
        <v>2841</v>
      </c>
      <c r="S26" s="3350"/>
      <c r="T26" s="3350"/>
      <c r="U26" s="3350"/>
      <c r="V26" s="3343"/>
    </row>
    <row r="27" spans="1:22" s="3247" customFormat="1" ht="13.15" customHeight="1">
      <c r="A27" s="3332"/>
      <c r="B27" s="3333" t="s">
        <v>2842</v>
      </c>
      <c r="C27" s="3351" t="e">
        <f>E7</f>
        <v>#DIV/0!</v>
      </c>
      <c r="D27" s="3335"/>
      <c r="E27" s="3336"/>
      <c r="F27" s="3337"/>
      <c r="G27" s="3331"/>
      <c r="H27" s="3352"/>
      <c r="I27" s="3343"/>
      <c r="J27" s="3756"/>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2843</v>
      </c>
      <c r="F28" s="3337"/>
      <c r="G28" s="3324"/>
      <c r="H28" s="3352"/>
      <c r="I28" s="3343"/>
      <c r="J28" s="3358">
        <v>6</v>
      </c>
      <c r="K28" s="3359" t="s">
        <v>2844</v>
      </c>
      <c r="L28" s="3360" t="s">
        <v>2845</v>
      </c>
      <c r="M28" s="3361"/>
      <c r="N28" s="3360" t="s">
        <v>2846</v>
      </c>
      <c r="O28" s="3362"/>
      <c r="P28" s="3360" t="s">
        <v>2847</v>
      </c>
      <c r="Q28" s="3363">
        <v>1.4999999999999999E-2</v>
      </c>
      <c r="R28" s="3364"/>
      <c r="S28" s="3316"/>
      <c r="T28" s="3316"/>
      <c r="U28" s="3316"/>
      <c r="V28" s="3343"/>
    </row>
    <row r="29" spans="1:22" s="3344" customFormat="1" ht="13.15" customHeight="1">
      <c r="A29" s="3325">
        <v>3</v>
      </c>
      <c r="B29" s="3326" t="s">
        <v>2848</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2849</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2850</v>
      </c>
      <c r="K31" s="3232"/>
      <c r="L31" s="3232"/>
      <c r="M31" s="3232"/>
      <c r="N31" s="3232"/>
      <c r="O31" s="3232"/>
      <c r="P31" s="3232"/>
      <c r="Q31" s="3232"/>
      <c r="R31" s="3233"/>
      <c r="S31" s="3316"/>
      <c r="T31" s="3234"/>
      <c r="U31" s="3234"/>
      <c r="V31" s="3343"/>
    </row>
    <row r="32" spans="1:22" s="3344" customFormat="1" ht="13.15" customHeight="1">
      <c r="A32" s="3325">
        <v>4</v>
      </c>
      <c r="B32" s="3326" t="s">
        <v>2851</v>
      </c>
      <c r="C32" s="3327">
        <f>C23-C26-C29</f>
        <v>0</v>
      </c>
      <c r="D32" s="3328">
        <f>D23-D26-D29</f>
        <v>0</v>
      </c>
      <c r="E32" s="3329">
        <f>E23-E26-E29</f>
        <v>0</v>
      </c>
      <c r="F32" s="3330"/>
      <c r="G32" s="3324"/>
      <c r="H32" s="3242"/>
      <c r="I32" s="3243"/>
      <c r="J32" s="3757" t="s">
        <v>2852</v>
      </c>
      <c r="K32" s="3758"/>
      <c r="L32" s="3244" t="s">
        <v>2853</v>
      </c>
      <c r="M32" s="3244" t="s">
        <v>2742</v>
      </c>
      <c r="N32" s="3244" t="s">
        <v>2743</v>
      </c>
      <c r="O32" s="3244" t="s">
        <v>2744</v>
      </c>
      <c r="P32" s="3244" t="s">
        <v>2745</v>
      </c>
      <c r="Q32" s="3245" t="s">
        <v>2854</v>
      </c>
      <c r="R32" s="3367" t="s">
        <v>2855</v>
      </c>
      <c r="S32" s="3316"/>
      <c r="T32" s="3234"/>
      <c r="U32" s="3234"/>
      <c r="V32" s="3343"/>
    </row>
    <row r="33" spans="1:23" s="3247" customFormat="1" ht="13.15" customHeight="1">
      <c r="A33" s="3325"/>
      <c r="B33" s="3326"/>
      <c r="C33" s="3327"/>
      <c r="D33" s="3368"/>
      <c r="E33" s="3369"/>
      <c r="F33" s="3330"/>
      <c r="G33" s="3324"/>
      <c r="H33" s="3352"/>
      <c r="I33" s="3343"/>
      <c r="J33" s="3759" t="s">
        <v>2856</v>
      </c>
      <c r="K33" s="3760"/>
      <c r="L33" s="3250"/>
      <c r="M33" s="3250"/>
      <c r="N33" s="3250"/>
      <c r="O33" s="3250"/>
      <c r="P33" s="3250"/>
      <c r="Q33" s="3251"/>
      <c r="R33" s="3370">
        <f>SUM(L33:Q33)</f>
        <v>0</v>
      </c>
      <c r="S33" s="3316"/>
      <c r="T33" s="3234"/>
      <c r="U33" s="3234"/>
      <c r="V33" s="3243"/>
    </row>
    <row r="34" spans="1:23" s="3247" customFormat="1" ht="13.15" customHeight="1">
      <c r="A34" s="3325">
        <v>5</v>
      </c>
      <c r="B34" s="3326" t="s">
        <v>2857</v>
      </c>
      <c r="C34" s="3371"/>
      <c r="D34" s="3372"/>
      <c r="E34" s="3373"/>
      <c r="F34" s="3330"/>
      <c r="G34" s="3324"/>
      <c r="H34" s="3352"/>
      <c r="I34" s="3343"/>
      <c r="J34" s="3759" t="s">
        <v>2858</v>
      </c>
      <c r="K34" s="3760"/>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2859</v>
      </c>
      <c r="C35" s="3375"/>
      <c r="D35" s="3376"/>
      <c r="E35" s="3377"/>
      <c r="F35" s="3330"/>
      <c r="G35" s="3378"/>
      <c r="H35" s="3242"/>
      <c r="I35" s="3343"/>
      <c r="J35" s="3261" t="s">
        <v>2860</v>
      </c>
      <c r="K35" s="3262"/>
      <c r="L35" s="3262"/>
      <c r="M35" s="3263"/>
      <c r="N35" s="3263"/>
      <c r="O35" s="3263"/>
      <c r="P35" s="3263"/>
      <c r="Q35" s="3263"/>
      <c r="R35" s="3379">
        <f>R40+R41+R43</f>
        <v>0</v>
      </c>
      <c r="S35" s="3316"/>
      <c r="T35" s="3234" t="s">
        <v>2861</v>
      </c>
      <c r="U35" s="3234"/>
      <c r="V35" s="3243"/>
    </row>
    <row r="36" spans="1:23" s="3247" customFormat="1" ht="13.15" customHeight="1" thickBot="1">
      <c r="A36" s="3325">
        <v>7</v>
      </c>
      <c r="B36" s="3380" t="s">
        <v>2862</v>
      </c>
      <c r="C36" s="3381"/>
      <c r="D36" s="3382"/>
      <c r="E36" s="3383"/>
      <c r="F36" s="3384">
        <f>C36+D36+E36</f>
        <v>0</v>
      </c>
      <c r="G36" s="3324"/>
      <c r="H36" s="3242"/>
      <c r="I36" s="3243"/>
      <c r="J36" s="3751">
        <v>1</v>
      </c>
      <c r="K36" s="3752" t="s">
        <v>2863</v>
      </c>
      <c r="L36" s="3268"/>
      <c r="M36" s="3269"/>
      <c r="N36" s="3269"/>
      <c r="O36" s="3269"/>
      <c r="P36" s="3269"/>
      <c r="Q36" s="3269"/>
      <c r="R36" s="3252" t="s">
        <v>2764</v>
      </c>
      <c r="S36" s="3316"/>
      <c r="T36" s="3234" t="s">
        <v>2765</v>
      </c>
      <c r="U36" s="3234"/>
      <c r="V36" s="3243"/>
    </row>
    <row r="37" spans="1:23" s="3247" customFormat="1" ht="13.15" customHeight="1">
      <c r="A37" s="3325"/>
      <c r="B37" s="3326"/>
      <c r="C37" s="3326"/>
      <c r="D37" s="3326"/>
      <c r="E37" s="3326"/>
      <c r="F37" s="3330"/>
      <c r="G37" s="3324"/>
      <c r="H37" s="3242"/>
      <c r="I37" s="3243"/>
      <c r="J37" s="3751"/>
      <c r="K37" s="3753"/>
      <c r="L37" s="3277"/>
      <c r="M37" s="3278"/>
      <c r="N37" s="3254"/>
      <c r="O37" s="3279"/>
      <c r="P37" s="3279"/>
      <c r="Q37" s="3280"/>
      <c r="R37" s="3281"/>
      <c r="S37" s="3316"/>
      <c r="T37" s="3234" t="s">
        <v>2768</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51"/>
      <c r="K38" s="3753"/>
      <c r="L38" s="3277"/>
      <c r="M38" s="3278"/>
      <c r="N38" s="3254"/>
      <c r="O38" s="3279"/>
      <c r="P38" s="3279"/>
      <c r="Q38" s="3280"/>
      <c r="R38" s="3281"/>
      <c r="S38" s="3316"/>
      <c r="T38" s="3234" t="s">
        <v>2775</v>
      </c>
      <c r="U38" s="3234"/>
      <c r="V38" s="3243"/>
    </row>
    <row r="39" spans="1:23" s="3247" customFormat="1" ht="13.15" customHeight="1">
      <c r="A39" s="3325">
        <v>9</v>
      </c>
      <c r="B39" s="3326" t="s">
        <v>2864</v>
      </c>
      <c r="C39" s="3291" t="e">
        <f>C38</f>
        <v>#DIV/0!</v>
      </c>
      <c r="D39" s="3326">
        <f>D38/(1+D34)^C36</f>
        <v>0</v>
      </c>
      <c r="E39" s="3326">
        <f>E38/(1+E34)^(C36+D36)</f>
        <v>0</v>
      </c>
      <c r="F39" s="3330"/>
      <c r="G39" s="3385"/>
      <c r="H39" s="3242"/>
      <c r="I39" s="3243"/>
      <c r="J39" s="3751"/>
      <c r="K39" s="3753"/>
      <c r="L39" s="3277"/>
      <c r="M39" s="3278"/>
      <c r="N39" s="3254"/>
      <c r="O39" s="3279"/>
      <c r="P39" s="3279"/>
      <c r="Q39" s="3280"/>
      <c r="R39" s="3281"/>
      <c r="S39" s="3316"/>
      <c r="T39" s="3234"/>
      <c r="U39" s="3234"/>
      <c r="V39" s="3243"/>
    </row>
    <row r="40" spans="1:23" s="3247" customFormat="1" ht="13.15" customHeight="1">
      <c r="A40" s="3386">
        <v>10</v>
      </c>
      <c r="B40" s="3326" t="s">
        <v>2865</v>
      </c>
      <c r="C40" s="3387" t="e">
        <f>C39+D39+E39</f>
        <v>#DIV/0!</v>
      </c>
      <c r="D40" s="3388"/>
      <c r="E40" s="3388"/>
      <c r="F40" s="3389"/>
      <c r="G40" s="3324"/>
      <c r="H40" s="3242"/>
      <c r="I40" s="3243"/>
      <c r="J40" s="3751"/>
      <c r="K40" s="3754"/>
      <c r="L40" s="3297" t="s">
        <v>2866</v>
      </c>
      <c r="M40" s="3298"/>
      <c r="N40" s="3298"/>
      <c r="O40" s="3299"/>
      <c r="P40" s="3299"/>
      <c r="Q40" s="3300"/>
      <c r="R40" s="3246">
        <f>SUM(R37:R39)</f>
        <v>0</v>
      </c>
      <c r="S40" s="3316"/>
      <c r="T40" s="3234"/>
      <c r="U40" s="3234"/>
      <c r="V40" s="3243"/>
    </row>
    <row r="41" spans="1:23" s="3247" customFormat="1" ht="13.15" customHeight="1" thickBot="1">
      <c r="A41" s="3390">
        <v>11</v>
      </c>
      <c r="B41" s="3391" t="s">
        <v>2867</v>
      </c>
      <c r="C41" s="3391" t="e">
        <f>ROUND(C40*10000/B4,0)</f>
        <v>#DIV/0!</v>
      </c>
      <c r="D41" s="3392"/>
      <c r="E41" s="3392"/>
      <c r="F41" s="3393"/>
      <c r="G41" s="3394"/>
      <c r="H41" s="3242"/>
      <c r="I41" s="3243"/>
      <c r="J41" s="3338">
        <v>2</v>
      </c>
      <c r="K41" s="3339" t="s">
        <v>2868</v>
      </c>
      <c r="L41" s="3340"/>
      <c r="M41" s="3340"/>
      <c r="N41" s="3340"/>
      <c r="O41" s="3340"/>
      <c r="P41" s="3341"/>
      <c r="Q41" s="3342"/>
      <c r="R41" s="3313">
        <f>ROUND(R40*Q41,0)</f>
        <v>0</v>
      </c>
      <c r="S41" s="3316"/>
      <c r="T41" s="3234"/>
      <c r="U41" s="3350"/>
      <c r="V41" s="3243"/>
    </row>
    <row r="42" spans="1:23" s="3247" customFormat="1" ht="13.15" customHeight="1">
      <c r="G42" s="3394"/>
      <c r="H42" s="3242"/>
      <c r="I42" s="3243"/>
      <c r="J42" s="3755">
        <v>3</v>
      </c>
      <c r="K42" s="3345" t="s">
        <v>2869</v>
      </c>
      <c r="L42" s="3346"/>
      <c r="M42" s="3347"/>
      <c r="N42" s="3348" t="s">
        <v>2870</v>
      </c>
      <c r="O42" s="3348" t="s">
        <v>2871</v>
      </c>
      <c r="P42" s="3349" t="s">
        <v>2872</v>
      </c>
      <c r="Q42" s="3349" t="s">
        <v>2873</v>
      </c>
      <c r="R42" s="3252" t="s">
        <v>2874</v>
      </c>
      <c r="S42" s="3350"/>
      <c r="T42" s="3350"/>
      <c r="U42" s="3234"/>
      <c r="V42" s="3243"/>
    </row>
    <row r="43" spans="1:23" ht="13.15" customHeight="1">
      <c r="A43" s="3247"/>
      <c r="B43" s="3247"/>
      <c r="C43" s="3247"/>
      <c r="D43" s="3247"/>
      <c r="E43" s="3247"/>
      <c r="F43" s="3247"/>
      <c r="I43" s="3229"/>
      <c r="J43" s="3756"/>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2875</v>
      </c>
      <c r="L44" s="3398" t="s">
        <v>2876</v>
      </c>
      <c r="M44" s="3361"/>
      <c r="N44" s="3398" t="s">
        <v>2877</v>
      </c>
      <c r="O44" s="3361"/>
      <c r="P44" s="3398" t="s">
        <v>2878</v>
      </c>
      <c r="Q44" s="3363">
        <v>1.4999999999999999E-2</v>
      </c>
      <c r="R44" s="336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2722</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9">
        <f t="shared" ref="C8:C9" si="0">ROUND(D8*E8/10000,0)</f>
        <v>0</v>
      </c>
      <c r="D8" s="3179">
        <v>0</v>
      </c>
      <c r="E8" s="3180">
        <v>0</v>
      </c>
      <c r="F8" s="724"/>
      <c r="G8" s="725"/>
    </row>
    <row r="9" spans="1:25" s="2018" customFormat="1" ht="13.5" customHeight="1">
      <c r="A9" s="2277" t="s">
        <v>2222</v>
      </c>
      <c r="B9" s="2280" t="s">
        <v>2224</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2221</v>
      </c>
      <c r="B11" s="726" t="s">
        <v>592</v>
      </c>
      <c r="C11" s="727">
        <f>'数据-取费表'!B29</f>
        <v>0</v>
      </c>
      <c r="D11" s="728"/>
      <c r="E11" s="727"/>
      <c r="F11" s="729"/>
      <c r="G11" s="2285" t="s">
        <v>2232</v>
      </c>
    </row>
    <row r="12" spans="1:25" s="2018" customFormat="1" ht="13.5" customHeight="1">
      <c r="A12" s="2283" t="s">
        <v>2229</v>
      </c>
      <c r="B12" s="730" t="s">
        <v>593</v>
      </c>
      <c r="C12" s="731">
        <f>ROUND(D12*E12/10000,0)</f>
        <v>957</v>
      </c>
      <c r="D12" s="3179">
        <f>'数据-汇总表'!E5</f>
        <v>43511.83</v>
      </c>
      <c r="E12" s="3179">
        <f>'数据-取费表'!B27</f>
        <v>220</v>
      </c>
      <c r="F12" s="729"/>
      <c r="G12" s="732"/>
    </row>
    <row r="13" spans="1:25" s="2018" customFormat="1" ht="13.5" customHeight="1">
      <c r="A13" s="2283" t="s">
        <v>2228</v>
      </c>
      <c r="B13" s="730" t="s">
        <v>594</v>
      </c>
      <c r="C13" s="731">
        <f>ROUND(D13*E13/10000,0)</f>
        <v>177</v>
      </c>
      <c r="D13" s="3179">
        <f>'数据-汇总表'!E6</f>
        <v>8063.3099999999977</v>
      </c>
      <c r="E13" s="3179">
        <f>'数据-取费表'!B28</f>
        <v>220</v>
      </c>
      <c r="F13" s="729"/>
      <c r="G13" s="732"/>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2" t="s">
        <v>597</v>
      </c>
      <c r="C16" s="3181">
        <f t="shared" ref="C16" si="2">ROUND(D16*E16/10000,0)</f>
        <v>0</v>
      </c>
      <c r="D16" s="3179">
        <v>0</v>
      </c>
      <c r="E16" s="3180">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0.876</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11" sqref="K11"/>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3217</v>
      </c>
      <c r="E1" s="1963"/>
      <c r="F1" s="2446" t="s">
        <v>3231</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93002</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21374</v>
      </c>
      <c r="C3" s="824" t="s">
        <v>704</v>
      </c>
      <c r="D3" s="823">
        <f>SUMIF('数据-汇总表'!$C19:$C33,D1,'数据-汇总表'!$E19:$E33)</f>
        <v>43511.83</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64" t="s">
        <v>505</v>
      </c>
      <c r="D4" s="3665"/>
      <c r="E4" s="3686" t="s">
        <v>506</v>
      </c>
      <c r="F4" s="3687"/>
      <c r="G4" s="3664" t="s">
        <v>507</v>
      </c>
      <c r="H4" s="3665"/>
      <c r="I4" s="3664" t="s">
        <v>508</v>
      </c>
      <c r="J4" s="3665"/>
      <c r="K4" s="825" t="s">
        <v>509</v>
      </c>
      <c r="L4" s="1969"/>
      <c r="M4" s="1970"/>
      <c r="N4" s="1970"/>
      <c r="O4" s="1970"/>
      <c r="P4" s="3666" t="s">
        <v>510</v>
      </c>
      <c r="Q4" s="3667"/>
      <c r="R4" s="3650" t="s">
        <v>506</v>
      </c>
      <c r="S4" s="3651"/>
      <c r="T4" s="3650" t="s">
        <v>507</v>
      </c>
      <c r="U4" s="3651"/>
      <c r="V4" s="3672" t="s">
        <v>508</v>
      </c>
      <c r="W4" s="3672"/>
      <c r="X4" s="1457"/>
      <c r="Y4" s="3650" t="s">
        <v>510</v>
      </c>
      <c r="Z4" s="3651"/>
      <c r="AA4" s="3645" t="s">
        <v>506</v>
      </c>
      <c r="AB4" s="3645" t="s">
        <v>507</v>
      </c>
      <c r="AC4" s="3645" t="s">
        <v>508</v>
      </c>
    </row>
    <row r="5" spans="1:29" ht="15">
      <c r="A5" s="492"/>
      <c r="B5" s="493"/>
      <c r="C5" s="3675" t="str">
        <f>'不动产比较法-车位'!C5:D5</f>
        <v>A0102</v>
      </c>
      <c r="D5" s="3676"/>
      <c r="E5" s="3770" t="s">
        <v>4205</v>
      </c>
      <c r="F5" s="3689"/>
      <c r="G5" s="3771" t="s">
        <v>4204</v>
      </c>
      <c r="H5" s="3676"/>
      <c r="I5" s="3771" t="s">
        <v>4203</v>
      </c>
      <c r="J5" s="3676"/>
      <c r="K5" s="826"/>
      <c r="L5" s="1969"/>
      <c r="M5" s="1970"/>
      <c r="N5" s="1970"/>
      <c r="O5" s="1970"/>
      <c r="P5" s="3668"/>
      <c r="Q5" s="3669"/>
      <c r="R5" s="3652"/>
      <c r="S5" s="3653"/>
      <c r="T5" s="3652"/>
      <c r="U5" s="3653"/>
      <c r="V5" s="3672"/>
      <c r="W5" s="3672"/>
      <c r="X5" s="1457"/>
      <c r="Y5" s="3652"/>
      <c r="Z5" s="3653"/>
      <c r="AA5" s="3646"/>
      <c r="AB5" s="3646"/>
      <c r="AC5" s="3646"/>
    </row>
    <row r="6" spans="1:29" ht="15.75" thickBot="1">
      <c r="A6" s="494"/>
      <c r="B6" s="495"/>
      <c r="C6" s="3690" t="s">
        <v>2630</v>
      </c>
      <c r="D6" s="3674"/>
      <c r="E6" s="3772" t="s">
        <v>4206</v>
      </c>
      <c r="F6" s="3692"/>
      <c r="G6" s="3673" t="s">
        <v>4158</v>
      </c>
      <c r="H6" s="3674"/>
      <c r="I6" s="3673" t="s">
        <v>4158</v>
      </c>
      <c r="J6" s="3674"/>
      <c r="K6" s="826" t="s">
        <v>511</v>
      </c>
      <c r="L6" s="1969"/>
      <c r="M6" s="1970"/>
      <c r="N6" s="1970"/>
      <c r="O6" s="1970"/>
      <c r="P6" s="3670"/>
      <c r="Q6" s="3671"/>
      <c r="R6" s="3652"/>
      <c r="S6" s="3653"/>
      <c r="T6" s="3654"/>
      <c r="U6" s="3655"/>
      <c r="V6" s="3672"/>
      <c r="W6" s="3672"/>
      <c r="X6" s="1457"/>
      <c r="Y6" s="3654"/>
      <c r="Z6" s="3655"/>
      <c r="AA6" s="3647"/>
      <c r="AB6" s="3647"/>
      <c r="AC6" s="3647"/>
    </row>
    <row r="7" spans="1:29" s="1166" customFormat="1" ht="15.75" thickBot="1">
      <c r="A7" s="2551"/>
      <c r="B7" s="2558" t="s">
        <v>512</v>
      </c>
      <c r="C7" s="496">
        <f>'数据-取费表'!B2</f>
        <v>44701</v>
      </c>
      <c r="D7" s="497">
        <v>100</v>
      </c>
      <c r="E7" s="498">
        <v>44621</v>
      </c>
      <c r="F7" s="499">
        <f>SUMIF(58:58,YEAR(E7)&amp;"-"&amp;MONTH(E7),59:59)</f>
        <v>100</v>
      </c>
      <c r="G7" s="500">
        <v>44562</v>
      </c>
      <c r="H7" s="497">
        <f>SUMIF(58:58,YEAR(G7)&amp;"-"&amp;MONTH(G7),59:59)</f>
        <v>99.5</v>
      </c>
      <c r="I7" s="500">
        <v>44593</v>
      </c>
      <c r="J7" s="497">
        <f>SUMIF(58:58,YEAR(I7)&amp;"-"&amp;MONTH(I7),59:59)</f>
        <v>99.5</v>
      </c>
      <c r="K7" s="827"/>
      <c r="L7" s="1971"/>
      <c r="M7" s="1972"/>
      <c r="N7" s="1972"/>
      <c r="O7" s="1972"/>
      <c r="P7" s="3648" t="s">
        <v>513</v>
      </c>
      <c r="Q7" s="3657"/>
      <c r="R7" s="1458" t="s">
        <v>13</v>
      </c>
      <c r="S7" s="1459">
        <f t="shared" ref="S7:S15" si="0">F7</f>
        <v>100</v>
      </c>
      <c r="T7" s="1458" t="s">
        <v>13</v>
      </c>
      <c r="U7" s="1459">
        <f t="shared" ref="U7:U15" si="1">H7</f>
        <v>99.5</v>
      </c>
      <c r="V7" s="1458" t="s">
        <v>13</v>
      </c>
      <c r="W7" s="1459">
        <f t="shared" ref="W7:W15" si="2">J7</f>
        <v>99.5</v>
      </c>
      <c r="X7" s="1460"/>
      <c r="Y7" s="3648" t="s">
        <v>513</v>
      </c>
      <c r="Z7" s="3649"/>
      <c r="AA7" s="1461">
        <f>D7/F7</f>
        <v>1</v>
      </c>
      <c r="AB7" s="1461">
        <f>D7/H7</f>
        <v>1.0050251256281406</v>
      </c>
      <c r="AC7" s="1461">
        <f>D7/J7</f>
        <v>1.0050251256281406</v>
      </c>
    </row>
    <row r="8" spans="1:29" s="1166" customFormat="1" ht="15.75" thickBot="1">
      <c r="A8" s="2552"/>
      <c r="B8" s="2559" t="s">
        <v>514</v>
      </c>
      <c r="C8" s="502" t="s">
        <v>558</v>
      </c>
      <c r="D8" s="497">
        <v>100</v>
      </c>
      <c r="E8" s="828" t="s">
        <v>3234</v>
      </c>
      <c r="F8" s="499">
        <f>SUMIF(61:61,E8,62:62)-SUMIF(61:61,C8,62:62)+100</f>
        <v>100</v>
      </c>
      <c r="G8" s="828" t="s">
        <v>3234</v>
      </c>
      <c r="H8" s="497">
        <f>SUMIF(61:61,G8,62:62)-SUMIF(61:61,C8,62:62)+100</f>
        <v>100</v>
      </c>
      <c r="I8" s="828" t="s">
        <v>3234</v>
      </c>
      <c r="J8" s="497">
        <f>SUMIF(61:61,I8,62:62)-SUMIF(61:61,C8,62:62)+100</f>
        <v>100</v>
      </c>
      <c r="K8" s="827"/>
      <c r="L8" s="1971"/>
      <c r="M8" s="1972"/>
      <c r="N8" s="1972"/>
      <c r="O8" s="1972"/>
      <c r="P8" s="3648" t="s">
        <v>516</v>
      </c>
      <c r="Q8" s="3649"/>
      <c r="R8" s="1458" t="s">
        <v>13</v>
      </c>
      <c r="S8" s="1459">
        <f t="shared" si="0"/>
        <v>100</v>
      </c>
      <c r="T8" s="1458" t="s">
        <v>13</v>
      </c>
      <c r="U8" s="1459">
        <f t="shared" si="1"/>
        <v>100</v>
      </c>
      <c r="V8" s="1458" t="s">
        <v>13</v>
      </c>
      <c r="W8" s="1459">
        <f t="shared" si="2"/>
        <v>100</v>
      </c>
      <c r="X8" s="1460"/>
      <c r="Y8" s="3648" t="s">
        <v>516</v>
      </c>
      <c r="Z8" s="3649"/>
      <c r="AA8" s="1461">
        <f t="shared" ref="AA8:AA46" si="3">D8/F8</f>
        <v>1</v>
      </c>
      <c r="AB8" s="1461">
        <f t="shared" ref="AB8:AB46" si="4">D8/H8</f>
        <v>1</v>
      </c>
      <c r="AC8" s="1461">
        <f t="shared" ref="AC8:AC46" si="5">D8/J8</f>
        <v>1</v>
      </c>
    </row>
    <row r="9" spans="1:29" s="1166" customFormat="1" ht="15">
      <c r="A9" s="2553"/>
      <c r="B9" s="2560" t="s">
        <v>2473</v>
      </c>
      <c r="C9" s="3451" t="s">
        <v>3258</v>
      </c>
      <c r="D9" s="252">
        <v>100</v>
      </c>
      <c r="E9" s="830" t="s">
        <v>902</v>
      </c>
      <c r="F9" s="831">
        <f>SUMIF(63:63,E9,64:64)-SUMIF(63:63,C9,64:64)+100</f>
        <v>100</v>
      </c>
      <c r="G9" s="830" t="s">
        <v>902</v>
      </c>
      <c r="H9" s="252">
        <f>SUMIF(63:63,G9,64:64)-SUMIF(63:63,C9,64:64)+100</f>
        <v>100</v>
      </c>
      <c r="I9" s="830" t="s">
        <v>902</v>
      </c>
      <c r="J9" s="252">
        <f>SUMIF(63:63,I9,64:64)-SUMIF(63:63,C9,64:64)+100</f>
        <v>100</v>
      </c>
      <c r="K9" s="827"/>
      <c r="L9" s="1971"/>
      <c r="M9" s="1972"/>
      <c r="N9" s="1972"/>
      <c r="O9" s="1973"/>
      <c r="P9" s="3656" t="s">
        <v>518</v>
      </c>
      <c r="Q9" s="1097" t="str">
        <f t="shared" ref="Q9:Q15" si="6">B9</f>
        <v>用途</v>
      </c>
      <c r="R9" s="1458" t="s">
        <v>8</v>
      </c>
      <c r="S9" s="1459">
        <f t="shared" si="0"/>
        <v>100</v>
      </c>
      <c r="T9" s="1458" t="s">
        <v>8</v>
      </c>
      <c r="U9" s="1459">
        <f t="shared" si="1"/>
        <v>100</v>
      </c>
      <c r="V9" s="1458" t="s">
        <v>8</v>
      </c>
      <c r="W9" s="1459">
        <f t="shared" si="2"/>
        <v>100</v>
      </c>
      <c r="X9" s="1460"/>
      <c r="Y9" s="3604" t="s">
        <v>519</v>
      </c>
      <c r="Z9" s="1096" t="str">
        <f t="shared" ref="Z9:Z15" si="7">Q9</f>
        <v>用途</v>
      </c>
      <c r="AA9" s="1461">
        <f t="shared" si="3"/>
        <v>1</v>
      </c>
      <c r="AB9" s="1461">
        <f t="shared" si="4"/>
        <v>1</v>
      </c>
      <c r="AC9" s="1461">
        <f t="shared" si="5"/>
        <v>1</v>
      </c>
    </row>
    <row r="10" spans="1:29" s="1247" customFormat="1" ht="27">
      <c r="A10" s="2554"/>
      <c r="B10" s="2559" t="s">
        <v>2474</v>
      </c>
      <c r="C10" s="833" t="s">
        <v>3259</v>
      </c>
      <c r="D10" s="253">
        <v>100</v>
      </c>
      <c r="E10" s="834" t="s">
        <v>3260</v>
      </c>
      <c r="F10" s="835">
        <f>SUMIF(65:65,E10,66:66)-SUMIF(65:65,C10,66:66)+100</f>
        <v>101</v>
      </c>
      <c r="G10" s="834" t="s">
        <v>3260</v>
      </c>
      <c r="H10" s="253">
        <f>SUMIF(65:65,G10,66:66)-SUMIF(65:65,C10,66:66)+100</f>
        <v>101</v>
      </c>
      <c r="I10" s="834" t="s">
        <v>3260</v>
      </c>
      <c r="J10" s="253">
        <f>SUMIF(65:65,I10,66:66)-SUMIF(65:65,C10,66:66)+100</f>
        <v>101</v>
      </c>
      <c r="K10" s="836">
        <v>1</v>
      </c>
      <c r="L10" s="1974"/>
      <c r="M10" s="2013"/>
      <c r="N10" s="2013"/>
      <c r="O10" s="1975"/>
      <c r="P10" s="3656"/>
      <c r="Q10" s="1097" t="str">
        <f t="shared" si="6"/>
        <v>土地使用年限（年）</v>
      </c>
      <c r="R10" s="1458" t="s">
        <v>8</v>
      </c>
      <c r="S10" s="1459">
        <f t="shared" si="0"/>
        <v>101</v>
      </c>
      <c r="T10" s="1458" t="s">
        <v>8</v>
      </c>
      <c r="U10" s="1459">
        <f t="shared" si="1"/>
        <v>101</v>
      </c>
      <c r="V10" s="1458" t="s">
        <v>8</v>
      </c>
      <c r="W10" s="1459">
        <f t="shared" si="2"/>
        <v>101</v>
      </c>
      <c r="X10" s="1460"/>
      <c r="Y10" s="3604"/>
      <c r="Z10" s="1096" t="str">
        <f t="shared" si="7"/>
        <v>土地使用年限（年）</v>
      </c>
      <c r="AA10" s="1461">
        <f t="shared" si="3"/>
        <v>0.99009900990099009</v>
      </c>
      <c r="AB10" s="1461">
        <f t="shared" si="4"/>
        <v>0.99009900990099009</v>
      </c>
      <c r="AC10" s="1461">
        <f t="shared" si="5"/>
        <v>0.99009900990099009</v>
      </c>
    </row>
    <row r="11" spans="1:29" ht="15.75" thickBot="1">
      <c r="A11" s="2555"/>
      <c r="B11" s="2559" t="s">
        <v>2475</v>
      </c>
      <c r="C11" s="510">
        <f>'数据-汇总表'!I6</f>
        <v>0.45</v>
      </c>
      <c r="D11" s="253">
        <v>100</v>
      </c>
      <c r="E11" s="511">
        <v>1.4</v>
      </c>
      <c r="F11" s="835">
        <f>LOOKUP(E11,68:68,69:69)-LOOKUP(C11,68:68,69:69)+100</f>
        <v>95</v>
      </c>
      <c r="G11" s="510">
        <v>3.5</v>
      </c>
      <c r="H11" s="253">
        <f>LOOKUP(G11,68:68,69:69)-LOOKUP(C11,68:68,69:69)+100</f>
        <v>85</v>
      </c>
      <c r="I11" s="510">
        <v>1</v>
      </c>
      <c r="J11" s="253">
        <f>LOOKUP(I11,68:68,69:69)-LOOKUP(C11,68:68,69:69)+100</f>
        <v>95</v>
      </c>
      <c r="K11" s="836">
        <v>5</v>
      </c>
      <c r="L11" s="1976"/>
      <c r="M11" s="1970"/>
      <c r="N11" s="1970"/>
      <c r="O11" s="1977"/>
      <c r="P11" s="3656"/>
      <c r="Q11" s="1097" t="str">
        <f t="shared" si="6"/>
        <v>容积率</v>
      </c>
      <c r="R11" s="1458" t="s">
        <v>11</v>
      </c>
      <c r="S11" s="1459">
        <f t="shared" si="0"/>
        <v>95</v>
      </c>
      <c r="T11" s="1458" t="s">
        <v>11</v>
      </c>
      <c r="U11" s="1459">
        <f t="shared" si="1"/>
        <v>85</v>
      </c>
      <c r="V11" s="1458" t="s">
        <v>11</v>
      </c>
      <c r="W11" s="1459">
        <f t="shared" si="2"/>
        <v>95</v>
      </c>
      <c r="X11" s="1460"/>
      <c r="Y11" s="3604"/>
      <c r="Z11" s="1096" t="str">
        <f t="shared" si="7"/>
        <v>容积率</v>
      </c>
      <c r="AA11" s="1461">
        <f t="shared" si="3"/>
        <v>1.0526315789473684</v>
      </c>
      <c r="AB11" s="1461">
        <f t="shared" si="4"/>
        <v>1.1764705882352942</v>
      </c>
      <c r="AC11" s="1461">
        <f t="shared" si="5"/>
        <v>1.0526315789473684</v>
      </c>
    </row>
    <row r="12" spans="1:29" s="1166" customFormat="1" ht="15" hidden="1">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56"/>
      <c r="Q12" s="1097">
        <f t="shared" si="6"/>
        <v>111</v>
      </c>
      <c r="R12" s="1458" t="s">
        <v>11</v>
      </c>
      <c r="S12" s="1459">
        <f t="shared" si="0"/>
        <v>100</v>
      </c>
      <c r="T12" s="1458" t="s">
        <v>11</v>
      </c>
      <c r="U12" s="1459">
        <f t="shared" si="1"/>
        <v>100</v>
      </c>
      <c r="V12" s="1458" t="s">
        <v>11</v>
      </c>
      <c r="W12" s="1459">
        <f t="shared" si="2"/>
        <v>100</v>
      </c>
      <c r="X12" s="1460"/>
      <c r="Y12" s="3604"/>
      <c r="Z12" s="1096">
        <f t="shared" si="7"/>
        <v>111</v>
      </c>
      <c r="AA12" s="1461">
        <f>D12/F12</f>
        <v>1</v>
      </c>
      <c r="AB12" s="1461">
        <f>D12/H12</f>
        <v>1</v>
      </c>
      <c r="AC12" s="1461">
        <f>D12/J12</f>
        <v>1</v>
      </c>
    </row>
    <row r="13" spans="1:29" ht="15" hidden="1">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56"/>
      <c r="Q13" s="1097">
        <f t="shared" si="6"/>
        <v>111</v>
      </c>
      <c r="R13" s="1458" t="s">
        <v>11</v>
      </c>
      <c r="S13" s="1459">
        <f t="shared" si="0"/>
        <v>100</v>
      </c>
      <c r="T13" s="1458" t="s">
        <v>11</v>
      </c>
      <c r="U13" s="1459">
        <f t="shared" si="1"/>
        <v>100</v>
      </c>
      <c r="V13" s="1458" t="s">
        <v>11</v>
      </c>
      <c r="W13" s="1459">
        <f t="shared" si="2"/>
        <v>100</v>
      </c>
      <c r="X13" s="1460"/>
      <c r="Y13" s="3604"/>
      <c r="Z13" s="1096">
        <f t="shared" si="7"/>
        <v>111</v>
      </c>
      <c r="AA13" s="1461">
        <f t="shared" si="3"/>
        <v>1</v>
      </c>
      <c r="AB13" s="1461">
        <f t="shared" si="4"/>
        <v>1</v>
      </c>
      <c r="AC13" s="1461">
        <f t="shared" si="5"/>
        <v>1</v>
      </c>
    </row>
    <row r="14" spans="1:29" ht="15.75" hidden="1"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56"/>
      <c r="Q14" s="1097">
        <f t="shared" si="6"/>
        <v>111</v>
      </c>
      <c r="R14" s="1458" t="s">
        <v>11</v>
      </c>
      <c r="S14" s="1459">
        <f t="shared" si="0"/>
        <v>100</v>
      </c>
      <c r="T14" s="1458" t="s">
        <v>11</v>
      </c>
      <c r="U14" s="1459">
        <f t="shared" si="1"/>
        <v>100</v>
      </c>
      <c r="V14" s="1458" t="s">
        <v>11</v>
      </c>
      <c r="W14" s="1459">
        <f t="shared" si="2"/>
        <v>100</v>
      </c>
      <c r="X14" s="1460"/>
      <c r="Y14" s="3604"/>
      <c r="Z14" s="1096">
        <f t="shared" si="7"/>
        <v>111</v>
      </c>
      <c r="AA14" s="1461">
        <f t="shared" si="3"/>
        <v>1</v>
      </c>
      <c r="AB14" s="1461">
        <f t="shared" si="4"/>
        <v>1</v>
      </c>
      <c r="AC14" s="1461">
        <f t="shared" si="5"/>
        <v>1</v>
      </c>
    </row>
    <row r="15" spans="1:29" ht="99.75">
      <c r="A15" s="2549" t="s">
        <v>2471</v>
      </c>
      <c r="B15" s="164" t="s">
        <v>295</v>
      </c>
      <c r="C15" s="839">
        <f>估价对象房地状况!C3</f>
        <v>0</v>
      </c>
      <c r="D15" s="526">
        <v>100</v>
      </c>
      <c r="E15" s="527"/>
      <c r="F15" s="528">
        <f>SUMIF(76:76,E16,77:77)-SUMIF(76:76,C16,77:77)+100</f>
        <v>103</v>
      </c>
      <c r="G15" s="529"/>
      <c r="H15" s="526">
        <f>SUMIF(76:76,G16,77:77)-SUMIF(76:76,C16,77:77)+100</f>
        <v>103</v>
      </c>
      <c r="I15" s="527"/>
      <c r="J15" s="526">
        <f>SUMIF(76:76,I16,77:77)-SUMIF(76:76,C16,77:77)+100</f>
        <v>100</v>
      </c>
      <c r="K15" s="840">
        <v>3</v>
      </c>
      <c r="L15" s="1978"/>
      <c r="M15" s="1970"/>
      <c r="N15" s="1970"/>
      <c r="O15" s="1977"/>
      <c r="P15" s="3658" t="s">
        <v>523</v>
      </c>
      <c r="Q15" s="1462" t="str">
        <f t="shared" si="6"/>
        <v>居住社区成熟度</v>
      </c>
      <c r="R15" s="1463" t="s">
        <v>11</v>
      </c>
      <c r="S15" s="1464">
        <f t="shared" si="0"/>
        <v>103</v>
      </c>
      <c r="T15" s="1463" t="s">
        <v>11</v>
      </c>
      <c r="U15" s="1464">
        <f t="shared" si="1"/>
        <v>103</v>
      </c>
      <c r="V15" s="1463" t="s">
        <v>11</v>
      </c>
      <c r="W15" s="1464">
        <f t="shared" si="2"/>
        <v>100</v>
      </c>
      <c r="X15" s="1457"/>
      <c r="Y15" s="3658" t="s">
        <v>523</v>
      </c>
      <c r="Z15" s="1465" t="str">
        <f t="shared" si="7"/>
        <v>居住社区成熟度</v>
      </c>
      <c r="AA15" s="1466">
        <f t="shared" si="3"/>
        <v>0.970873786407767</v>
      </c>
      <c r="AB15" s="1466">
        <f t="shared" si="4"/>
        <v>0.970873786407767</v>
      </c>
      <c r="AC15" s="1466">
        <f t="shared" si="5"/>
        <v>1</v>
      </c>
    </row>
    <row r="16" spans="1:29" ht="15">
      <c r="A16" s="509"/>
      <c r="B16" s="841"/>
      <c r="C16" s="553" t="s">
        <v>3237</v>
      </c>
      <c r="D16" s="532"/>
      <c r="E16" s="553" t="s">
        <v>3257</v>
      </c>
      <c r="F16" s="534"/>
      <c r="G16" s="553" t="s">
        <v>3257</v>
      </c>
      <c r="H16" s="536"/>
      <c r="I16" s="553" t="s">
        <v>3237</v>
      </c>
      <c r="J16" s="532"/>
      <c r="K16" s="842"/>
      <c r="L16" s="1978"/>
      <c r="M16" s="1970"/>
      <c r="N16" s="1970"/>
      <c r="O16" s="1977"/>
      <c r="P16" s="3659"/>
      <c r="Q16" s="1462"/>
      <c r="R16" s="1463"/>
      <c r="S16" s="1464"/>
      <c r="T16" s="1463"/>
      <c r="U16" s="1464"/>
      <c r="V16" s="1463"/>
      <c r="W16" s="1464"/>
      <c r="X16" s="1457"/>
      <c r="Y16" s="3659"/>
      <c r="Z16" s="1465"/>
      <c r="AA16" s="1466">
        <v>1</v>
      </c>
      <c r="AB16" s="1466">
        <v>1</v>
      </c>
      <c r="AC16" s="1466">
        <v>1</v>
      </c>
    </row>
    <row r="17" spans="1:29" ht="85.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40">
        <v>3</v>
      </c>
      <c r="L17" s="1978"/>
      <c r="M17" s="1970"/>
      <c r="N17" s="1970"/>
      <c r="O17" s="1977"/>
      <c r="P17" s="3659"/>
      <c r="Q17" s="1462" t="str">
        <f>B17</f>
        <v>交通便捷度</v>
      </c>
      <c r="R17" s="1463" t="s">
        <v>11</v>
      </c>
      <c r="S17" s="1464">
        <f>F17</f>
        <v>100</v>
      </c>
      <c r="T17" s="1463" t="s">
        <v>11</v>
      </c>
      <c r="U17" s="1464">
        <f>H17</f>
        <v>100</v>
      </c>
      <c r="V17" s="1463" t="s">
        <v>11</v>
      </c>
      <c r="W17" s="1464">
        <f>J17</f>
        <v>100</v>
      </c>
      <c r="X17" s="1457"/>
      <c r="Y17" s="3659"/>
      <c r="Z17" s="1465" t="str">
        <f>Q17</f>
        <v>交通便捷度</v>
      </c>
      <c r="AA17" s="1466">
        <f t="shared" si="3"/>
        <v>1</v>
      </c>
      <c r="AB17" s="1466">
        <f t="shared" si="4"/>
        <v>1</v>
      </c>
      <c r="AC17" s="1466">
        <f t="shared" si="5"/>
        <v>1</v>
      </c>
    </row>
    <row r="18" spans="1:29" ht="15">
      <c r="A18" s="509"/>
      <c r="B18" s="572"/>
      <c r="C18" s="845" t="s">
        <v>3237</v>
      </c>
      <c r="D18" s="536"/>
      <c r="E18" s="845" t="s">
        <v>3237</v>
      </c>
      <c r="F18" s="540"/>
      <c r="G18" s="845" t="s">
        <v>3237</v>
      </c>
      <c r="H18" s="532"/>
      <c r="I18" s="845" t="s">
        <v>3237</v>
      </c>
      <c r="J18" s="532"/>
      <c r="K18" s="842"/>
      <c r="L18" s="1978"/>
      <c r="M18" s="1970"/>
      <c r="N18" s="1970"/>
      <c r="O18" s="1977"/>
      <c r="P18" s="3659"/>
      <c r="Q18" s="1462"/>
      <c r="R18" s="1463"/>
      <c r="S18" s="1464"/>
      <c r="T18" s="1463"/>
      <c r="U18" s="1464"/>
      <c r="V18" s="1463"/>
      <c r="W18" s="1464"/>
      <c r="X18" s="1457"/>
      <c r="Y18" s="3659"/>
      <c r="Z18" s="1465"/>
      <c r="AA18" s="1466">
        <v>1</v>
      </c>
      <c r="AB18" s="1466">
        <v>1</v>
      </c>
      <c r="AC18" s="1466">
        <v>1</v>
      </c>
    </row>
    <row r="19" spans="1:29" ht="42.75">
      <c r="A19" s="509"/>
      <c r="B19" s="2366" t="s">
        <v>2264</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40">
        <v>2</v>
      </c>
      <c r="L19" s="1978"/>
      <c r="M19" s="1970"/>
      <c r="N19" s="1970"/>
      <c r="O19" s="1977"/>
      <c r="P19" s="3659"/>
      <c r="Q19" s="1462" t="str">
        <f>B19</f>
        <v>公共配套设施</v>
      </c>
      <c r="R19" s="1463" t="s">
        <v>11</v>
      </c>
      <c r="S19" s="1464">
        <f>F19</f>
        <v>100</v>
      </c>
      <c r="T19" s="1463" t="s">
        <v>11</v>
      </c>
      <c r="U19" s="1464">
        <f>H19</f>
        <v>100</v>
      </c>
      <c r="V19" s="1463" t="s">
        <v>11</v>
      </c>
      <c r="W19" s="1464">
        <f>J19</f>
        <v>100</v>
      </c>
      <c r="X19" s="1457"/>
      <c r="Y19" s="3659"/>
      <c r="Z19" s="1465" t="str">
        <f>Q19</f>
        <v>公共配套设施</v>
      </c>
      <c r="AA19" s="1466">
        <f t="shared" si="3"/>
        <v>1</v>
      </c>
      <c r="AB19" s="1466">
        <f t="shared" si="4"/>
        <v>1</v>
      </c>
      <c r="AC19" s="1466">
        <f t="shared" si="5"/>
        <v>1</v>
      </c>
    </row>
    <row r="20" spans="1:29" ht="15">
      <c r="A20" s="509"/>
      <c r="B20" s="572"/>
      <c r="C20" s="553" t="s">
        <v>3237</v>
      </c>
      <c r="D20" s="532"/>
      <c r="E20" s="553" t="s">
        <v>3237</v>
      </c>
      <c r="F20" s="534"/>
      <c r="G20" s="553" t="s">
        <v>3237</v>
      </c>
      <c r="H20" s="532"/>
      <c r="I20" s="553" t="s">
        <v>3237</v>
      </c>
      <c r="J20" s="532"/>
      <c r="K20" s="842"/>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8.5">
      <c r="A21" s="509"/>
      <c r="B21" s="2359" t="s">
        <v>2276</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40">
        <v>1</v>
      </c>
      <c r="L21" s="1978"/>
      <c r="M21" s="1970"/>
      <c r="N21" s="1970"/>
      <c r="O21" s="1977"/>
      <c r="P21" s="3659"/>
      <c r="Q21" s="2351" t="str">
        <f>B21</f>
        <v>基础设施水平</v>
      </c>
      <c r="R21" s="1463" t="s">
        <v>11</v>
      </c>
      <c r="S21" s="1464">
        <f>F21</f>
        <v>100</v>
      </c>
      <c r="T21" s="1463" t="s">
        <v>11</v>
      </c>
      <c r="U21" s="1464">
        <f>H21</f>
        <v>100</v>
      </c>
      <c r="V21" s="1463" t="s">
        <v>11</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893"/>
      <c r="C22" s="845" t="s">
        <v>3238</v>
      </c>
      <c r="D22" s="532"/>
      <c r="E22" s="845" t="s">
        <v>3238</v>
      </c>
      <c r="F22" s="534"/>
      <c r="G22" s="845" t="s">
        <v>3238</v>
      </c>
      <c r="H22" s="532"/>
      <c r="I22" s="845" t="s">
        <v>3238</v>
      </c>
      <c r="J22" s="532"/>
      <c r="K22" s="2365"/>
      <c r="L22" s="1978"/>
      <c r="M22" s="1970"/>
      <c r="N22" s="1970"/>
      <c r="O22" s="1977"/>
      <c r="P22" s="3659"/>
      <c r="Q22" s="2351"/>
      <c r="R22" s="1463"/>
      <c r="S22" s="1464"/>
      <c r="T22" s="1463"/>
      <c r="U22" s="1464"/>
      <c r="V22" s="1463"/>
      <c r="W22" s="1464"/>
      <c r="X22" s="2353"/>
      <c r="Y22" s="3659"/>
      <c r="Z22" s="2352"/>
      <c r="AA22" s="1466">
        <v>1</v>
      </c>
      <c r="AB22" s="1466">
        <v>1</v>
      </c>
      <c r="AC22" s="1466">
        <v>1</v>
      </c>
    </row>
    <row r="23" spans="1:29" ht="57">
      <c r="A23" s="509"/>
      <c r="B23" s="843" t="s">
        <v>297</v>
      </c>
      <c r="C23" s="844">
        <f>估价对象房地状况!C9</f>
        <v>0</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659"/>
      <c r="Q23" s="1462" t="str">
        <f>B23</f>
        <v>自然及人文环境</v>
      </c>
      <c r="R23" s="1463" t="s">
        <v>11</v>
      </c>
      <c r="S23" s="1464">
        <f>F23</f>
        <v>100</v>
      </c>
      <c r="T23" s="1463" t="s">
        <v>11</v>
      </c>
      <c r="U23" s="1464">
        <f>H23</f>
        <v>100</v>
      </c>
      <c r="V23" s="1463" t="s">
        <v>11</v>
      </c>
      <c r="W23" s="1464">
        <f>J23</f>
        <v>100</v>
      </c>
      <c r="X23" s="1457"/>
      <c r="Y23" s="3659"/>
      <c r="Z23" s="1465" t="str">
        <f>Q23</f>
        <v>自然及人文环境</v>
      </c>
      <c r="AA23" s="1466">
        <f t="shared" si="3"/>
        <v>1</v>
      </c>
      <c r="AB23" s="1466">
        <f t="shared" si="4"/>
        <v>1</v>
      </c>
      <c r="AC23" s="1466">
        <f t="shared" si="5"/>
        <v>1</v>
      </c>
    </row>
    <row r="24" spans="1:29" ht="15.75" thickBot="1">
      <c r="A24" s="509"/>
      <c r="B24" s="572"/>
      <c r="C24" s="553" t="s">
        <v>3237</v>
      </c>
      <c r="D24" s="532"/>
      <c r="E24" s="553" t="s">
        <v>3237</v>
      </c>
      <c r="F24" s="534"/>
      <c r="G24" s="553" t="s">
        <v>3237</v>
      </c>
      <c r="H24" s="532"/>
      <c r="I24" s="553" t="s">
        <v>3237</v>
      </c>
      <c r="J24" s="532"/>
      <c r="K24" s="842"/>
      <c r="L24" s="1978"/>
      <c r="M24" s="1970"/>
      <c r="N24" s="1970"/>
      <c r="O24" s="1977"/>
      <c r="P24" s="3659"/>
      <c r="Q24" s="1462"/>
      <c r="R24" s="1463"/>
      <c r="S24" s="1464"/>
      <c r="T24" s="1463"/>
      <c r="U24" s="1464"/>
      <c r="V24" s="1463"/>
      <c r="W24" s="1464"/>
      <c r="X24" s="1457"/>
      <c r="Y24" s="3659"/>
      <c r="Z24" s="1465"/>
      <c r="AA24" s="1466">
        <v>1</v>
      </c>
      <c r="AB24" s="1466">
        <v>1</v>
      </c>
      <c r="AC24" s="1466">
        <v>1</v>
      </c>
    </row>
    <row r="25" spans="1:29" ht="15" hidden="1">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59"/>
      <c r="Q25" s="1462" t="str">
        <f t="shared" ref="Q25:Q46" si="11">B25</f>
        <v>楼层-1</v>
      </c>
      <c r="R25" s="1463" t="s">
        <v>11</v>
      </c>
      <c r="S25" s="1464">
        <f>F25</f>
        <v>100</v>
      </c>
      <c r="T25" s="1463" t="s">
        <v>11</v>
      </c>
      <c r="U25" s="1464">
        <f>H25</f>
        <v>100</v>
      </c>
      <c r="V25" s="1463" t="s">
        <v>11</v>
      </c>
      <c r="W25" s="1464">
        <f>J25</f>
        <v>100</v>
      </c>
      <c r="X25" s="1457"/>
      <c r="Y25" s="3659"/>
      <c r="Z25" s="1465" t="str">
        <f>Q25</f>
        <v>楼层-1</v>
      </c>
      <c r="AA25" s="1466">
        <f t="shared" si="3"/>
        <v>1</v>
      </c>
      <c r="AB25" s="1466">
        <f t="shared" si="4"/>
        <v>1</v>
      </c>
      <c r="AC25" s="1466">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59"/>
      <c r="Q26" s="1462" t="str">
        <f t="shared" si="11"/>
        <v>朝向</v>
      </c>
      <c r="R26" s="1463" t="s">
        <v>11</v>
      </c>
      <c r="S26" s="1464">
        <f>F26</f>
        <v>100</v>
      </c>
      <c r="T26" s="1463" t="s">
        <v>11</v>
      </c>
      <c r="U26" s="1464">
        <f>H26</f>
        <v>100</v>
      </c>
      <c r="V26" s="1463" t="s">
        <v>11</v>
      </c>
      <c r="W26" s="1464">
        <f>J26</f>
        <v>100</v>
      </c>
      <c r="X26" s="1457"/>
      <c r="Y26" s="3659"/>
      <c r="Z26" s="1465" t="str">
        <f>Q26</f>
        <v>朝向</v>
      </c>
      <c r="AA26" s="1466">
        <f t="shared" si="3"/>
        <v>1</v>
      </c>
      <c r="AB26" s="1466">
        <f t="shared" si="4"/>
        <v>1</v>
      </c>
      <c r="AC26" s="1466">
        <f t="shared" si="5"/>
        <v>1</v>
      </c>
    </row>
    <row r="27" spans="1:29" s="1166" customFormat="1" ht="15" hidden="1">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59"/>
      <c r="Q27" s="1097" t="str">
        <f t="shared" si="11"/>
        <v>道路级别</v>
      </c>
      <c r="R27" s="1458" t="s">
        <v>11</v>
      </c>
      <c r="S27" s="1459">
        <f>F27</f>
        <v>100</v>
      </c>
      <c r="T27" s="1458" t="s">
        <v>11</v>
      </c>
      <c r="U27" s="1459">
        <f>H27</f>
        <v>100</v>
      </c>
      <c r="V27" s="1458" t="s">
        <v>11</v>
      </c>
      <c r="W27" s="1459">
        <f>J27</f>
        <v>100</v>
      </c>
      <c r="X27" s="1460"/>
      <c r="Y27" s="3659"/>
      <c r="Z27" s="1096" t="str">
        <f>Q27</f>
        <v>道路级别</v>
      </c>
      <c r="AA27" s="1466">
        <f>D27/F27</f>
        <v>1</v>
      </c>
      <c r="AB27" s="1466">
        <f>D27/H27</f>
        <v>1</v>
      </c>
      <c r="AC27" s="1466">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59"/>
      <c r="Q28" s="1462">
        <f t="shared" si="11"/>
        <v>111</v>
      </c>
      <c r="R28" s="1463" t="s">
        <v>11</v>
      </c>
      <c r="S28" s="1464">
        <f t="shared" ref="S28:S46" si="12">F28</f>
        <v>100</v>
      </c>
      <c r="T28" s="1463" t="s">
        <v>11</v>
      </c>
      <c r="U28" s="1464">
        <f t="shared" ref="U28:U46" si="13">H28</f>
        <v>100</v>
      </c>
      <c r="V28" s="1463" t="s">
        <v>11</v>
      </c>
      <c r="W28" s="1464">
        <f t="shared" ref="W28:W46" si="14">J28</f>
        <v>100</v>
      </c>
      <c r="X28" s="1457"/>
      <c r="Y28" s="3659"/>
      <c r="Z28" s="1465">
        <f t="shared" ref="Z28:Z46" si="15">Q28</f>
        <v>111</v>
      </c>
      <c r="AA28" s="1466">
        <f t="shared" si="3"/>
        <v>1</v>
      </c>
      <c r="AB28" s="1466">
        <f t="shared" si="4"/>
        <v>1</v>
      </c>
      <c r="AC28" s="1466">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59"/>
      <c r="Q29" s="1462">
        <f t="shared" si="11"/>
        <v>111</v>
      </c>
      <c r="R29" s="1463" t="s">
        <v>11</v>
      </c>
      <c r="S29" s="1464">
        <f t="shared" si="12"/>
        <v>100</v>
      </c>
      <c r="T29" s="1463" t="s">
        <v>11</v>
      </c>
      <c r="U29" s="1464">
        <f t="shared" si="13"/>
        <v>100</v>
      </c>
      <c r="V29" s="1463" t="s">
        <v>11</v>
      </c>
      <c r="W29" s="1464">
        <f t="shared" si="14"/>
        <v>100</v>
      </c>
      <c r="X29" s="1457"/>
      <c r="Y29" s="3659"/>
      <c r="Z29" s="1465">
        <f t="shared" si="15"/>
        <v>111</v>
      </c>
      <c r="AA29" s="1466">
        <f t="shared" si="3"/>
        <v>1</v>
      </c>
      <c r="AB29" s="1466">
        <f t="shared" si="4"/>
        <v>1</v>
      </c>
      <c r="AC29" s="1466">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59"/>
      <c r="Q30" s="1462">
        <f t="shared" si="11"/>
        <v>111</v>
      </c>
      <c r="R30" s="1463" t="s">
        <v>11</v>
      </c>
      <c r="S30" s="1464">
        <f t="shared" si="12"/>
        <v>100</v>
      </c>
      <c r="T30" s="1463" t="s">
        <v>11</v>
      </c>
      <c r="U30" s="1464">
        <f t="shared" si="13"/>
        <v>100</v>
      </c>
      <c r="V30" s="1463" t="s">
        <v>11</v>
      </c>
      <c r="W30" s="1464">
        <f t="shared" si="14"/>
        <v>100</v>
      </c>
      <c r="X30" s="1457"/>
      <c r="Y30" s="3659"/>
      <c r="Z30" s="1465">
        <f t="shared" si="15"/>
        <v>111</v>
      </c>
      <c r="AA30" s="1466">
        <f t="shared" si="3"/>
        <v>1</v>
      </c>
      <c r="AB30" s="1466">
        <f t="shared" si="4"/>
        <v>1</v>
      </c>
      <c r="AC30" s="1466">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59"/>
      <c r="Q31" s="1462">
        <f t="shared" si="11"/>
        <v>111</v>
      </c>
      <c r="R31" s="1463" t="s">
        <v>11</v>
      </c>
      <c r="S31" s="1464">
        <f t="shared" si="12"/>
        <v>100</v>
      </c>
      <c r="T31" s="1463" t="s">
        <v>11</v>
      </c>
      <c r="U31" s="1464">
        <f t="shared" si="13"/>
        <v>100</v>
      </c>
      <c r="V31" s="1463" t="s">
        <v>11</v>
      </c>
      <c r="W31" s="1464">
        <f t="shared" si="14"/>
        <v>100</v>
      </c>
      <c r="X31" s="1457"/>
      <c r="Y31" s="3659"/>
      <c r="Z31" s="1465">
        <f t="shared" si="15"/>
        <v>111</v>
      </c>
      <c r="AA31" s="1466">
        <f t="shared" si="3"/>
        <v>1</v>
      </c>
      <c r="AB31" s="1466">
        <f t="shared" si="4"/>
        <v>1</v>
      </c>
      <c r="AC31" s="1466">
        <f t="shared" si="5"/>
        <v>1</v>
      </c>
    </row>
    <row r="32" spans="1:29" ht="15">
      <c r="A32" s="2546" t="s">
        <v>2472</v>
      </c>
      <c r="B32" s="170" t="s">
        <v>707</v>
      </c>
      <c r="C32" s="850" t="s">
        <v>3217</v>
      </c>
      <c r="D32" s="574">
        <v>100</v>
      </c>
      <c r="E32" s="850" t="s">
        <v>4201</v>
      </c>
      <c r="F32" s="552">
        <f>SUMIF(100:100,E32,101:101)-SUMIF(100:100,C32,101:101)+100</f>
        <v>93</v>
      </c>
      <c r="G32" s="850" t="s">
        <v>4201</v>
      </c>
      <c r="H32" s="574">
        <f>SUMIF(100:100,G32,101:101)-SUMIF(100:100,C32,101:101)+100</f>
        <v>93</v>
      </c>
      <c r="I32" s="850" t="s">
        <v>3217</v>
      </c>
      <c r="J32" s="517">
        <f>SUMIF(100:100,I32,101:101)-SUMIF(100:100,C32,101:101)+100</f>
        <v>100</v>
      </c>
      <c r="K32" s="836">
        <v>7</v>
      </c>
      <c r="L32" s="1978"/>
      <c r="M32" s="1970"/>
      <c r="N32" s="1970"/>
      <c r="O32" s="1977"/>
      <c r="P32" s="3660" t="s">
        <v>533</v>
      </c>
      <c r="Q32" s="1462" t="str">
        <f t="shared" si="11"/>
        <v>建筑类型</v>
      </c>
      <c r="R32" s="1463" t="s">
        <v>11</v>
      </c>
      <c r="S32" s="1464">
        <f t="shared" si="12"/>
        <v>93</v>
      </c>
      <c r="T32" s="1463" t="s">
        <v>11</v>
      </c>
      <c r="U32" s="1464">
        <f t="shared" si="13"/>
        <v>93</v>
      </c>
      <c r="V32" s="1463" t="s">
        <v>11</v>
      </c>
      <c r="W32" s="1464">
        <f t="shared" si="14"/>
        <v>100</v>
      </c>
      <c r="X32" s="1457"/>
      <c r="Y32" s="3661" t="s">
        <v>533</v>
      </c>
      <c r="Z32" s="1465" t="str">
        <f t="shared" si="15"/>
        <v>建筑类型</v>
      </c>
      <c r="AA32" s="1466">
        <f t="shared" si="3"/>
        <v>1.075268817204301</v>
      </c>
      <c r="AB32" s="1466">
        <f t="shared" si="4"/>
        <v>1.075268817204301</v>
      </c>
      <c r="AC32" s="1466">
        <f t="shared" si="5"/>
        <v>1</v>
      </c>
    </row>
    <row r="33" spans="1:29" s="1248" customFormat="1" ht="15">
      <c r="A33" s="580"/>
      <c r="B33" s="504" t="s">
        <v>708</v>
      </c>
      <c r="C33" s="851">
        <f>'数据-汇总表'!E3</f>
        <v>51575.14</v>
      </c>
      <c r="D33" s="253">
        <v>100</v>
      </c>
      <c r="E33" s="511">
        <v>14814.6</v>
      </c>
      <c r="F33" s="835">
        <f>LOOKUP(E33,103:103,104:104)-LOOKUP(C33,103:103,104:104)+100</f>
        <v>100</v>
      </c>
      <c r="G33" s="510">
        <v>79081.7</v>
      </c>
      <c r="H33" s="253">
        <f>LOOKUP(G33,103:103,104:104)-LOOKUP(C33,103:103,104:104)+100</f>
        <v>100</v>
      </c>
      <c r="I33" s="511">
        <v>25455.439999999999</v>
      </c>
      <c r="J33" s="253">
        <f>LOOKUP(I33,103:103,104:104)-LOOKUP(C33,103:103,104:104)+100</f>
        <v>100</v>
      </c>
      <c r="K33" s="837"/>
      <c r="L33" s="1976"/>
      <c r="M33" s="2006"/>
      <c r="N33" s="2006"/>
      <c r="O33" s="1979"/>
      <c r="P33" s="3661"/>
      <c r="Q33" s="1491" t="str">
        <f t="shared" si="11"/>
        <v>项目建筑规模</v>
      </c>
      <c r="R33" s="1467" t="s">
        <v>11</v>
      </c>
      <c r="S33" s="1468">
        <f t="shared" si="12"/>
        <v>100</v>
      </c>
      <c r="T33" s="1467" t="s">
        <v>11</v>
      </c>
      <c r="U33" s="1468">
        <f t="shared" si="13"/>
        <v>100</v>
      </c>
      <c r="V33" s="1467" t="s">
        <v>11</v>
      </c>
      <c r="W33" s="1468">
        <f t="shared" si="14"/>
        <v>100</v>
      </c>
      <c r="X33" s="1469"/>
      <c r="Y33" s="3661"/>
      <c r="Z33" s="1470" t="str">
        <f t="shared" si="15"/>
        <v>项目建筑规模</v>
      </c>
      <c r="AA33" s="1466">
        <f t="shared" si="3"/>
        <v>1</v>
      </c>
      <c r="AB33" s="1466">
        <f t="shared" si="4"/>
        <v>1</v>
      </c>
      <c r="AC33" s="1466">
        <f t="shared" si="5"/>
        <v>1</v>
      </c>
    </row>
    <row r="34" spans="1:29" ht="15">
      <c r="A34" s="571"/>
      <c r="B34" s="504" t="s">
        <v>709</v>
      </c>
      <c r="C34" s="852" t="s">
        <v>3249</v>
      </c>
      <c r="D34" s="517">
        <v>100</v>
      </c>
      <c r="E34" s="852" t="s">
        <v>3249</v>
      </c>
      <c r="F34" s="552">
        <f>SUMIF(105:105,E34,106:106)-SUMIF(105:105,C34,106:106)+100</f>
        <v>100</v>
      </c>
      <c r="G34" s="852" t="s">
        <v>3249</v>
      </c>
      <c r="H34" s="517">
        <f>SUMIF(105:105,G34,106:106)-SUMIF(105:105,C34,106:106)+100</f>
        <v>100</v>
      </c>
      <c r="I34" s="852" t="s">
        <v>3249</v>
      </c>
      <c r="J34" s="517">
        <f>SUMIF(105:105,I34,106:106)-SUMIF(105:105,C34,106:106)+100</f>
        <v>100</v>
      </c>
      <c r="K34" s="836">
        <v>1</v>
      </c>
      <c r="L34" s="1978"/>
      <c r="M34" s="1970"/>
      <c r="N34" s="1970"/>
      <c r="O34" s="1977"/>
      <c r="P34" s="3661"/>
      <c r="Q34" s="1462" t="str">
        <f t="shared" si="11"/>
        <v>建筑结构</v>
      </c>
      <c r="R34" s="1463" t="s">
        <v>11</v>
      </c>
      <c r="S34" s="1464">
        <f t="shared" si="12"/>
        <v>100</v>
      </c>
      <c r="T34" s="1463" t="s">
        <v>11</v>
      </c>
      <c r="U34" s="1464">
        <f t="shared" si="13"/>
        <v>100</v>
      </c>
      <c r="V34" s="1463" t="s">
        <v>11</v>
      </c>
      <c r="W34" s="1464">
        <f t="shared" si="14"/>
        <v>100</v>
      </c>
      <c r="X34" s="1457"/>
      <c r="Y34" s="3661"/>
      <c r="Z34" s="1465" t="str">
        <f t="shared" si="15"/>
        <v>建筑结构</v>
      </c>
      <c r="AA34" s="1466">
        <f t="shared" si="3"/>
        <v>1</v>
      </c>
      <c r="AB34" s="1466">
        <f t="shared" si="4"/>
        <v>1</v>
      </c>
      <c r="AC34" s="1466">
        <f t="shared" si="5"/>
        <v>1</v>
      </c>
    </row>
    <row r="35" spans="1:29" ht="15">
      <c r="A35" s="571"/>
      <c r="B35" s="504" t="s">
        <v>710</v>
      </c>
      <c r="C35" s="576" t="s">
        <v>3251</v>
      </c>
      <c r="D35" s="517">
        <v>100</v>
      </c>
      <c r="E35" s="576" t="s">
        <v>3251</v>
      </c>
      <c r="F35" s="552">
        <f>SUMIF(107:107,E35,108:108)-SUMIF(107:107,C35,108:108)+100</f>
        <v>100</v>
      </c>
      <c r="G35" s="576" t="s">
        <v>3251</v>
      </c>
      <c r="H35" s="517">
        <f>SUMIF(107:107,G35,108:108)-SUMIF(107:107,C35,108:108)+100</f>
        <v>100</v>
      </c>
      <c r="I35" s="576" t="s">
        <v>3251</v>
      </c>
      <c r="J35" s="517">
        <f>SUMIF(107:107,I35,108:108)-SUMIF(107:107,C35,108:108)+100</f>
        <v>100</v>
      </c>
      <c r="K35" s="836">
        <v>1</v>
      </c>
      <c r="L35" s="1978"/>
      <c r="M35" s="1970"/>
      <c r="N35" s="1970"/>
      <c r="O35" s="1977"/>
      <c r="P35" s="3661"/>
      <c r="Q35" s="1462" t="str">
        <f t="shared" si="11"/>
        <v>建筑品质</v>
      </c>
      <c r="R35" s="1463" t="s">
        <v>11</v>
      </c>
      <c r="S35" s="1464">
        <f t="shared" si="12"/>
        <v>100</v>
      </c>
      <c r="T35" s="1463" t="s">
        <v>11</v>
      </c>
      <c r="U35" s="1464">
        <f t="shared" si="13"/>
        <v>100</v>
      </c>
      <c r="V35" s="1463" t="s">
        <v>11</v>
      </c>
      <c r="W35" s="1464">
        <f t="shared" si="14"/>
        <v>100</v>
      </c>
      <c r="X35" s="1457"/>
      <c r="Y35" s="3661"/>
      <c r="Z35" s="1465" t="str">
        <f t="shared" si="15"/>
        <v>建筑品质</v>
      </c>
      <c r="AA35" s="1466">
        <f t="shared" si="3"/>
        <v>1</v>
      </c>
      <c r="AB35" s="1466">
        <f t="shared" si="4"/>
        <v>1</v>
      </c>
      <c r="AC35" s="1466">
        <f t="shared" si="5"/>
        <v>1</v>
      </c>
    </row>
    <row r="36" spans="1:29" ht="15">
      <c r="A36" s="571"/>
      <c r="B36" s="504" t="s">
        <v>711</v>
      </c>
      <c r="C36" s="576" t="s">
        <v>3243</v>
      </c>
      <c r="D36" s="517">
        <v>100</v>
      </c>
      <c r="E36" s="576" t="s">
        <v>3243</v>
      </c>
      <c r="F36" s="552">
        <f>SUMIF(109:109,E36,110:110)-SUMIF(109:109,C36,110:110)+100</f>
        <v>100</v>
      </c>
      <c r="G36" s="576" t="s">
        <v>3243</v>
      </c>
      <c r="H36" s="517">
        <f>SUMIF(109:109,G36,110:110)-SUMIF(109:109,C36,110:110)+100</f>
        <v>100</v>
      </c>
      <c r="I36" s="576" t="s">
        <v>3243</v>
      </c>
      <c r="J36" s="517">
        <f>SUMIF(109:109,I36,110:110)-SUMIF(109:109,C36,110:110)+100</f>
        <v>100</v>
      </c>
      <c r="K36" s="836">
        <v>1</v>
      </c>
      <c r="L36" s="1978"/>
      <c r="M36" s="1970"/>
      <c r="N36" s="1970"/>
      <c r="O36" s="1977"/>
      <c r="P36" s="3661"/>
      <c r="Q36" s="1462" t="str">
        <f t="shared" si="11"/>
        <v>公共部分装修</v>
      </c>
      <c r="R36" s="1463" t="s">
        <v>11</v>
      </c>
      <c r="S36" s="1464">
        <f t="shared" si="12"/>
        <v>100</v>
      </c>
      <c r="T36" s="1463" t="s">
        <v>11</v>
      </c>
      <c r="U36" s="1464">
        <f t="shared" si="13"/>
        <v>100</v>
      </c>
      <c r="V36" s="1463" t="s">
        <v>11</v>
      </c>
      <c r="W36" s="1464">
        <f t="shared" si="14"/>
        <v>100</v>
      </c>
      <c r="X36" s="1457"/>
      <c r="Y36" s="3661"/>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71"/>
      <c r="M37" s="1972"/>
      <c r="N37" s="1972"/>
      <c r="O37" s="1973"/>
      <c r="P37" s="3661"/>
      <c r="Q37" s="1097" t="str">
        <f t="shared" si="11"/>
        <v>成新度</v>
      </c>
      <c r="R37" s="1458" t="s">
        <v>11</v>
      </c>
      <c r="S37" s="1459">
        <f t="shared" si="12"/>
        <v>100</v>
      </c>
      <c r="T37" s="1458" t="s">
        <v>11</v>
      </c>
      <c r="U37" s="1459">
        <f t="shared" si="13"/>
        <v>100</v>
      </c>
      <c r="V37" s="1458" t="s">
        <v>11</v>
      </c>
      <c r="W37" s="1459">
        <f t="shared" si="14"/>
        <v>100</v>
      </c>
      <c r="X37" s="1460"/>
      <c r="Y37" s="3661"/>
      <c r="Z37" s="1096" t="str">
        <f t="shared" si="15"/>
        <v>成新度</v>
      </c>
      <c r="AA37" s="1461">
        <f t="shared" si="3"/>
        <v>1</v>
      </c>
      <c r="AB37" s="1461">
        <f t="shared" si="4"/>
        <v>1</v>
      </c>
      <c r="AC37" s="1461">
        <f t="shared" si="5"/>
        <v>1</v>
      </c>
    </row>
    <row r="38" spans="1:29" ht="15">
      <c r="A38" s="571"/>
      <c r="B38" s="504" t="s">
        <v>713</v>
      </c>
      <c r="C38" s="576" t="s">
        <v>3253</v>
      </c>
      <c r="D38" s="517">
        <v>100</v>
      </c>
      <c r="E38" s="576" t="s">
        <v>3253</v>
      </c>
      <c r="F38" s="552">
        <f>SUMIF(114:114,E38,115:115)-SUMIF(114:114,C38,115:115)+100</f>
        <v>100</v>
      </c>
      <c r="G38" s="576" t="s">
        <v>3253</v>
      </c>
      <c r="H38" s="517">
        <f>SUMIF(114:114,G38,115:115)-SUMIF(114:114,C38,115:115)+100</f>
        <v>100</v>
      </c>
      <c r="I38" s="576" t="s">
        <v>3253</v>
      </c>
      <c r="J38" s="517">
        <f>SUMIF(114:114,I38,115:115)-SUMIF(114:114,C38,115:115)+100</f>
        <v>100</v>
      </c>
      <c r="K38" s="836">
        <v>1</v>
      </c>
      <c r="L38" s="1978"/>
      <c r="M38" s="1970"/>
      <c r="N38" s="1970"/>
      <c r="O38" s="1977"/>
      <c r="P38" s="3661" t="s">
        <v>533</v>
      </c>
      <c r="Q38" s="1462" t="str">
        <f t="shared" si="11"/>
        <v>物业管理</v>
      </c>
      <c r="R38" s="1463" t="s">
        <v>11</v>
      </c>
      <c r="S38" s="1464">
        <f t="shared" si="12"/>
        <v>100</v>
      </c>
      <c r="T38" s="1463" t="s">
        <v>11</v>
      </c>
      <c r="U38" s="1464">
        <f t="shared" si="13"/>
        <v>100</v>
      </c>
      <c r="V38" s="1463" t="s">
        <v>11</v>
      </c>
      <c r="W38" s="1464">
        <f t="shared" si="14"/>
        <v>100</v>
      </c>
      <c r="X38" s="1457"/>
      <c r="Y38" s="3661" t="s">
        <v>533</v>
      </c>
      <c r="Z38" s="1465" t="str">
        <f t="shared" si="15"/>
        <v>物业管理</v>
      </c>
      <c r="AA38" s="1466">
        <f t="shared" si="3"/>
        <v>1</v>
      </c>
      <c r="AB38" s="1466">
        <f t="shared" si="4"/>
        <v>1</v>
      </c>
      <c r="AC38" s="1466">
        <f t="shared" si="5"/>
        <v>1</v>
      </c>
    </row>
    <row r="39" spans="1:29" ht="15" hidden="1">
      <c r="A39" s="571"/>
      <c r="B39" s="1764" t="s">
        <v>2282</v>
      </c>
      <c r="C39" s="576"/>
      <c r="D39" s="517">
        <v>100</v>
      </c>
      <c r="E39" s="576"/>
      <c r="F39" s="552">
        <f>SUMIF(116:116,E39,117:117)-SUMIF(116:116,C39,117:117)+100</f>
        <v>100</v>
      </c>
      <c r="G39" s="576"/>
      <c r="H39" s="517">
        <f>SUMIF(116:116,G39,117:117)-SUMIF(116:116,C39,117:117)+100</f>
        <v>100</v>
      </c>
      <c r="I39" s="576"/>
      <c r="J39" s="517">
        <f>SUMIF(116:116,I39,117:117)-SUMIF(116:116,C39,117:117)+100</f>
        <v>100</v>
      </c>
      <c r="K39" s="836"/>
      <c r="L39" s="1978"/>
      <c r="M39" s="1970"/>
      <c r="N39" s="1970"/>
      <c r="O39" s="1977"/>
      <c r="P39" s="3661"/>
      <c r="Q39" s="1462" t="str">
        <f t="shared" si="11"/>
        <v>市政基础设施</v>
      </c>
      <c r="R39" s="1463" t="s">
        <v>11</v>
      </c>
      <c r="S39" s="1464">
        <f t="shared" si="12"/>
        <v>100</v>
      </c>
      <c r="T39" s="1463" t="s">
        <v>11</v>
      </c>
      <c r="U39" s="1464">
        <f t="shared" si="13"/>
        <v>100</v>
      </c>
      <c r="V39" s="1463" t="s">
        <v>11</v>
      </c>
      <c r="W39" s="1464">
        <f t="shared" si="14"/>
        <v>100</v>
      </c>
      <c r="X39" s="1457"/>
      <c r="Y39" s="3661"/>
      <c r="Z39" s="1465" t="str">
        <f t="shared" si="15"/>
        <v>市政基础设施</v>
      </c>
      <c r="AA39" s="1466">
        <f t="shared" si="3"/>
        <v>1</v>
      </c>
      <c r="AB39" s="1466">
        <f t="shared" si="4"/>
        <v>1</v>
      </c>
      <c r="AC39" s="1466">
        <f t="shared" si="5"/>
        <v>1</v>
      </c>
    </row>
    <row r="40" spans="1:29" ht="15">
      <c r="A40" s="571"/>
      <c r="B40" s="504" t="s">
        <v>714</v>
      </c>
      <c r="C40" s="576" t="s">
        <v>3255</v>
      </c>
      <c r="D40" s="517">
        <v>100</v>
      </c>
      <c r="E40" s="576" t="s">
        <v>3255</v>
      </c>
      <c r="F40" s="552">
        <f>SUMIF(118:118,E40,119:119)-SUMIF(118:118,C40,119:119)+100</f>
        <v>100</v>
      </c>
      <c r="G40" s="576" t="s">
        <v>3255</v>
      </c>
      <c r="H40" s="517">
        <f>SUMIF(118:118,G40,119:119)-SUMIF(118:118,C40,119:119)+100</f>
        <v>100</v>
      </c>
      <c r="I40" s="576" t="s">
        <v>3255</v>
      </c>
      <c r="J40" s="517">
        <f>SUMIF(118:118,I40,119:119)-SUMIF(118:118,C40,119:119)+100</f>
        <v>100</v>
      </c>
      <c r="K40" s="836">
        <v>1</v>
      </c>
      <c r="L40" s="1978"/>
      <c r="M40" s="1970"/>
      <c r="N40" s="1970"/>
      <c r="O40" s="1977"/>
      <c r="P40" s="3661"/>
      <c r="Q40" s="1462" t="str">
        <f t="shared" si="11"/>
        <v>房型</v>
      </c>
      <c r="R40" s="1463" t="s">
        <v>11</v>
      </c>
      <c r="S40" s="1464">
        <f t="shared" si="12"/>
        <v>100</v>
      </c>
      <c r="T40" s="1463" t="s">
        <v>11</v>
      </c>
      <c r="U40" s="1464">
        <f t="shared" si="13"/>
        <v>100</v>
      </c>
      <c r="V40" s="1463" t="s">
        <v>11</v>
      </c>
      <c r="W40" s="1464">
        <f t="shared" si="14"/>
        <v>100</v>
      </c>
      <c r="X40" s="1457"/>
      <c r="Y40" s="3661"/>
      <c r="Z40" s="1465" t="str">
        <f t="shared" si="15"/>
        <v>房型</v>
      </c>
      <c r="AA40" s="1466">
        <f t="shared" si="3"/>
        <v>1</v>
      </c>
      <c r="AB40" s="1466">
        <f t="shared" si="4"/>
        <v>1</v>
      </c>
      <c r="AC40" s="1466">
        <f t="shared" si="5"/>
        <v>1</v>
      </c>
    </row>
    <row r="41" spans="1:29" s="1248" customFormat="1" ht="28.5" hidden="1">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61"/>
      <c r="Q41" s="1491" t="str">
        <f t="shared" si="11"/>
        <v>单套/主力户型建筑面积</v>
      </c>
      <c r="R41" s="1467" t="s">
        <v>11</v>
      </c>
      <c r="S41" s="1468">
        <f t="shared" si="12"/>
        <v>100</v>
      </c>
      <c r="T41" s="1467" t="s">
        <v>11</v>
      </c>
      <c r="U41" s="1468">
        <f t="shared" si="13"/>
        <v>100</v>
      </c>
      <c r="V41" s="1467" t="s">
        <v>11</v>
      </c>
      <c r="W41" s="1468">
        <f t="shared" si="14"/>
        <v>100</v>
      </c>
      <c r="X41" s="1469"/>
      <c r="Y41" s="3661"/>
      <c r="Z41" s="1470" t="str">
        <f t="shared" si="15"/>
        <v>单套/主力户型建筑面积</v>
      </c>
      <c r="AA41" s="1466">
        <f t="shared" si="3"/>
        <v>1</v>
      </c>
      <c r="AB41" s="1466">
        <f t="shared" si="4"/>
        <v>1</v>
      </c>
      <c r="AC41" s="1466">
        <f t="shared" si="5"/>
        <v>1</v>
      </c>
    </row>
    <row r="42" spans="1:29" ht="15">
      <c r="A42" s="571"/>
      <c r="B42" s="504" t="s">
        <v>716</v>
      </c>
      <c r="C42" s="576" t="s">
        <v>3243</v>
      </c>
      <c r="D42" s="517">
        <v>100</v>
      </c>
      <c r="E42" s="846" t="s">
        <v>3247</v>
      </c>
      <c r="F42" s="552">
        <f>SUMIF(122:122,E42,123:123)-SUMIF(122:122,C42,123:123)+100</f>
        <v>94</v>
      </c>
      <c r="G42" s="576" t="s">
        <v>3243</v>
      </c>
      <c r="H42" s="517">
        <f>SUMIF(122:122,G42,123:123)-SUMIF(122:122,C42,123:123)+100</f>
        <v>100</v>
      </c>
      <c r="I42" s="846" t="s">
        <v>3243</v>
      </c>
      <c r="J42" s="517">
        <f>SUMIF(122:122,I42,123:123)-SUMIF(122:122,C42,123:123)+100</f>
        <v>100</v>
      </c>
      <c r="K42" s="836">
        <v>2</v>
      </c>
      <c r="L42" s="1978"/>
      <c r="M42" s="1970"/>
      <c r="N42" s="1970"/>
      <c r="O42" s="1977"/>
      <c r="P42" s="3661"/>
      <c r="Q42" s="1462" t="str">
        <f t="shared" si="11"/>
        <v>内部装修</v>
      </c>
      <c r="R42" s="1463" t="s">
        <v>11</v>
      </c>
      <c r="S42" s="1464">
        <f t="shared" si="12"/>
        <v>94</v>
      </c>
      <c r="T42" s="1463" t="s">
        <v>11</v>
      </c>
      <c r="U42" s="1464">
        <f t="shared" si="13"/>
        <v>100</v>
      </c>
      <c r="V42" s="1463" t="s">
        <v>11</v>
      </c>
      <c r="W42" s="1464">
        <f t="shared" si="14"/>
        <v>100</v>
      </c>
      <c r="X42" s="1457"/>
      <c r="Y42" s="3661"/>
      <c r="Z42" s="1465" t="str">
        <f t="shared" si="15"/>
        <v>内部装修</v>
      </c>
      <c r="AA42" s="1466">
        <f t="shared" si="3"/>
        <v>1.0638297872340425</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61"/>
      <c r="Q43" s="1462" t="str">
        <f t="shared" si="11"/>
        <v>内部装修维护情况</v>
      </c>
      <c r="R43" s="1463" t="s">
        <v>11</v>
      </c>
      <c r="S43" s="1464">
        <f t="shared" si="12"/>
        <v>100</v>
      </c>
      <c r="T43" s="1463" t="s">
        <v>11</v>
      </c>
      <c r="U43" s="1464">
        <f t="shared" si="13"/>
        <v>100</v>
      </c>
      <c r="V43" s="1463" t="s">
        <v>11</v>
      </c>
      <c r="W43" s="1464">
        <f t="shared" si="14"/>
        <v>100</v>
      </c>
      <c r="X43" s="1457"/>
      <c r="Y43" s="3661"/>
      <c r="Z43" s="1465" t="str">
        <f t="shared" si="15"/>
        <v>内部装修维护情况</v>
      </c>
      <c r="AA43" s="1466">
        <f t="shared" si="3"/>
        <v>1</v>
      </c>
      <c r="AB43" s="1466">
        <f t="shared" si="4"/>
        <v>1</v>
      </c>
      <c r="AC43" s="1466">
        <f t="shared" si="5"/>
        <v>1</v>
      </c>
    </row>
    <row r="44" spans="1:29" s="1166" customFormat="1" ht="15">
      <c r="A44" s="577"/>
      <c r="B44" s="3786" t="s">
        <v>4213</v>
      </c>
      <c r="C44" s="3787" t="s">
        <v>4214</v>
      </c>
      <c r="D44" s="253">
        <v>100</v>
      </c>
      <c r="E44" s="3787" t="s">
        <v>4215</v>
      </c>
      <c r="F44" s="835">
        <f>SUMIF(126:126,E44,127:127)-SUMIF(126:126,C44,127:127)+100</f>
        <v>90</v>
      </c>
      <c r="G44" s="3787" t="s">
        <v>4215</v>
      </c>
      <c r="H44" s="253">
        <f>SUMIF(126:126,G44,127:127)-SUMIF(126:126,C44,127:127)+100</f>
        <v>90</v>
      </c>
      <c r="I44" s="3787" t="s">
        <v>4216</v>
      </c>
      <c r="J44" s="253">
        <f>SUMIF(126:126,I44,127:127)-SUMIF(126:126,C44,127:127)+100</f>
        <v>90</v>
      </c>
      <c r="K44" s="837"/>
      <c r="L44" s="1971"/>
      <c r="M44" s="1972"/>
      <c r="N44" s="1972"/>
      <c r="O44" s="1973"/>
      <c r="P44" s="3661"/>
      <c r="Q44" s="1097" t="str">
        <f t="shared" si="11"/>
        <v>是否临海</v>
      </c>
      <c r="R44" s="1458" t="s">
        <v>11</v>
      </c>
      <c r="S44" s="1459">
        <f t="shared" si="12"/>
        <v>90</v>
      </c>
      <c r="T44" s="1458" t="s">
        <v>11</v>
      </c>
      <c r="U44" s="1459">
        <f t="shared" si="13"/>
        <v>90</v>
      </c>
      <c r="V44" s="1458" t="s">
        <v>11</v>
      </c>
      <c r="W44" s="1459">
        <f t="shared" si="14"/>
        <v>90</v>
      </c>
      <c r="X44" s="1460"/>
      <c r="Y44" s="3661"/>
      <c r="Z44" s="1096" t="str">
        <f t="shared" si="15"/>
        <v>是否临海</v>
      </c>
      <c r="AA44" s="1461">
        <f t="shared" si="3"/>
        <v>1.1111111111111112</v>
      </c>
      <c r="AB44" s="1461">
        <f t="shared" si="4"/>
        <v>1.1111111111111112</v>
      </c>
      <c r="AC44" s="1461">
        <f t="shared" si="5"/>
        <v>1.1111111111111112</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61"/>
      <c r="Q45" s="1462">
        <f t="shared" si="11"/>
        <v>111</v>
      </c>
      <c r="R45" s="1463" t="s">
        <v>11</v>
      </c>
      <c r="S45" s="1464">
        <f t="shared" si="12"/>
        <v>100</v>
      </c>
      <c r="T45" s="1463" t="s">
        <v>11</v>
      </c>
      <c r="U45" s="1464">
        <f t="shared" si="13"/>
        <v>100</v>
      </c>
      <c r="V45" s="1463" t="s">
        <v>11</v>
      </c>
      <c r="W45" s="1464">
        <f t="shared" si="14"/>
        <v>100</v>
      </c>
      <c r="X45" s="1457"/>
      <c r="Y45" s="3661"/>
      <c r="Z45" s="1465">
        <f t="shared" si="15"/>
        <v>111</v>
      </c>
      <c r="AA45" s="1466">
        <f t="shared" si="3"/>
        <v>1</v>
      </c>
      <c r="AB45" s="1466">
        <f t="shared" si="4"/>
        <v>1</v>
      </c>
      <c r="AC45" s="1466">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75"/>
      <c r="Q46" s="1462">
        <f t="shared" si="11"/>
        <v>111</v>
      </c>
      <c r="R46" s="1463" t="s">
        <v>10</v>
      </c>
      <c r="S46" s="1464">
        <f t="shared" si="12"/>
        <v>100</v>
      </c>
      <c r="T46" s="1463" t="s">
        <v>10</v>
      </c>
      <c r="U46" s="1464">
        <f t="shared" si="13"/>
        <v>100</v>
      </c>
      <c r="V46" s="1463" t="s">
        <v>10</v>
      </c>
      <c r="W46" s="1464">
        <f t="shared" si="14"/>
        <v>100</v>
      </c>
      <c r="X46" s="1457"/>
      <c r="Y46" s="3775"/>
      <c r="Z46" s="1465">
        <f t="shared" si="15"/>
        <v>111</v>
      </c>
      <c r="AA46" s="1466">
        <f t="shared" si="3"/>
        <v>1</v>
      </c>
      <c r="AB46" s="1466">
        <f t="shared" si="4"/>
        <v>1</v>
      </c>
      <c r="AC46" s="1466">
        <f t="shared" si="5"/>
        <v>1</v>
      </c>
    </row>
    <row r="47" spans="1:29" ht="15">
      <c r="A47" s="584" t="s">
        <v>718</v>
      </c>
      <c r="B47" s="858"/>
      <c r="C47" s="2392" t="s">
        <v>9</v>
      </c>
      <c r="D47" s="2393"/>
      <c r="E47" s="2394">
        <v>16000</v>
      </c>
      <c r="F47" s="2395"/>
      <c r="G47" s="2396">
        <v>17250</v>
      </c>
      <c r="H47" s="2397"/>
      <c r="I47" s="2394">
        <v>17288</v>
      </c>
      <c r="J47" s="2397"/>
      <c r="K47" s="1492"/>
      <c r="L47" s="1980"/>
      <c r="M47" s="1981"/>
      <c r="N47" s="1970"/>
      <c r="O47" s="1981"/>
      <c r="P47" s="3656" t="str">
        <f>A47</f>
        <v>成交单价（元/平方米）</v>
      </c>
      <c r="Q47" s="3656"/>
      <c r="R47" s="3774">
        <f>E47</f>
        <v>16000</v>
      </c>
      <c r="S47" s="3774"/>
      <c r="T47" s="3774">
        <f>G47</f>
        <v>17250</v>
      </c>
      <c r="U47" s="3774"/>
      <c r="V47" s="3774">
        <f>I47</f>
        <v>17288</v>
      </c>
      <c r="W47" s="3774"/>
      <c r="X47" s="1452"/>
      <c r="Y47" s="1471"/>
      <c r="Z47" s="1452"/>
      <c r="AA47" s="1452"/>
      <c r="AB47" s="1452"/>
      <c r="AC47" s="1452"/>
    </row>
    <row r="48" spans="1:29" ht="15.75" thickBot="1">
      <c r="A48" s="592" t="s">
        <v>2477</v>
      </c>
      <c r="B48" s="859"/>
      <c r="C48" s="2398">
        <f>R49</f>
        <v>21374</v>
      </c>
      <c r="D48" s="2922" t="s">
        <v>2697</v>
      </c>
      <c r="E48" s="2399">
        <f>R48</f>
        <v>20577</v>
      </c>
      <c r="F48" s="2923"/>
      <c r="G48" s="2398">
        <f>T48</f>
        <v>23424</v>
      </c>
      <c r="H48" s="2923"/>
      <c r="I48" s="2399">
        <f>V48</f>
        <v>20120</v>
      </c>
      <c r="J48" s="2923"/>
      <c r="K48" s="2931">
        <f>F48+H48+J48</f>
        <v>0</v>
      </c>
      <c r="L48" s="1980"/>
      <c r="M48" s="1981"/>
      <c r="N48" s="1981"/>
      <c r="O48" s="1981"/>
      <c r="P48" s="3656" t="str">
        <f>A48</f>
        <v>比较价格（元/平方米）</v>
      </c>
      <c r="Q48" s="3656"/>
      <c r="R48" s="3774">
        <f>IF(F1="售价",ROUND(PRODUCT(R47,AA7:AA46),0),ROUND(PRODUCT(R47,AA7:AA46),1))</f>
        <v>20577</v>
      </c>
      <c r="S48" s="3774"/>
      <c r="T48" s="3774">
        <f>IF(F1="售价",ROUND(PRODUCT(T47,AB7:AB46),0),ROUND(PRODUCT(T47,AB7:AB46),1))</f>
        <v>23424</v>
      </c>
      <c r="U48" s="3774"/>
      <c r="V48" s="3774">
        <f>IF(F1="售价",ROUND(PRODUCT(V47,AC7:AC46),0),ROUND(PRODUCT(V47,AC7:AC46),1))</f>
        <v>20120</v>
      </c>
      <c r="W48" s="3774"/>
      <c r="X48" s="1452"/>
      <c r="Y48" s="1452"/>
      <c r="Z48" s="1452"/>
      <c r="AA48" s="1452"/>
      <c r="AB48" s="1452"/>
      <c r="AC48" s="1452"/>
    </row>
    <row r="49" spans="1:29" ht="15.75" thickBot="1">
      <c r="A49" s="596" t="s">
        <v>2632</v>
      </c>
      <c r="B49" s="597"/>
      <c r="C49" s="2400">
        <f>R49</f>
        <v>21374</v>
      </c>
      <c r="D49" s="2400"/>
      <c r="E49" s="2400"/>
      <c r="F49" s="2400"/>
      <c r="G49" s="2400"/>
      <c r="H49" s="2400"/>
      <c r="I49" s="2400"/>
      <c r="J49" s="2400"/>
      <c r="K49" s="1493"/>
      <c r="L49" s="1980"/>
      <c r="M49" s="1981"/>
      <c r="N49" s="1981"/>
      <c r="O49" s="1981"/>
      <c r="P49" s="3662" t="str">
        <f>A49</f>
        <v>估价对象XX用房的比较价格（楼面单价，元/平方米）</v>
      </c>
      <c r="Q49" s="3663"/>
      <c r="R49" s="3773">
        <f>IF(F1="售价",ROUND(IF(D48="简单平均",AVERAGE(R48:V48),R48*F48+T48*H48+V48*J48),0),ROUND(IF(D48="简单平均",AVERAGE(R48:V48),R48*F48+T48*H48+V48*J48),1))</f>
        <v>21374</v>
      </c>
      <c r="S49" s="3773"/>
      <c r="T49" s="3773"/>
      <c r="U49" s="3773"/>
      <c r="V49" s="3773"/>
      <c r="W49" s="3773"/>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0.28606250000000011</v>
      </c>
      <c r="F52" s="602" t="str">
        <f>IF(OR(E52&gt;=0.3,E52&lt;=-0.3),"超过30%","")</f>
        <v/>
      </c>
      <c r="G52" s="601">
        <f>IF(G47&lt;G48,G48/G47-1,G47/G48-1)</f>
        <v>0.35791304347826092</v>
      </c>
      <c r="H52" s="602" t="str">
        <f>IF(OR(G52&gt;=0.3,G52&lt;=-0.3),"超过30%","")</f>
        <v>超过30%</v>
      </c>
      <c r="I52" s="601">
        <f>IF(I47&lt;I48,I48/I47-1,I47/I48-1)</f>
        <v>0.16381304951411391</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0.13835836127715417</v>
      </c>
      <c r="F53" s="602" t="str">
        <f>IF(OR(E53&gt;=0.2,E53&lt;=-0.2),"超过20%","")</f>
        <v/>
      </c>
      <c r="G53" s="601">
        <f>IF(G48&lt;I48,I48/G48-1,G48/I48-1)</f>
        <v>0.16421471172962221</v>
      </c>
      <c r="H53" s="602" t="str">
        <f>IF(OR(G53&gt;=0.2,G53&lt;=-0.2),"超过20%","")</f>
        <v/>
      </c>
      <c r="I53" s="601">
        <f>IF(I48&lt;E48,E48/I48-1,I48/E48-1)</f>
        <v>2.271371769383701E-2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7.8125E-2</v>
      </c>
      <c r="F54" s="602" t="str">
        <f>IF(OR(E54&gt;=0.3,E54&lt;=-0.3),"超过30%","")</f>
        <v/>
      </c>
      <c r="G54" s="601">
        <f>IF(G47&lt;I47,I47/G47-1,G47/I47-1)</f>
        <v>2.2028985507245302E-3</v>
      </c>
      <c r="H54" s="602" t="str">
        <f>IF(OR(G54&gt;=0.3,G54&lt;=-0.3),"超过30%","")</f>
        <v/>
      </c>
      <c r="I54" s="601">
        <f>IF(I47&lt;E47,E47/I47-1,I47/E47-1)</f>
        <v>8.0500000000000016E-2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v>100</v>
      </c>
      <c r="E59" s="625">
        <v>100</v>
      </c>
      <c r="F59" s="625">
        <v>99.5</v>
      </c>
      <c r="G59" s="625">
        <v>99.5</v>
      </c>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v>4</v>
      </c>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95</v>
      </c>
      <c r="E69" s="654">
        <f t="shared" si="19"/>
        <v>90</v>
      </c>
      <c r="F69" s="654">
        <f t="shared" si="19"/>
        <v>85</v>
      </c>
      <c r="G69" s="654">
        <f t="shared" si="19"/>
        <v>80</v>
      </c>
      <c r="H69" s="654">
        <f t="shared" si="19"/>
        <v>75</v>
      </c>
      <c r="I69" s="654">
        <f t="shared" si="19"/>
        <v>70</v>
      </c>
      <c r="J69" s="654">
        <f t="shared" si="19"/>
        <v>65</v>
      </c>
      <c r="K69" s="654">
        <f t="shared" si="19"/>
        <v>60</v>
      </c>
      <c r="L69" s="654">
        <f t="shared" si="19"/>
        <v>55</v>
      </c>
      <c r="M69" s="655">
        <f t="shared" si="19"/>
        <v>50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97</v>
      </c>
      <c r="E77" s="654">
        <f>D77-$K15</f>
        <v>94</v>
      </c>
      <c r="F77" s="654">
        <f>E77-$K15</f>
        <v>91</v>
      </c>
      <c r="G77" s="654">
        <f>F77-$K15</f>
        <v>88</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97</v>
      </c>
      <c r="E79" s="654">
        <f>D79-$K17</f>
        <v>94</v>
      </c>
      <c r="F79" s="654">
        <f>E79-$K17</f>
        <v>91</v>
      </c>
      <c r="G79" s="654">
        <f>F79-$K17</f>
        <v>88</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99</v>
      </c>
      <c r="E83" s="654">
        <f>D83-$K21</f>
        <v>98</v>
      </c>
      <c r="F83" s="654">
        <f>E83-$K21</f>
        <v>97</v>
      </c>
      <c r="G83" s="654">
        <f>F83-$K21</f>
        <v>96</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454" t="s">
        <v>4199</v>
      </c>
      <c r="D100" s="3454" t="s">
        <v>4200</v>
      </c>
      <c r="E100" s="3454" t="s">
        <v>4202</v>
      </c>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93</v>
      </c>
      <c r="E101" s="654">
        <f t="shared" si="22"/>
        <v>86</v>
      </c>
      <c r="F101" s="654">
        <f t="shared" si="22"/>
        <v>79</v>
      </c>
      <c r="G101" s="654">
        <f t="shared" si="22"/>
        <v>72</v>
      </c>
      <c r="H101" s="654">
        <f t="shared" si="22"/>
        <v>65</v>
      </c>
      <c r="I101" s="654">
        <f t="shared" si="22"/>
        <v>58</v>
      </c>
      <c r="J101" s="654">
        <f t="shared" si="22"/>
        <v>51</v>
      </c>
      <c r="K101" s="654">
        <f t="shared" si="22"/>
        <v>44</v>
      </c>
      <c r="L101" s="654">
        <f t="shared" si="22"/>
        <v>37</v>
      </c>
      <c r="M101" s="654">
        <f t="shared" si="22"/>
        <v>30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500000(含)-600000</v>
      </c>
      <c r="I102" s="683" t="str">
        <f t="shared" si="23"/>
        <v>600000(含)-700000</v>
      </c>
      <c r="J102" s="683" t="str">
        <f t="shared" si="23"/>
        <v>700000(含)-800000</v>
      </c>
      <c r="K102" s="683" t="str">
        <f t="shared" si="23"/>
        <v>800000(含)-900000</v>
      </c>
      <c r="L102" s="683" t="str">
        <f t="shared" si="23"/>
        <v>900000(含)-1000000</v>
      </c>
      <c r="M102" s="683" t="str">
        <f>M103&amp;"(含)"&amp;"-"&amp;P103</f>
        <v>1000000(含)-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f>C103+100000</f>
        <v>100000</v>
      </c>
      <c r="E103" s="705">
        <f t="shared" ref="E103:M103" si="24">D103+100000</f>
        <v>200000</v>
      </c>
      <c r="F103" s="705">
        <f t="shared" si="24"/>
        <v>300000</v>
      </c>
      <c r="G103" s="705">
        <f t="shared" si="24"/>
        <v>400000</v>
      </c>
      <c r="H103" s="705">
        <f t="shared" si="24"/>
        <v>500000</v>
      </c>
      <c r="I103" s="705">
        <f t="shared" si="24"/>
        <v>600000</v>
      </c>
      <c r="J103" s="705">
        <f t="shared" si="24"/>
        <v>700000</v>
      </c>
      <c r="K103" s="705">
        <f t="shared" si="24"/>
        <v>800000</v>
      </c>
      <c r="L103" s="705">
        <f t="shared" si="24"/>
        <v>900000</v>
      </c>
      <c r="M103" s="705">
        <f t="shared" si="24"/>
        <v>1000000</v>
      </c>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f>C104+0.5</f>
        <v>100.5</v>
      </c>
      <c r="E104" s="646">
        <f t="shared" ref="E104:M104" si="25">D104+0.5</f>
        <v>101</v>
      </c>
      <c r="F104" s="646">
        <f t="shared" si="25"/>
        <v>101.5</v>
      </c>
      <c r="G104" s="646">
        <f t="shared" si="25"/>
        <v>102</v>
      </c>
      <c r="H104" s="646">
        <f t="shared" si="25"/>
        <v>102.5</v>
      </c>
      <c r="I104" s="646">
        <f t="shared" si="25"/>
        <v>103</v>
      </c>
      <c r="J104" s="646">
        <f t="shared" si="25"/>
        <v>103.5</v>
      </c>
      <c r="K104" s="646">
        <f t="shared" si="25"/>
        <v>104</v>
      </c>
      <c r="L104" s="646">
        <f t="shared" si="25"/>
        <v>104.5</v>
      </c>
      <c r="M104" s="646">
        <f t="shared" si="25"/>
        <v>105</v>
      </c>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452" t="s">
        <v>3250</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453" t="s">
        <v>3252</v>
      </c>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7">C108-$K35</f>
        <v>99</v>
      </c>
      <c r="E108" s="654">
        <f t="shared" si="27"/>
        <v>98</v>
      </c>
      <c r="F108" s="654">
        <f t="shared" si="27"/>
        <v>97</v>
      </c>
      <c r="G108" s="654">
        <f t="shared" si="27"/>
        <v>96</v>
      </c>
      <c r="H108" s="654">
        <f t="shared" si="27"/>
        <v>95</v>
      </c>
      <c r="I108" s="654">
        <f t="shared" si="27"/>
        <v>94</v>
      </c>
      <c r="J108" s="654">
        <f t="shared" si="27"/>
        <v>93</v>
      </c>
      <c r="K108" s="654">
        <f t="shared" si="27"/>
        <v>92</v>
      </c>
      <c r="L108" s="654">
        <f t="shared" si="27"/>
        <v>91</v>
      </c>
      <c r="M108" s="654">
        <f t="shared" si="27"/>
        <v>90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452" t="s">
        <v>3244</v>
      </c>
      <c r="D109" s="3452" t="s">
        <v>3245</v>
      </c>
      <c r="E109" s="3452" t="s">
        <v>3246</v>
      </c>
      <c r="F109" s="3453" t="s">
        <v>3248</v>
      </c>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8">C110-$K36</f>
        <v>99</v>
      </c>
      <c r="E110" s="654">
        <f t="shared" si="28"/>
        <v>98</v>
      </c>
      <c r="F110" s="654">
        <f t="shared" si="28"/>
        <v>97</v>
      </c>
      <c r="G110" s="654">
        <f t="shared" si="28"/>
        <v>96</v>
      </c>
      <c r="H110" s="654">
        <f t="shared" si="28"/>
        <v>95</v>
      </c>
      <c r="I110" s="654">
        <f t="shared" si="28"/>
        <v>94</v>
      </c>
      <c r="J110" s="654">
        <f t="shared" si="28"/>
        <v>93</v>
      </c>
      <c r="K110" s="654">
        <f t="shared" si="28"/>
        <v>92</v>
      </c>
      <c r="L110" s="654">
        <f t="shared" si="28"/>
        <v>91</v>
      </c>
      <c r="M110" s="654">
        <f t="shared" si="28"/>
        <v>90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452" t="s">
        <v>3254</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3453" t="s">
        <v>3256</v>
      </c>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30">C119-$K40</f>
        <v>99</v>
      </c>
      <c r="E119" s="654">
        <f t="shared" si="30"/>
        <v>98</v>
      </c>
      <c r="F119" s="654">
        <f t="shared" si="30"/>
        <v>97</v>
      </c>
      <c r="G119" s="654">
        <f t="shared" si="30"/>
        <v>96</v>
      </c>
      <c r="H119" s="654">
        <f t="shared" si="30"/>
        <v>95</v>
      </c>
      <c r="I119" s="654">
        <f t="shared" si="30"/>
        <v>94</v>
      </c>
      <c r="J119" s="654">
        <f t="shared" si="30"/>
        <v>93</v>
      </c>
      <c r="K119" s="654">
        <f t="shared" si="30"/>
        <v>92</v>
      </c>
      <c r="L119" s="654">
        <f t="shared" si="30"/>
        <v>91</v>
      </c>
      <c r="M119" s="654">
        <f t="shared" si="30"/>
        <v>90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452" t="s">
        <v>3244</v>
      </c>
      <c r="D122" s="3452" t="s">
        <v>3245</v>
      </c>
      <c r="E122" s="3452" t="s">
        <v>3246</v>
      </c>
      <c r="F122" s="3453" t="s">
        <v>3248</v>
      </c>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t="str">
        <f>B44</f>
        <v>是否临海</v>
      </c>
      <c r="C126" s="3452" t="s">
        <v>4217</v>
      </c>
      <c r="D126" s="3452" t="s">
        <v>4218</v>
      </c>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v>100</v>
      </c>
      <c r="D127" s="646">
        <v>90</v>
      </c>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64" t="s">
        <v>505</v>
      </c>
      <c r="D4" s="3665"/>
      <c r="E4" s="3686" t="s">
        <v>506</v>
      </c>
      <c r="F4" s="3687"/>
      <c r="G4" s="3664" t="s">
        <v>507</v>
      </c>
      <c r="H4" s="3665"/>
      <c r="I4" s="3664" t="s">
        <v>508</v>
      </c>
      <c r="J4" s="3665"/>
      <c r="K4" s="491" t="s">
        <v>509</v>
      </c>
      <c r="L4" s="1969"/>
      <c r="M4" s="1970"/>
      <c r="N4" s="1970"/>
      <c r="O4" s="1970"/>
      <c r="P4" s="3666" t="s">
        <v>510</v>
      </c>
      <c r="Q4" s="3667"/>
      <c r="R4" s="3650" t="s">
        <v>506</v>
      </c>
      <c r="S4" s="3651"/>
      <c r="T4" s="3650" t="s">
        <v>507</v>
      </c>
      <c r="U4" s="3651"/>
      <c r="V4" s="3672" t="s">
        <v>508</v>
      </c>
      <c r="W4" s="3672"/>
      <c r="X4" s="1457"/>
      <c r="Y4" s="3650" t="s">
        <v>510</v>
      </c>
      <c r="Z4" s="3651"/>
      <c r="AA4" s="3645" t="s">
        <v>506</v>
      </c>
      <c r="AB4" s="3672" t="s">
        <v>507</v>
      </c>
      <c r="AC4" s="3645" t="s">
        <v>508</v>
      </c>
    </row>
    <row r="5" spans="1:29" ht="15">
      <c r="A5" s="492"/>
      <c r="B5" s="493"/>
      <c r="C5" s="3675" t="s">
        <v>2626</v>
      </c>
      <c r="D5" s="3676"/>
      <c r="E5" s="3688" t="s">
        <v>2627</v>
      </c>
      <c r="F5" s="3689"/>
      <c r="G5" s="3675" t="s">
        <v>2628</v>
      </c>
      <c r="H5" s="3676"/>
      <c r="I5" s="3675" t="s">
        <v>2629</v>
      </c>
      <c r="J5" s="3676"/>
      <c r="K5" s="491"/>
      <c r="L5" s="1969"/>
      <c r="M5" s="1970"/>
      <c r="N5" s="1970"/>
      <c r="O5" s="1970"/>
      <c r="P5" s="3668"/>
      <c r="Q5" s="3669"/>
      <c r="R5" s="3652"/>
      <c r="S5" s="3653"/>
      <c r="T5" s="3652"/>
      <c r="U5" s="3653"/>
      <c r="V5" s="3672"/>
      <c r="W5" s="3672"/>
      <c r="X5" s="1457"/>
      <c r="Y5" s="3652"/>
      <c r="Z5" s="3653"/>
      <c r="AA5" s="3646"/>
      <c r="AB5" s="3672"/>
      <c r="AC5" s="3646"/>
    </row>
    <row r="6" spans="1:29" ht="15.75" thickBot="1">
      <c r="A6" s="494"/>
      <c r="B6" s="495"/>
      <c r="C6" s="3690" t="s">
        <v>2630</v>
      </c>
      <c r="D6" s="3674"/>
      <c r="E6" s="3691" t="s">
        <v>2630</v>
      </c>
      <c r="F6" s="3692"/>
      <c r="G6" s="3690" t="s">
        <v>2630</v>
      </c>
      <c r="H6" s="3674"/>
      <c r="I6" s="3690" t="s">
        <v>2630</v>
      </c>
      <c r="J6" s="3674"/>
      <c r="K6" s="491" t="s">
        <v>511</v>
      </c>
      <c r="L6" s="1969"/>
      <c r="M6" s="1970"/>
      <c r="N6" s="1970"/>
      <c r="O6" s="1970"/>
      <c r="P6" s="3670"/>
      <c r="Q6" s="3671"/>
      <c r="R6" s="3652"/>
      <c r="S6" s="3653"/>
      <c r="T6" s="3654"/>
      <c r="U6" s="3655"/>
      <c r="V6" s="3672"/>
      <c r="W6" s="3672"/>
      <c r="X6" s="1457"/>
      <c r="Y6" s="3654"/>
      <c r="Z6" s="3655"/>
      <c r="AA6" s="3647"/>
      <c r="AB6" s="3672"/>
      <c r="AC6" s="3647"/>
    </row>
    <row r="7" spans="1:29" s="1166" customFormat="1" ht="15.75" thickBot="1">
      <c r="A7" s="2551"/>
      <c r="B7" s="2558" t="s">
        <v>512</v>
      </c>
      <c r="C7" s="496">
        <f>'数据-取费表'!B2</f>
        <v>44701</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48" t="s">
        <v>513</v>
      </c>
      <c r="Q7" s="3657"/>
      <c r="R7" s="1458" t="s">
        <v>8</v>
      </c>
      <c r="S7" s="1459">
        <f t="shared" ref="S7:S15" si="0">F7</f>
        <v>0</v>
      </c>
      <c r="T7" s="1458" t="s">
        <v>8</v>
      </c>
      <c r="U7" s="1459">
        <f t="shared" ref="U7:U15" si="1">H7</f>
        <v>0</v>
      </c>
      <c r="V7" s="1458" t="s">
        <v>8</v>
      </c>
      <c r="W7" s="1459">
        <f t="shared" ref="W7:W15" si="2">J7</f>
        <v>0</v>
      </c>
      <c r="X7" s="1460"/>
      <c r="Y7" s="3648" t="s">
        <v>513</v>
      </c>
      <c r="Z7" s="3649"/>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48" t="s">
        <v>516</v>
      </c>
      <c r="Q8" s="3649"/>
      <c r="R8" s="1458" t="s">
        <v>8</v>
      </c>
      <c r="S8" s="1459">
        <f t="shared" si="0"/>
        <v>0</v>
      </c>
      <c r="T8" s="1458" t="s">
        <v>8</v>
      </c>
      <c r="U8" s="1459">
        <f t="shared" si="1"/>
        <v>0</v>
      </c>
      <c r="V8" s="1458" t="s">
        <v>8</v>
      </c>
      <c r="W8" s="1459">
        <f t="shared" si="2"/>
        <v>0</v>
      </c>
      <c r="X8" s="1460"/>
      <c r="Y8" s="3648" t="s">
        <v>516</v>
      </c>
      <c r="Z8" s="3649"/>
      <c r="AA8" s="1461" t="e">
        <f t="shared" ref="AA8:AA46" si="3">D8/F8</f>
        <v>#DIV/0!</v>
      </c>
      <c r="AB8" s="1461" t="e">
        <f t="shared" ref="AB8:AB46" si="4">D8/H8</f>
        <v>#DIV/0!</v>
      </c>
      <c r="AC8" s="1461" t="e">
        <f t="shared" ref="AC8:AC46" si="5">D8/J8</f>
        <v>#DIV/0!</v>
      </c>
    </row>
    <row r="9" spans="1:29" s="1166"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56" t="s">
        <v>518</v>
      </c>
      <c r="Q9" s="1097" t="str">
        <f t="shared" ref="Q9:Q15" si="6">B9</f>
        <v>用途</v>
      </c>
      <c r="R9" s="1458" t="s">
        <v>8</v>
      </c>
      <c r="S9" s="1459">
        <f t="shared" si="0"/>
        <v>100</v>
      </c>
      <c r="T9" s="1458" t="s">
        <v>8</v>
      </c>
      <c r="U9" s="1459">
        <f t="shared" si="1"/>
        <v>100</v>
      </c>
      <c r="V9" s="1458" t="s">
        <v>8</v>
      </c>
      <c r="W9" s="1459">
        <f t="shared" si="2"/>
        <v>100</v>
      </c>
      <c r="X9" s="1460"/>
      <c r="Y9" s="3604"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56"/>
      <c r="Q10" s="1097" t="str">
        <f t="shared" si="6"/>
        <v>土地使用年限（年）</v>
      </c>
      <c r="R10" s="1458" t="s">
        <v>8</v>
      </c>
      <c r="S10" s="1459">
        <f t="shared" si="0"/>
        <v>100</v>
      </c>
      <c r="T10" s="1458" t="s">
        <v>8</v>
      </c>
      <c r="U10" s="1459">
        <f t="shared" si="1"/>
        <v>100</v>
      </c>
      <c r="V10" s="1458" t="s">
        <v>8</v>
      </c>
      <c r="W10" s="1459">
        <f t="shared" si="2"/>
        <v>100</v>
      </c>
      <c r="X10" s="1460"/>
      <c r="Y10" s="3604"/>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56"/>
      <c r="Q11" s="1097" t="str">
        <f t="shared" si="6"/>
        <v>容积率</v>
      </c>
      <c r="R11" s="1458" t="s">
        <v>8</v>
      </c>
      <c r="S11" s="1459" t="e">
        <f t="shared" si="0"/>
        <v>#N/A</v>
      </c>
      <c r="T11" s="1458" t="s">
        <v>8</v>
      </c>
      <c r="U11" s="1459" t="e">
        <f t="shared" si="1"/>
        <v>#N/A</v>
      </c>
      <c r="V11" s="1458" t="s">
        <v>8</v>
      </c>
      <c r="W11" s="1459" t="e">
        <f t="shared" si="2"/>
        <v>#N/A</v>
      </c>
      <c r="X11" s="1460"/>
      <c r="Y11" s="3604"/>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56"/>
      <c r="Q12" s="1097">
        <f t="shared" si="6"/>
        <v>111</v>
      </c>
      <c r="R12" s="1458" t="s">
        <v>8</v>
      </c>
      <c r="S12" s="1459">
        <f t="shared" si="0"/>
        <v>100</v>
      </c>
      <c r="T12" s="1458" t="s">
        <v>8</v>
      </c>
      <c r="U12" s="1459">
        <f t="shared" si="1"/>
        <v>100</v>
      </c>
      <c r="V12" s="1458" t="s">
        <v>8</v>
      </c>
      <c r="W12" s="1459">
        <f t="shared" si="2"/>
        <v>100</v>
      </c>
      <c r="X12" s="1460"/>
      <c r="Y12" s="3604"/>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56"/>
      <c r="Q13" s="1097">
        <f t="shared" si="6"/>
        <v>111</v>
      </c>
      <c r="R13" s="1458" t="s">
        <v>8</v>
      </c>
      <c r="S13" s="1459">
        <f t="shared" si="0"/>
        <v>100</v>
      </c>
      <c r="T13" s="1458" t="s">
        <v>8</v>
      </c>
      <c r="U13" s="1459">
        <f t="shared" si="1"/>
        <v>100</v>
      </c>
      <c r="V13" s="1458" t="s">
        <v>8</v>
      </c>
      <c r="W13" s="1459">
        <f t="shared" si="2"/>
        <v>100</v>
      </c>
      <c r="X13" s="1460"/>
      <c r="Y13" s="3604"/>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56"/>
      <c r="Q14" s="1097">
        <f t="shared" si="6"/>
        <v>111</v>
      </c>
      <c r="R14" s="1458" t="s">
        <v>8</v>
      </c>
      <c r="S14" s="1459">
        <f t="shared" si="0"/>
        <v>100</v>
      </c>
      <c r="T14" s="1458" t="s">
        <v>8</v>
      </c>
      <c r="U14" s="1459">
        <f t="shared" si="1"/>
        <v>100</v>
      </c>
      <c r="V14" s="1458" t="s">
        <v>8</v>
      </c>
      <c r="W14" s="1459">
        <f t="shared" si="2"/>
        <v>100</v>
      </c>
      <c r="X14" s="1460"/>
      <c r="Y14" s="3604"/>
      <c r="Z14" s="1096">
        <f t="shared" si="7"/>
        <v>111</v>
      </c>
      <c r="AA14" s="1461">
        <f t="shared" si="3"/>
        <v>1</v>
      </c>
      <c r="AB14" s="1461">
        <f t="shared" si="4"/>
        <v>1</v>
      </c>
      <c r="AC14" s="1461">
        <f t="shared" si="5"/>
        <v>1</v>
      </c>
    </row>
    <row r="15" spans="1:29" ht="71.25">
      <c r="A15" s="2549" t="s">
        <v>2471</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658" t="s">
        <v>523</v>
      </c>
      <c r="Q15" s="1462" t="str">
        <f t="shared" si="6"/>
        <v>商业繁华度</v>
      </c>
      <c r="R15" s="1463" t="s">
        <v>8</v>
      </c>
      <c r="S15" s="1464">
        <f t="shared" si="0"/>
        <v>100</v>
      </c>
      <c r="T15" s="1463" t="s">
        <v>8</v>
      </c>
      <c r="U15" s="1464">
        <f t="shared" si="1"/>
        <v>100</v>
      </c>
      <c r="V15" s="1463" t="s">
        <v>8</v>
      </c>
      <c r="W15" s="1464">
        <f t="shared" si="2"/>
        <v>100</v>
      </c>
      <c r="X15" s="1457"/>
      <c r="Y15" s="3658"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59"/>
      <c r="Q16" s="1462"/>
      <c r="R16" s="1463"/>
      <c r="S16" s="1464"/>
      <c r="T16" s="1463"/>
      <c r="U16" s="1464"/>
      <c r="V16" s="1463"/>
      <c r="W16" s="1464"/>
      <c r="X16" s="1457"/>
      <c r="Y16" s="3659"/>
      <c r="Z16" s="1465"/>
      <c r="AA16" s="1466">
        <v>1</v>
      </c>
      <c r="AB16" s="1466">
        <v>1</v>
      </c>
      <c r="AC16" s="1466">
        <v>1</v>
      </c>
    </row>
    <row r="17" spans="1:29" ht="85.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659"/>
      <c r="Q17" s="1462" t="str">
        <f>B17</f>
        <v>交通便捷度</v>
      </c>
      <c r="R17" s="1463" t="s">
        <v>8</v>
      </c>
      <c r="S17" s="1464">
        <f>F17</f>
        <v>100</v>
      </c>
      <c r="T17" s="1463" t="s">
        <v>8</v>
      </c>
      <c r="U17" s="1464">
        <f>H17</f>
        <v>100</v>
      </c>
      <c r="V17" s="1463" t="s">
        <v>8</v>
      </c>
      <c r="W17" s="1464">
        <f>J17</f>
        <v>100</v>
      </c>
      <c r="X17" s="1457"/>
      <c r="Y17" s="3659"/>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59"/>
      <c r="Q18" s="1462"/>
      <c r="R18" s="1463"/>
      <c r="S18" s="1464"/>
      <c r="T18" s="1463"/>
      <c r="U18" s="1464"/>
      <c r="V18" s="1463"/>
      <c r="W18" s="1464"/>
      <c r="X18" s="1457"/>
      <c r="Y18" s="3659"/>
      <c r="Z18" s="1465"/>
      <c r="AA18" s="1466">
        <v>1</v>
      </c>
      <c r="AB18" s="1466">
        <v>1</v>
      </c>
      <c r="AC18" s="1466">
        <v>1</v>
      </c>
    </row>
    <row r="19" spans="1:29" ht="42.75">
      <c r="A19" s="509"/>
      <c r="B19" s="2366" t="s">
        <v>2264</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659"/>
      <c r="Q19" s="1462" t="str">
        <f>B19</f>
        <v>公共配套设施</v>
      </c>
      <c r="R19" s="1463" t="s">
        <v>8</v>
      </c>
      <c r="S19" s="1464">
        <f>F19</f>
        <v>100</v>
      </c>
      <c r="T19" s="1463" t="s">
        <v>8</v>
      </c>
      <c r="U19" s="1464">
        <f>H19</f>
        <v>100</v>
      </c>
      <c r="V19" s="1463" t="s">
        <v>8</v>
      </c>
      <c r="W19" s="1464">
        <f>J19</f>
        <v>100</v>
      </c>
      <c r="X19" s="1457"/>
      <c r="Y19" s="3659"/>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8.5">
      <c r="A21" s="509"/>
      <c r="B21" s="2359" t="s">
        <v>2276</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659"/>
      <c r="Q21" s="2351" t="str">
        <f>B21</f>
        <v>基础设施水平</v>
      </c>
      <c r="R21" s="1463" t="s">
        <v>8</v>
      </c>
      <c r="S21" s="1464">
        <f>F21</f>
        <v>100</v>
      </c>
      <c r="T21" s="1463" t="s">
        <v>8</v>
      </c>
      <c r="U21" s="1464">
        <f>H21</f>
        <v>100</v>
      </c>
      <c r="V21" s="1463" t="s">
        <v>8</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659"/>
      <c r="Q22" s="2351"/>
      <c r="R22" s="1463"/>
      <c r="S22" s="1464"/>
      <c r="T22" s="1463"/>
      <c r="U22" s="1464"/>
      <c r="V22" s="1463"/>
      <c r="W22" s="1464"/>
      <c r="X22" s="2353"/>
      <c r="Y22" s="3659"/>
      <c r="Z22" s="2352"/>
      <c r="AA22" s="1466">
        <v>1</v>
      </c>
      <c r="AB22" s="1466">
        <v>1</v>
      </c>
      <c r="AC22" s="1466">
        <v>1</v>
      </c>
    </row>
    <row r="23" spans="1:29" ht="57">
      <c r="A23" s="509"/>
      <c r="B23" s="843" t="s">
        <v>297</v>
      </c>
      <c r="C23" s="871">
        <f>估价对象房地状况!C9</f>
        <v>0</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659"/>
      <c r="Q23" s="1462" t="str">
        <f>B23</f>
        <v>自然及人文环境</v>
      </c>
      <c r="R23" s="1463" t="s">
        <v>8</v>
      </c>
      <c r="S23" s="1464">
        <f>F23</f>
        <v>100</v>
      </c>
      <c r="T23" s="1463" t="s">
        <v>8</v>
      </c>
      <c r="U23" s="1464">
        <f>H23</f>
        <v>100</v>
      </c>
      <c r="V23" s="1463" t="s">
        <v>8</v>
      </c>
      <c r="W23" s="1464">
        <f>J23</f>
        <v>100</v>
      </c>
      <c r="X23" s="1457"/>
      <c r="Y23" s="3659"/>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659"/>
      <c r="Q24" s="1462"/>
      <c r="R24" s="1463"/>
      <c r="S24" s="1464"/>
      <c r="T24" s="1463"/>
      <c r="U24" s="1464"/>
      <c r="V24" s="1463"/>
      <c r="W24" s="1464"/>
      <c r="X24" s="1457"/>
      <c r="Y24" s="3659"/>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59"/>
      <c r="Q25" s="1462" t="str">
        <f t="shared" ref="Q25:Q46" si="11">B25</f>
        <v>临街状况</v>
      </c>
      <c r="R25" s="1463" t="s">
        <v>8</v>
      </c>
      <c r="S25" s="1464">
        <f>F25</f>
        <v>100</v>
      </c>
      <c r="T25" s="1463" t="s">
        <v>8</v>
      </c>
      <c r="U25" s="1464">
        <f>H25</f>
        <v>100</v>
      </c>
      <c r="V25" s="1463" t="s">
        <v>8</v>
      </c>
      <c r="W25" s="1464">
        <f>J25</f>
        <v>100</v>
      </c>
      <c r="X25" s="1457"/>
      <c r="Y25" s="3659"/>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59"/>
      <c r="Q26" s="1462" t="str">
        <f t="shared" si="11"/>
        <v>平面位置/可视性</v>
      </c>
      <c r="R26" s="1463" t="s">
        <v>8</v>
      </c>
      <c r="S26" s="1464">
        <f>F26</f>
        <v>100</v>
      </c>
      <c r="T26" s="1463" t="s">
        <v>8</v>
      </c>
      <c r="U26" s="1464">
        <f>H26</f>
        <v>100</v>
      </c>
      <c r="V26" s="1463" t="s">
        <v>8</v>
      </c>
      <c r="W26" s="1464">
        <f>J26</f>
        <v>100</v>
      </c>
      <c r="X26" s="1457"/>
      <c r="Y26" s="3659"/>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659"/>
      <c r="Q27" s="1097" t="str">
        <f t="shared" si="11"/>
        <v>人流量</v>
      </c>
      <c r="R27" s="1458" t="s">
        <v>8</v>
      </c>
      <c r="S27" s="1459">
        <f>F27</f>
        <v>100</v>
      </c>
      <c r="T27" s="1458" t="s">
        <v>8</v>
      </c>
      <c r="U27" s="1459">
        <f>H27</f>
        <v>100</v>
      </c>
      <c r="V27" s="1458" t="s">
        <v>8</v>
      </c>
      <c r="W27" s="1459">
        <f>J27</f>
        <v>100</v>
      </c>
      <c r="X27" s="1460"/>
      <c r="Y27" s="3659"/>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59"/>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59"/>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59"/>
      <c r="Q29" s="1462">
        <f t="shared" si="11"/>
        <v>111</v>
      </c>
      <c r="R29" s="1463" t="s">
        <v>8</v>
      </c>
      <c r="S29" s="1464">
        <f t="shared" si="12"/>
        <v>100</v>
      </c>
      <c r="T29" s="1463" t="s">
        <v>8</v>
      </c>
      <c r="U29" s="1464">
        <f t="shared" si="13"/>
        <v>100</v>
      </c>
      <c r="V29" s="1463" t="s">
        <v>8</v>
      </c>
      <c r="W29" s="1464">
        <f t="shared" si="14"/>
        <v>100</v>
      </c>
      <c r="X29" s="1457"/>
      <c r="Y29" s="3659"/>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59"/>
      <c r="Q30" s="1462">
        <f t="shared" si="11"/>
        <v>111</v>
      </c>
      <c r="R30" s="1463" t="s">
        <v>8</v>
      </c>
      <c r="S30" s="1464">
        <f t="shared" si="12"/>
        <v>100</v>
      </c>
      <c r="T30" s="1463" t="s">
        <v>8</v>
      </c>
      <c r="U30" s="1464">
        <f t="shared" si="13"/>
        <v>100</v>
      </c>
      <c r="V30" s="1463" t="s">
        <v>8</v>
      </c>
      <c r="W30" s="1464">
        <f t="shared" si="14"/>
        <v>100</v>
      </c>
      <c r="X30" s="1457"/>
      <c r="Y30" s="3659"/>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59"/>
      <c r="Q31" s="1462">
        <f t="shared" si="11"/>
        <v>111</v>
      </c>
      <c r="R31" s="1463" t="s">
        <v>8</v>
      </c>
      <c r="S31" s="1464">
        <f t="shared" si="12"/>
        <v>100</v>
      </c>
      <c r="T31" s="1463" t="s">
        <v>8</v>
      </c>
      <c r="U31" s="1464">
        <f t="shared" si="13"/>
        <v>100</v>
      </c>
      <c r="V31" s="1463" t="s">
        <v>8</v>
      </c>
      <c r="W31" s="1464">
        <f t="shared" si="14"/>
        <v>100</v>
      </c>
      <c r="X31" s="1457"/>
      <c r="Y31" s="3659"/>
      <c r="Z31" s="1465">
        <f t="shared" si="15"/>
        <v>111</v>
      </c>
      <c r="AA31" s="1466">
        <f t="shared" si="3"/>
        <v>1</v>
      </c>
      <c r="AB31" s="1466">
        <f t="shared" si="4"/>
        <v>1</v>
      </c>
      <c r="AC31" s="1466">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60" t="s">
        <v>533</v>
      </c>
      <c r="Q32" s="1462" t="str">
        <f t="shared" si="11"/>
        <v>商业类型</v>
      </c>
      <c r="R32" s="1463" t="s">
        <v>8</v>
      </c>
      <c r="S32" s="1464">
        <f t="shared" si="12"/>
        <v>100</v>
      </c>
      <c r="T32" s="1463" t="s">
        <v>8</v>
      </c>
      <c r="U32" s="1464">
        <f t="shared" si="13"/>
        <v>100</v>
      </c>
      <c r="V32" s="1463" t="s">
        <v>8</v>
      </c>
      <c r="W32" s="1464">
        <f t="shared" si="14"/>
        <v>100</v>
      </c>
      <c r="X32" s="1457"/>
      <c r="Y32" s="3661"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61"/>
      <c r="Q33" s="1491" t="str">
        <f t="shared" si="11"/>
        <v>项目建筑规模</v>
      </c>
      <c r="R33" s="1467" t="s">
        <v>8</v>
      </c>
      <c r="S33" s="1468" t="e">
        <f t="shared" si="12"/>
        <v>#N/A</v>
      </c>
      <c r="T33" s="1467" t="s">
        <v>8</v>
      </c>
      <c r="U33" s="1468" t="e">
        <f t="shared" si="13"/>
        <v>#N/A</v>
      </c>
      <c r="V33" s="1467" t="s">
        <v>8</v>
      </c>
      <c r="W33" s="1468" t="e">
        <f t="shared" si="14"/>
        <v>#N/A</v>
      </c>
      <c r="X33" s="1469"/>
      <c r="Y33" s="3661"/>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661"/>
      <c r="Q34" s="1462" t="str">
        <f t="shared" si="11"/>
        <v>建筑结构</v>
      </c>
      <c r="R34" s="1463" t="s">
        <v>8</v>
      </c>
      <c r="S34" s="1464">
        <f t="shared" si="12"/>
        <v>100</v>
      </c>
      <c r="T34" s="1463" t="s">
        <v>8</v>
      </c>
      <c r="U34" s="1464">
        <f t="shared" si="13"/>
        <v>100</v>
      </c>
      <c r="V34" s="1463" t="s">
        <v>8</v>
      </c>
      <c r="W34" s="1464">
        <f t="shared" si="14"/>
        <v>100</v>
      </c>
      <c r="X34" s="1457"/>
      <c r="Y34" s="3661"/>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61"/>
      <c r="Q35" s="1462" t="str">
        <f t="shared" si="11"/>
        <v>公共部分装修</v>
      </c>
      <c r="R35" s="1463" t="s">
        <v>8</v>
      </c>
      <c r="S35" s="1464">
        <f t="shared" si="12"/>
        <v>100</v>
      </c>
      <c r="T35" s="1463" t="s">
        <v>8</v>
      </c>
      <c r="U35" s="1464">
        <f t="shared" si="13"/>
        <v>100</v>
      </c>
      <c r="V35" s="1463" t="s">
        <v>8</v>
      </c>
      <c r="W35" s="1464">
        <f t="shared" si="14"/>
        <v>100</v>
      </c>
      <c r="X35" s="1457"/>
      <c r="Y35" s="3661"/>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661"/>
      <c r="Q36" s="1462" t="str">
        <f t="shared" si="11"/>
        <v>成新度</v>
      </c>
      <c r="R36" s="1463" t="s">
        <v>8</v>
      </c>
      <c r="S36" s="1464" t="e">
        <f t="shared" si="12"/>
        <v>#N/A</v>
      </c>
      <c r="T36" s="1463" t="s">
        <v>8</v>
      </c>
      <c r="U36" s="1464" t="e">
        <f t="shared" si="13"/>
        <v>#N/A</v>
      </c>
      <c r="V36" s="1463" t="s">
        <v>8</v>
      </c>
      <c r="W36" s="1464" t="e">
        <f t="shared" si="14"/>
        <v>#N/A</v>
      </c>
      <c r="X36" s="1457"/>
      <c r="Y36" s="3661"/>
      <c r="Z36" s="1465" t="str">
        <f t="shared" si="15"/>
        <v>成新度</v>
      </c>
      <c r="AA36" s="1466" t="e">
        <f t="shared" si="3"/>
        <v>#N/A</v>
      </c>
      <c r="AB36" s="1466" t="e">
        <f t="shared" si="4"/>
        <v>#N/A</v>
      </c>
      <c r="AC36" s="1466" t="e">
        <f t="shared" si="5"/>
        <v>#N/A</v>
      </c>
    </row>
    <row r="37" spans="1:29" s="1166"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61"/>
      <c r="Q37" s="1097" t="str">
        <f t="shared" si="11"/>
        <v>市政基础设施</v>
      </c>
      <c r="R37" s="1458" t="s">
        <v>8</v>
      </c>
      <c r="S37" s="1459">
        <f t="shared" si="12"/>
        <v>100</v>
      </c>
      <c r="T37" s="1458" t="s">
        <v>8</v>
      </c>
      <c r="U37" s="1459">
        <f t="shared" si="13"/>
        <v>100</v>
      </c>
      <c r="V37" s="1458" t="s">
        <v>8</v>
      </c>
      <c r="W37" s="1459">
        <f t="shared" si="14"/>
        <v>100</v>
      </c>
      <c r="X37" s="1460"/>
      <c r="Y37" s="3661"/>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61" t="s">
        <v>748</v>
      </c>
      <c r="Q38" s="1462" t="str">
        <f t="shared" si="11"/>
        <v>业态</v>
      </c>
      <c r="R38" s="1463" t="s">
        <v>8</v>
      </c>
      <c r="S38" s="1464">
        <f t="shared" si="12"/>
        <v>100</v>
      </c>
      <c r="T38" s="1463" t="s">
        <v>8</v>
      </c>
      <c r="U38" s="1464">
        <f t="shared" si="13"/>
        <v>100</v>
      </c>
      <c r="V38" s="1463" t="s">
        <v>8</v>
      </c>
      <c r="W38" s="1464">
        <f t="shared" si="14"/>
        <v>100</v>
      </c>
      <c r="X38" s="1457"/>
      <c r="Y38" s="3661"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61"/>
      <c r="Q39" s="1462" t="str">
        <f t="shared" si="11"/>
        <v>层高</v>
      </c>
      <c r="R39" s="1463" t="s">
        <v>8</v>
      </c>
      <c r="S39" s="1464">
        <f t="shared" si="12"/>
        <v>100</v>
      </c>
      <c r="T39" s="1463" t="s">
        <v>8</v>
      </c>
      <c r="U39" s="1464">
        <f t="shared" si="13"/>
        <v>100</v>
      </c>
      <c r="V39" s="1463" t="s">
        <v>8</v>
      </c>
      <c r="W39" s="1464">
        <f t="shared" si="14"/>
        <v>100</v>
      </c>
      <c r="X39" s="1457"/>
      <c r="Y39" s="3661"/>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661"/>
      <c r="Q40" s="1462" t="str">
        <f t="shared" si="11"/>
        <v>单套建筑面积</v>
      </c>
      <c r="R40" s="1463" t="s">
        <v>8</v>
      </c>
      <c r="S40" s="1464">
        <f t="shared" si="12"/>
        <v>100</v>
      </c>
      <c r="T40" s="1463" t="s">
        <v>8</v>
      </c>
      <c r="U40" s="1464">
        <f t="shared" si="13"/>
        <v>100</v>
      </c>
      <c r="V40" s="1463" t="s">
        <v>8</v>
      </c>
      <c r="W40" s="1464">
        <f t="shared" si="14"/>
        <v>100</v>
      </c>
      <c r="X40" s="1457"/>
      <c r="Y40" s="3661"/>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61"/>
      <c r="Q41" s="1491" t="str">
        <f t="shared" si="11"/>
        <v>进深比</v>
      </c>
      <c r="R41" s="1467" t="s">
        <v>8</v>
      </c>
      <c r="S41" s="1468">
        <f t="shared" si="12"/>
        <v>100</v>
      </c>
      <c r="T41" s="1467" t="s">
        <v>8</v>
      </c>
      <c r="U41" s="1468">
        <f t="shared" si="13"/>
        <v>100</v>
      </c>
      <c r="V41" s="1467" t="s">
        <v>8</v>
      </c>
      <c r="W41" s="1468">
        <f t="shared" si="14"/>
        <v>100</v>
      </c>
      <c r="X41" s="1469"/>
      <c r="Y41" s="3661"/>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61"/>
      <c r="Q42" s="1462" t="str">
        <f t="shared" si="11"/>
        <v>内部装修</v>
      </c>
      <c r="R42" s="1463" t="s">
        <v>8</v>
      </c>
      <c r="S42" s="1464">
        <f t="shared" si="12"/>
        <v>100</v>
      </c>
      <c r="T42" s="1463" t="s">
        <v>8</v>
      </c>
      <c r="U42" s="1464">
        <f t="shared" si="13"/>
        <v>100</v>
      </c>
      <c r="V42" s="1463" t="s">
        <v>8</v>
      </c>
      <c r="W42" s="1464">
        <f t="shared" si="14"/>
        <v>100</v>
      </c>
      <c r="X42" s="1457"/>
      <c r="Y42" s="3661"/>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61"/>
      <c r="Q43" s="1462" t="str">
        <f t="shared" si="11"/>
        <v>内部装修维护情况</v>
      </c>
      <c r="R43" s="1463" t="s">
        <v>8</v>
      </c>
      <c r="S43" s="1464">
        <f t="shared" si="12"/>
        <v>100</v>
      </c>
      <c r="T43" s="1463" t="s">
        <v>8</v>
      </c>
      <c r="U43" s="1464">
        <f t="shared" si="13"/>
        <v>100</v>
      </c>
      <c r="V43" s="1463" t="s">
        <v>8</v>
      </c>
      <c r="W43" s="1464">
        <f t="shared" si="14"/>
        <v>100</v>
      </c>
      <c r="X43" s="1457"/>
      <c r="Y43" s="3661"/>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61"/>
      <c r="Q44" s="1097">
        <f t="shared" si="11"/>
        <v>111</v>
      </c>
      <c r="R44" s="1458" t="s">
        <v>8</v>
      </c>
      <c r="S44" s="1459">
        <f t="shared" si="12"/>
        <v>100</v>
      </c>
      <c r="T44" s="1458" t="s">
        <v>8</v>
      </c>
      <c r="U44" s="1459">
        <f t="shared" si="13"/>
        <v>100</v>
      </c>
      <c r="V44" s="1458" t="s">
        <v>8</v>
      </c>
      <c r="W44" s="1459">
        <f t="shared" si="14"/>
        <v>100</v>
      </c>
      <c r="X44" s="1460"/>
      <c r="Y44" s="3661"/>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61"/>
      <c r="Q45" s="1462">
        <f t="shared" si="11"/>
        <v>111</v>
      </c>
      <c r="R45" s="1463" t="s">
        <v>8</v>
      </c>
      <c r="S45" s="1464">
        <f t="shared" si="12"/>
        <v>100</v>
      </c>
      <c r="T45" s="1463" t="s">
        <v>8</v>
      </c>
      <c r="U45" s="1464">
        <f t="shared" si="13"/>
        <v>100</v>
      </c>
      <c r="V45" s="1463" t="s">
        <v>8</v>
      </c>
      <c r="W45" s="1464">
        <f t="shared" si="14"/>
        <v>100</v>
      </c>
      <c r="X45" s="1457"/>
      <c r="Y45" s="3661"/>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75"/>
      <c r="Q46" s="1462">
        <f t="shared" si="11"/>
        <v>111</v>
      </c>
      <c r="R46" s="1463" t="s">
        <v>8</v>
      </c>
      <c r="S46" s="1464">
        <f t="shared" si="12"/>
        <v>100</v>
      </c>
      <c r="T46" s="1463" t="s">
        <v>8</v>
      </c>
      <c r="U46" s="1464">
        <f t="shared" si="13"/>
        <v>100</v>
      </c>
      <c r="V46" s="1463" t="s">
        <v>8</v>
      </c>
      <c r="W46" s="1464">
        <f t="shared" si="14"/>
        <v>100</v>
      </c>
      <c r="X46" s="1457"/>
      <c r="Y46" s="3775"/>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656" t="str">
        <f>A47</f>
        <v>成交单价（元/平方米）</v>
      </c>
      <c r="Q47" s="3656"/>
      <c r="R47" s="3774">
        <f>E47</f>
        <v>0</v>
      </c>
      <c r="S47" s="3774"/>
      <c r="T47" s="3774">
        <f>G47</f>
        <v>0</v>
      </c>
      <c r="U47" s="3774"/>
      <c r="V47" s="3774">
        <f>I47</f>
        <v>0</v>
      </c>
      <c r="W47" s="3774"/>
      <c r="X47" s="1452"/>
      <c r="Y47" s="1471"/>
      <c r="Z47" s="1452"/>
      <c r="AA47" s="1452"/>
      <c r="AB47" s="1452"/>
      <c r="AC47" s="1452"/>
    </row>
    <row r="48" spans="1:29" ht="15.75" thickBot="1">
      <c r="A48" s="592" t="s">
        <v>2477</v>
      </c>
      <c r="B48" s="859"/>
      <c r="C48" s="2398" t="e">
        <f>R49</f>
        <v>#DIV/0!</v>
      </c>
      <c r="D48" s="2922" t="s">
        <v>2697</v>
      </c>
      <c r="E48" s="2399" t="e">
        <f>R48</f>
        <v>#DIV/0!</v>
      </c>
      <c r="F48" s="2923"/>
      <c r="G48" s="2398" t="e">
        <f>T48</f>
        <v>#DIV/0!</v>
      </c>
      <c r="H48" s="2923"/>
      <c r="I48" s="2399" t="e">
        <f>V48</f>
        <v>#DIV/0!</v>
      </c>
      <c r="J48" s="2923"/>
      <c r="K48" s="2931">
        <f>F48+H48+J48</f>
        <v>0</v>
      </c>
      <c r="L48" s="1980"/>
      <c r="M48" s="1981"/>
      <c r="N48" s="1970"/>
      <c r="O48" s="1981"/>
      <c r="P48" s="3656" t="str">
        <f>A48</f>
        <v>比较价格（元/平方米）</v>
      </c>
      <c r="Q48" s="3656"/>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452"/>
      <c r="Y48" s="1452"/>
      <c r="Z48" s="1452"/>
      <c r="AA48" s="1452"/>
      <c r="AB48" s="1452"/>
      <c r="AC48" s="1452"/>
    </row>
    <row r="49" spans="1:29" ht="15.75" thickBot="1">
      <c r="A49" s="596" t="s">
        <v>2632</v>
      </c>
      <c r="B49" s="597"/>
      <c r="C49" s="2400" t="e">
        <f>R49</f>
        <v>#DIV/0!</v>
      </c>
      <c r="D49" s="2400"/>
      <c r="E49" s="2400"/>
      <c r="F49" s="2400"/>
      <c r="G49" s="2400"/>
      <c r="H49" s="2400"/>
      <c r="I49" s="2400"/>
      <c r="J49" s="2400"/>
      <c r="K49" s="1497"/>
      <c r="L49" s="1980"/>
      <c r="M49" s="1981"/>
      <c r="N49" s="1970"/>
      <c r="O49" s="1981"/>
      <c r="P49" s="3662" t="str">
        <f>A49</f>
        <v>估价对象XX用房的比较价格（楼面单价，元/平方米）</v>
      </c>
      <c r="Q49" s="3663"/>
      <c r="R49" s="3773" t="e">
        <f>IF(F1="售价",ROUND(IF(D48="简单平均",AVERAGE(R48:V48),R48*F48+T48*H48+V48*J48),0),ROUND(IF(D48="简单平均",AVERAGE(R48:V48),R48*F48+T48*H48+V48*J48),1))</f>
        <v>#DIV/0!</v>
      </c>
      <c r="S49" s="3773"/>
      <c r="T49" s="3773"/>
      <c r="U49" s="3773"/>
      <c r="V49" s="3773"/>
      <c r="W49" s="3773"/>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664" t="s">
        <v>505</v>
      </c>
      <c r="D4" s="3665"/>
      <c r="E4" s="3686" t="s">
        <v>506</v>
      </c>
      <c r="F4" s="3687"/>
      <c r="G4" s="3664" t="s">
        <v>507</v>
      </c>
      <c r="H4" s="3665"/>
      <c r="I4" s="3664" t="s">
        <v>508</v>
      </c>
      <c r="J4" s="3665"/>
      <c r="K4" s="491" t="s">
        <v>509</v>
      </c>
      <c r="L4" s="1969"/>
      <c r="M4" s="1970"/>
      <c r="N4" s="1970"/>
      <c r="O4" s="1970"/>
      <c r="P4" s="3776" t="s">
        <v>510</v>
      </c>
      <c r="Q4" s="3667"/>
      <c r="R4" s="3650" t="s">
        <v>506</v>
      </c>
      <c r="S4" s="3651"/>
      <c r="T4" s="3650" t="s">
        <v>507</v>
      </c>
      <c r="U4" s="3651"/>
      <c r="V4" s="3672" t="s">
        <v>508</v>
      </c>
      <c r="W4" s="3672"/>
      <c r="X4" s="1457"/>
      <c r="Y4" s="3650" t="s">
        <v>510</v>
      </c>
      <c r="Z4" s="3651"/>
      <c r="AA4" s="3645" t="s">
        <v>506</v>
      </c>
      <c r="AB4" s="3645" t="s">
        <v>507</v>
      </c>
      <c r="AC4" s="3645" t="s">
        <v>508</v>
      </c>
    </row>
    <row r="5" spans="1:29" ht="15">
      <c r="A5" s="492"/>
      <c r="B5" s="493"/>
      <c r="C5" s="3675" t="s">
        <v>2626</v>
      </c>
      <c r="D5" s="3676"/>
      <c r="E5" s="3688" t="s">
        <v>2627</v>
      </c>
      <c r="F5" s="3689"/>
      <c r="G5" s="3675" t="s">
        <v>2628</v>
      </c>
      <c r="H5" s="3676"/>
      <c r="I5" s="3675" t="s">
        <v>2629</v>
      </c>
      <c r="J5" s="3676"/>
      <c r="K5" s="491"/>
      <c r="L5" s="1969"/>
      <c r="M5" s="1970"/>
      <c r="N5" s="1970"/>
      <c r="O5" s="1970"/>
      <c r="P5" s="3777"/>
      <c r="Q5" s="3669"/>
      <c r="R5" s="3652"/>
      <c r="S5" s="3653"/>
      <c r="T5" s="3652"/>
      <c r="U5" s="3653"/>
      <c r="V5" s="3672"/>
      <c r="W5" s="3672"/>
      <c r="X5" s="1457"/>
      <c r="Y5" s="3652"/>
      <c r="Z5" s="3653"/>
      <c r="AA5" s="3646"/>
      <c r="AB5" s="3646"/>
      <c r="AC5" s="3646"/>
    </row>
    <row r="6" spans="1:29" ht="15.75" thickBot="1">
      <c r="A6" s="494"/>
      <c r="B6" s="495"/>
      <c r="C6" s="3690" t="s">
        <v>2630</v>
      </c>
      <c r="D6" s="3674"/>
      <c r="E6" s="3691" t="s">
        <v>2630</v>
      </c>
      <c r="F6" s="3692"/>
      <c r="G6" s="3690" t="s">
        <v>2630</v>
      </c>
      <c r="H6" s="3674"/>
      <c r="I6" s="3690" t="s">
        <v>2630</v>
      </c>
      <c r="J6" s="3674"/>
      <c r="K6" s="491" t="s">
        <v>511</v>
      </c>
      <c r="L6" s="1969"/>
      <c r="M6" s="1970"/>
      <c r="N6" s="1970"/>
      <c r="O6" s="1970"/>
      <c r="P6" s="3778"/>
      <c r="Q6" s="3671"/>
      <c r="R6" s="3652"/>
      <c r="S6" s="3653"/>
      <c r="T6" s="3654"/>
      <c r="U6" s="3655"/>
      <c r="V6" s="3672"/>
      <c r="W6" s="3672"/>
      <c r="X6" s="1457"/>
      <c r="Y6" s="3654"/>
      <c r="Z6" s="3655"/>
      <c r="AA6" s="3647"/>
      <c r="AB6" s="3647"/>
      <c r="AC6" s="3647"/>
    </row>
    <row r="7" spans="1:29" s="1166" customFormat="1" ht="15.75" thickBot="1">
      <c r="A7" s="2551"/>
      <c r="B7" s="2558" t="s">
        <v>512</v>
      </c>
      <c r="C7" s="496">
        <f>'数据-取费表'!B2</f>
        <v>44701</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57" t="s">
        <v>513</v>
      </c>
      <c r="Q7" s="3657"/>
      <c r="R7" s="1458" t="s">
        <v>8</v>
      </c>
      <c r="S7" s="1459">
        <f t="shared" ref="S7:S15" si="0">F7</f>
        <v>0</v>
      </c>
      <c r="T7" s="1458" t="s">
        <v>8</v>
      </c>
      <c r="U7" s="1459">
        <f t="shared" ref="U7:U15" si="1">H7</f>
        <v>0</v>
      </c>
      <c r="V7" s="1458" t="s">
        <v>8</v>
      </c>
      <c r="W7" s="1459">
        <f t="shared" ref="W7:W15" si="2">J7</f>
        <v>0</v>
      </c>
      <c r="X7" s="1460"/>
      <c r="Y7" s="3648" t="s">
        <v>513</v>
      </c>
      <c r="Z7" s="3649"/>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57" t="s">
        <v>516</v>
      </c>
      <c r="Q8" s="3649"/>
      <c r="R8" s="1458" t="s">
        <v>8</v>
      </c>
      <c r="S8" s="1459">
        <f t="shared" si="0"/>
        <v>0</v>
      </c>
      <c r="T8" s="1458" t="s">
        <v>8</v>
      </c>
      <c r="U8" s="1459">
        <f t="shared" si="1"/>
        <v>0</v>
      </c>
      <c r="V8" s="1458" t="s">
        <v>8</v>
      </c>
      <c r="W8" s="1459">
        <f t="shared" si="2"/>
        <v>0</v>
      </c>
      <c r="X8" s="1460"/>
      <c r="Y8" s="3648" t="s">
        <v>516</v>
      </c>
      <c r="Z8" s="3649"/>
      <c r="AA8" s="1461" t="e">
        <f t="shared" ref="AA8:AA47" si="3">D8/F8</f>
        <v>#DIV/0!</v>
      </c>
      <c r="AB8" s="1461" t="e">
        <f t="shared" ref="AB8:AB47" si="4">D8/H8</f>
        <v>#DIV/0!</v>
      </c>
      <c r="AC8" s="1461" t="e">
        <f t="shared" ref="AC8:AC47" si="5">D8/J8</f>
        <v>#DIV/0!</v>
      </c>
    </row>
    <row r="9" spans="1:29" s="1166"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56" t="s">
        <v>518</v>
      </c>
      <c r="Q9" s="1097" t="str">
        <f t="shared" ref="Q9:Q15" si="6">B9</f>
        <v>用途</v>
      </c>
      <c r="R9" s="1458" t="s">
        <v>8</v>
      </c>
      <c r="S9" s="1459">
        <f t="shared" si="0"/>
        <v>100</v>
      </c>
      <c r="T9" s="1458" t="s">
        <v>8</v>
      </c>
      <c r="U9" s="1459">
        <f t="shared" si="1"/>
        <v>100</v>
      </c>
      <c r="V9" s="1458" t="s">
        <v>8</v>
      </c>
      <c r="W9" s="1459">
        <f t="shared" si="2"/>
        <v>100</v>
      </c>
      <c r="X9" s="1460"/>
      <c r="Y9" s="3604"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56"/>
      <c r="Q10" s="1097" t="str">
        <f t="shared" si="6"/>
        <v>土地使用年限（年）</v>
      </c>
      <c r="R10" s="1458" t="s">
        <v>8</v>
      </c>
      <c r="S10" s="1459">
        <f t="shared" si="0"/>
        <v>100</v>
      </c>
      <c r="T10" s="1458" t="s">
        <v>8</v>
      </c>
      <c r="U10" s="1459">
        <f t="shared" si="1"/>
        <v>100</v>
      </c>
      <c r="V10" s="1458" t="s">
        <v>8</v>
      </c>
      <c r="W10" s="1459">
        <f t="shared" si="2"/>
        <v>100</v>
      </c>
      <c r="X10" s="1460"/>
      <c r="Y10" s="3604"/>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56"/>
      <c r="Q11" s="1097" t="str">
        <f t="shared" si="6"/>
        <v>容积率</v>
      </c>
      <c r="R11" s="1458" t="s">
        <v>8</v>
      </c>
      <c r="S11" s="1459" t="e">
        <f t="shared" si="0"/>
        <v>#N/A</v>
      </c>
      <c r="T11" s="1458" t="s">
        <v>8</v>
      </c>
      <c r="U11" s="1459" t="e">
        <f t="shared" si="1"/>
        <v>#N/A</v>
      </c>
      <c r="V11" s="1458" t="s">
        <v>8</v>
      </c>
      <c r="W11" s="1459" t="e">
        <f t="shared" si="2"/>
        <v>#N/A</v>
      </c>
      <c r="X11" s="1460"/>
      <c r="Y11" s="3604"/>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56"/>
      <c r="Q12" s="1097">
        <f t="shared" si="6"/>
        <v>111</v>
      </c>
      <c r="R12" s="1458" t="s">
        <v>8</v>
      </c>
      <c r="S12" s="1459">
        <f t="shared" si="0"/>
        <v>100</v>
      </c>
      <c r="T12" s="1458" t="s">
        <v>8</v>
      </c>
      <c r="U12" s="1459">
        <f t="shared" si="1"/>
        <v>100</v>
      </c>
      <c r="V12" s="1458" t="s">
        <v>8</v>
      </c>
      <c r="W12" s="1459">
        <f t="shared" si="2"/>
        <v>100</v>
      </c>
      <c r="X12" s="1460"/>
      <c r="Y12" s="3604"/>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56"/>
      <c r="Q13" s="1097">
        <f t="shared" si="6"/>
        <v>111</v>
      </c>
      <c r="R13" s="1458" t="s">
        <v>8</v>
      </c>
      <c r="S13" s="1459">
        <f t="shared" si="0"/>
        <v>100</v>
      </c>
      <c r="T13" s="1458" t="s">
        <v>8</v>
      </c>
      <c r="U13" s="1459">
        <f t="shared" si="1"/>
        <v>100</v>
      </c>
      <c r="V13" s="1458" t="s">
        <v>8</v>
      </c>
      <c r="W13" s="1459">
        <f t="shared" si="2"/>
        <v>100</v>
      </c>
      <c r="X13" s="1460"/>
      <c r="Y13" s="3604"/>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56"/>
      <c r="Q14" s="1097">
        <f t="shared" si="6"/>
        <v>111</v>
      </c>
      <c r="R14" s="1458" t="s">
        <v>8</v>
      </c>
      <c r="S14" s="1459">
        <f t="shared" si="0"/>
        <v>100</v>
      </c>
      <c r="T14" s="1458" t="s">
        <v>8</v>
      </c>
      <c r="U14" s="1459">
        <f t="shared" si="1"/>
        <v>100</v>
      </c>
      <c r="V14" s="1458" t="s">
        <v>8</v>
      </c>
      <c r="W14" s="1459">
        <f t="shared" si="2"/>
        <v>100</v>
      </c>
      <c r="X14" s="1460"/>
      <c r="Y14" s="3604"/>
      <c r="Z14" s="1096">
        <f t="shared" si="7"/>
        <v>111</v>
      </c>
      <c r="AA14" s="1461">
        <f t="shared" si="3"/>
        <v>1</v>
      </c>
      <c r="AB14" s="1461">
        <f t="shared" si="4"/>
        <v>1</v>
      </c>
      <c r="AC14" s="1461">
        <f t="shared" si="5"/>
        <v>1</v>
      </c>
    </row>
    <row r="15" spans="1:29" ht="71.25">
      <c r="A15" s="2549" t="s">
        <v>2471</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658" t="s">
        <v>523</v>
      </c>
      <c r="Q15" s="1462" t="str">
        <f t="shared" si="6"/>
        <v>办公集聚程度</v>
      </c>
      <c r="R15" s="1463" t="s">
        <v>8</v>
      </c>
      <c r="S15" s="1464">
        <f t="shared" si="0"/>
        <v>100</v>
      </c>
      <c r="T15" s="1463" t="s">
        <v>8</v>
      </c>
      <c r="U15" s="1464">
        <f t="shared" si="1"/>
        <v>100</v>
      </c>
      <c r="V15" s="1463" t="s">
        <v>8</v>
      </c>
      <c r="W15" s="1464">
        <f t="shared" si="2"/>
        <v>100</v>
      </c>
      <c r="X15" s="1457"/>
      <c r="Y15" s="3658"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659"/>
      <c r="Q16" s="1462"/>
      <c r="R16" s="1463"/>
      <c r="S16" s="1464"/>
      <c r="T16" s="1463"/>
      <c r="U16" s="1464"/>
      <c r="V16" s="1463"/>
      <c r="W16" s="1464"/>
      <c r="X16" s="1457"/>
      <c r="Y16" s="3659"/>
      <c r="Z16" s="1465"/>
      <c r="AA16" s="1466">
        <v>1</v>
      </c>
      <c r="AB16" s="1466">
        <v>1</v>
      </c>
      <c r="AC16" s="1466">
        <v>1</v>
      </c>
    </row>
    <row r="17" spans="1:29" ht="85.5">
      <c r="A17" s="509"/>
      <c r="B17" s="537" t="s">
        <v>296</v>
      </c>
      <c r="C17" s="550">
        <f>估价对象房地状况!C6</f>
        <v>0</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659"/>
      <c r="Q17" s="1462" t="str">
        <f>B17</f>
        <v>交通便捷度</v>
      </c>
      <c r="R17" s="1463" t="s">
        <v>8</v>
      </c>
      <c r="S17" s="1464">
        <f>F17</f>
        <v>100</v>
      </c>
      <c r="T17" s="1463" t="s">
        <v>8</v>
      </c>
      <c r="U17" s="1464">
        <f>H17</f>
        <v>100</v>
      </c>
      <c r="V17" s="1463" t="s">
        <v>8</v>
      </c>
      <c r="W17" s="1464">
        <f>J17</f>
        <v>100</v>
      </c>
      <c r="X17" s="1457"/>
      <c r="Y17" s="3659"/>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659"/>
      <c r="Q18" s="1462"/>
      <c r="R18" s="1463"/>
      <c r="S18" s="1464"/>
      <c r="T18" s="1463"/>
      <c r="U18" s="1464"/>
      <c r="V18" s="1463"/>
      <c r="W18" s="1464"/>
      <c r="X18" s="1457"/>
      <c r="Y18" s="3659"/>
      <c r="Z18" s="1465"/>
      <c r="AA18" s="1466">
        <v>1</v>
      </c>
      <c r="AB18" s="1466">
        <v>1</v>
      </c>
      <c r="AC18" s="1466">
        <v>1</v>
      </c>
    </row>
    <row r="19" spans="1:29" ht="42.75">
      <c r="A19" s="509"/>
      <c r="B19" s="2369" t="s">
        <v>2264</v>
      </c>
      <c r="C19" s="550">
        <f>估价对象房地状况!C7</f>
        <v>0</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659"/>
      <c r="Q19" s="1462" t="str">
        <f>B19</f>
        <v>公共配套设施</v>
      </c>
      <c r="R19" s="1463" t="s">
        <v>8</v>
      </c>
      <c r="S19" s="1464">
        <f>F19</f>
        <v>100</v>
      </c>
      <c r="T19" s="1463" t="s">
        <v>8</v>
      </c>
      <c r="U19" s="1464">
        <f>H19</f>
        <v>100</v>
      </c>
      <c r="V19" s="1463" t="s">
        <v>8</v>
      </c>
      <c r="W19" s="1464">
        <f>J19</f>
        <v>100</v>
      </c>
      <c r="X19" s="1457"/>
      <c r="Y19" s="3659"/>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659"/>
      <c r="Q20" s="1462"/>
      <c r="R20" s="1463"/>
      <c r="S20" s="1464"/>
      <c r="T20" s="1463"/>
      <c r="U20" s="1464"/>
      <c r="V20" s="1463"/>
      <c r="W20" s="1464"/>
      <c r="X20" s="1457"/>
      <c r="Y20" s="3659"/>
      <c r="Z20" s="1465"/>
      <c r="AA20" s="1466">
        <v>1</v>
      </c>
      <c r="AB20" s="1466">
        <v>1</v>
      </c>
      <c r="AC20" s="1466">
        <v>1</v>
      </c>
    </row>
    <row r="21" spans="1:29" ht="28.5">
      <c r="A21" s="509"/>
      <c r="B21" s="2357" t="s">
        <v>2276</v>
      </c>
      <c r="C21" s="550">
        <f>估价对象房地状况!C8</f>
        <v>0</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659"/>
      <c r="Q21" s="2351" t="str">
        <f>B21</f>
        <v>基础设施水平</v>
      </c>
      <c r="R21" s="1463" t="s">
        <v>8</v>
      </c>
      <c r="S21" s="1464">
        <f>F21</f>
        <v>100</v>
      </c>
      <c r="T21" s="1463" t="s">
        <v>8</v>
      </c>
      <c r="U21" s="1464">
        <f>H21</f>
        <v>100</v>
      </c>
      <c r="V21" s="1463" t="s">
        <v>8</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659"/>
      <c r="Q22" s="2351"/>
      <c r="R22" s="1463"/>
      <c r="S22" s="1464"/>
      <c r="T22" s="1463"/>
      <c r="U22" s="1464"/>
      <c r="V22" s="1463"/>
      <c r="W22" s="1464"/>
      <c r="X22" s="2353"/>
      <c r="Y22" s="3659"/>
      <c r="Z22" s="2352"/>
      <c r="AA22" s="1466">
        <v>1</v>
      </c>
      <c r="AB22" s="1466">
        <v>1</v>
      </c>
      <c r="AC22" s="1466">
        <v>1</v>
      </c>
    </row>
    <row r="23" spans="1:29" ht="57">
      <c r="A23" s="509"/>
      <c r="B23" s="537" t="s">
        <v>760</v>
      </c>
      <c r="C23" s="550">
        <f>估价对象房地状况!C9</f>
        <v>0</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659"/>
      <c r="Q23" s="1462" t="str">
        <f>B23</f>
        <v>环境质量</v>
      </c>
      <c r="R23" s="1463" t="s">
        <v>8</v>
      </c>
      <c r="S23" s="1464">
        <f>F23</f>
        <v>100</v>
      </c>
      <c r="T23" s="1463" t="s">
        <v>8</v>
      </c>
      <c r="U23" s="1464">
        <f>H23</f>
        <v>100</v>
      </c>
      <c r="V23" s="1463" t="s">
        <v>8</v>
      </c>
      <c r="W23" s="1464">
        <f>J23</f>
        <v>100</v>
      </c>
      <c r="X23" s="1457"/>
      <c r="Y23" s="3659"/>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659"/>
      <c r="Q24" s="1462"/>
      <c r="R24" s="1463"/>
      <c r="S24" s="1464"/>
      <c r="T24" s="1463"/>
      <c r="U24" s="1464"/>
      <c r="V24" s="1463"/>
      <c r="W24" s="1464"/>
      <c r="X24" s="1457"/>
      <c r="Y24" s="3659"/>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659"/>
      <c r="Q25" s="1462" t="str">
        <f>B25</f>
        <v>毗邻道路的类型与等级</v>
      </c>
      <c r="R25" s="1463" t="s">
        <v>8</v>
      </c>
      <c r="S25" s="1464">
        <f>F25</f>
        <v>100</v>
      </c>
      <c r="T25" s="1463" t="s">
        <v>8</v>
      </c>
      <c r="U25" s="1464">
        <f>H25</f>
        <v>100</v>
      </c>
      <c r="V25" s="1463" t="s">
        <v>8</v>
      </c>
      <c r="W25" s="1464">
        <f>J25</f>
        <v>100</v>
      </c>
      <c r="X25" s="1457"/>
      <c r="Y25" s="3659"/>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659"/>
      <c r="Q26" s="1462"/>
      <c r="R26" s="1463"/>
      <c r="S26" s="1464"/>
      <c r="T26" s="1463"/>
      <c r="U26" s="1464"/>
      <c r="V26" s="1463"/>
      <c r="W26" s="1464"/>
      <c r="X26" s="1457"/>
      <c r="Y26" s="3659"/>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59"/>
      <c r="Q27" s="1462" t="str">
        <f t="shared" ref="Q27:Q47" si="11">B27</f>
        <v>楼层</v>
      </c>
      <c r="R27" s="1463" t="s">
        <v>8</v>
      </c>
      <c r="S27" s="1464">
        <f>F27</f>
        <v>100</v>
      </c>
      <c r="T27" s="1463" t="s">
        <v>8</v>
      </c>
      <c r="U27" s="1464">
        <f>H27</f>
        <v>100</v>
      </c>
      <c r="V27" s="1463" t="s">
        <v>8</v>
      </c>
      <c r="W27" s="1464">
        <f>J27</f>
        <v>100</v>
      </c>
      <c r="X27" s="1457"/>
      <c r="Y27" s="3659"/>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659"/>
      <c r="Q28" s="1097" t="str">
        <f t="shared" si="11"/>
        <v>朝向</v>
      </c>
      <c r="R28" s="1458" t="s">
        <v>8</v>
      </c>
      <c r="S28" s="1459">
        <f>F28</f>
        <v>100</v>
      </c>
      <c r="T28" s="1458" t="s">
        <v>8</v>
      </c>
      <c r="U28" s="1459">
        <f>H28</f>
        <v>100</v>
      </c>
      <c r="V28" s="1458" t="s">
        <v>8</v>
      </c>
      <c r="W28" s="1459">
        <f>J28</f>
        <v>100</v>
      </c>
      <c r="X28" s="1460"/>
      <c r="Y28" s="3659"/>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659"/>
      <c r="Q29" s="1462">
        <f t="shared" si="11"/>
        <v>111</v>
      </c>
      <c r="R29" s="1463" t="s">
        <v>8</v>
      </c>
      <c r="S29" s="1464">
        <f t="shared" ref="S29:S47" si="12">F29</f>
        <v>100</v>
      </c>
      <c r="T29" s="1463" t="s">
        <v>8</v>
      </c>
      <c r="U29" s="1464">
        <f t="shared" ref="U29:U47" si="13">H29</f>
        <v>100</v>
      </c>
      <c r="V29" s="1463" t="s">
        <v>8</v>
      </c>
      <c r="W29" s="1464">
        <f t="shared" ref="W29:W47" si="14">J29</f>
        <v>100</v>
      </c>
      <c r="X29" s="1457"/>
      <c r="Y29" s="3659"/>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659"/>
      <c r="Q30" s="1462">
        <f t="shared" si="11"/>
        <v>111</v>
      </c>
      <c r="R30" s="1463" t="s">
        <v>8</v>
      </c>
      <c r="S30" s="1464">
        <f t="shared" si="12"/>
        <v>100</v>
      </c>
      <c r="T30" s="1463" t="s">
        <v>8</v>
      </c>
      <c r="U30" s="1464">
        <f t="shared" si="13"/>
        <v>100</v>
      </c>
      <c r="V30" s="1463" t="s">
        <v>8</v>
      </c>
      <c r="W30" s="1464">
        <f t="shared" si="14"/>
        <v>100</v>
      </c>
      <c r="X30" s="1457"/>
      <c r="Y30" s="3659"/>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659"/>
      <c r="Q31" s="1462">
        <f t="shared" si="11"/>
        <v>111</v>
      </c>
      <c r="R31" s="1463" t="s">
        <v>8</v>
      </c>
      <c r="S31" s="1464">
        <f t="shared" si="12"/>
        <v>100</v>
      </c>
      <c r="T31" s="1463" t="s">
        <v>8</v>
      </c>
      <c r="U31" s="1464">
        <f t="shared" si="13"/>
        <v>100</v>
      </c>
      <c r="V31" s="1463" t="s">
        <v>8</v>
      </c>
      <c r="W31" s="1464">
        <f t="shared" si="14"/>
        <v>100</v>
      </c>
      <c r="X31" s="1457"/>
      <c r="Y31" s="3659"/>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659"/>
      <c r="Q32" s="1462">
        <f t="shared" si="11"/>
        <v>111</v>
      </c>
      <c r="R32" s="1463" t="s">
        <v>8</v>
      </c>
      <c r="S32" s="1464">
        <f t="shared" si="12"/>
        <v>100</v>
      </c>
      <c r="T32" s="1463" t="s">
        <v>8</v>
      </c>
      <c r="U32" s="1464">
        <f t="shared" si="13"/>
        <v>100</v>
      </c>
      <c r="V32" s="1463" t="s">
        <v>8</v>
      </c>
      <c r="W32" s="1464">
        <f t="shared" si="14"/>
        <v>100</v>
      </c>
      <c r="X32" s="1457"/>
      <c r="Y32" s="3659"/>
      <c r="Z32" s="1465">
        <f t="shared" si="15"/>
        <v>111</v>
      </c>
      <c r="AA32" s="1466">
        <f t="shared" si="3"/>
        <v>1</v>
      </c>
      <c r="AB32" s="1466">
        <f t="shared" si="4"/>
        <v>1</v>
      </c>
      <c r="AC32" s="1466">
        <f t="shared" si="5"/>
        <v>1</v>
      </c>
    </row>
    <row r="33" spans="1:29" ht="15">
      <c r="A33" s="2546" t="s">
        <v>2472</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660" t="s">
        <v>533</v>
      </c>
      <c r="Q33" s="1462" t="str">
        <f t="shared" si="11"/>
        <v>建筑类型</v>
      </c>
      <c r="R33" s="1463" t="s">
        <v>8</v>
      </c>
      <c r="S33" s="1464">
        <f t="shared" si="12"/>
        <v>100</v>
      </c>
      <c r="T33" s="1463" t="s">
        <v>8</v>
      </c>
      <c r="U33" s="1464">
        <f t="shared" si="13"/>
        <v>100</v>
      </c>
      <c r="V33" s="1463" t="s">
        <v>8</v>
      </c>
      <c r="W33" s="1464">
        <f t="shared" si="14"/>
        <v>100</v>
      </c>
      <c r="X33" s="1457"/>
      <c r="Y33" s="3661"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61"/>
      <c r="Q34" s="1491" t="str">
        <f t="shared" si="11"/>
        <v>项目建筑规模</v>
      </c>
      <c r="R34" s="1467" t="s">
        <v>8</v>
      </c>
      <c r="S34" s="1468" t="e">
        <f t="shared" si="12"/>
        <v>#N/A</v>
      </c>
      <c r="T34" s="1467" t="s">
        <v>8</v>
      </c>
      <c r="U34" s="1468" t="e">
        <f t="shared" si="13"/>
        <v>#N/A</v>
      </c>
      <c r="V34" s="1467" t="s">
        <v>8</v>
      </c>
      <c r="W34" s="1468" t="e">
        <f t="shared" si="14"/>
        <v>#N/A</v>
      </c>
      <c r="X34" s="1469"/>
      <c r="Y34" s="3661"/>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61"/>
      <c r="Q35" s="1462" t="str">
        <f t="shared" si="11"/>
        <v>建筑结构</v>
      </c>
      <c r="R35" s="1463" t="s">
        <v>8</v>
      </c>
      <c r="S35" s="1464">
        <f t="shared" si="12"/>
        <v>100</v>
      </c>
      <c r="T35" s="1463" t="s">
        <v>8</v>
      </c>
      <c r="U35" s="1464">
        <f t="shared" si="13"/>
        <v>100</v>
      </c>
      <c r="V35" s="1463" t="s">
        <v>8</v>
      </c>
      <c r="W35" s="1464">
        <f t="shared" si="14"/>
        <v>100</v>
      </c>
      <c r="X35" s="1457"/>
      <c r="Y35" s="3661"/>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61"/>
      <c r="Q36" s="1462" t="str">
        <f t="shared" si="11"/>
        <v>公共部分装修</v>
      </c>
      <c r="R36" s="1463" t="s">
        <v>8</v>
      </c>
      <c r="S36" s="1464">
        <f t="shared" si="12"/>
        <v>100</v>
      </c>
      <c r="T36" s="1463" t="s">
        <v>8</v>
      </c>
      <c r="U36" s="1464">
        <f t="shared" si="13"/>
        <v>100</v>
      </c>
      <c r="V36" s="1463" t="s">
        <v>8</v>
      </c>
      <c r="W36" s="1464">
        <f t="shared" si="14"/>
        <v>100</v>
      </c>
      <c r="X36" s="1457"/>
      <c r="Y36" s="3661"/>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661"/>
      <c r="Q37" s="1462" t="str">
        <f t="shared" si="11"/>
        <v>成新度</v>
      </c>
      <c r="R37" s="1463" t="s">
        <v>8</v>
      </c>
      <c r="S37" s="1464" t="e">
        <f t="shared" si="12"/>
        <v>#N/A</v>
      </c>
      <c r="T37" s="1463" t="s">
        <v>8</v>
      </c>
      <c r="U37" s="1464" t="e">
        <f t="shared" si="13"/>
        <v>#N/A</v>
      </c>
      <c r="V37" s="1463" t="s">
        <v>8</v>
      </c>
      <c r="W37" s="1464" t="e">
        <f t="shared" si="14"/>
        <v>#N/A</v>
      </c>
      <c r="X37" s="1457"/>
      <c r="Y37" s="3661"/>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61"/>
      <c r="Q38" s="1097" t="str">
        <f t="shared" si="11"/>
        <v>写字楼等级</v>
      </c>
      <c r="R38" s="1458" t="s">
        <v>8</v>
      </c>
      <c r="S38" s="1459">
        <f t="shared" si="12"/>
        <v>100</v>
      </c>
      <c r="T38" s="1458" t="s">
        <v>8</v>
      </c>
      <c r="U38" s="1459">
        <f t="shared" si="13"/>
        <v>100</v>
      </c>
      <c r="V38" s="1458" t="s">
        <v>8</v>
      </c>
      <c r="W38" s="1459">
        <f t="shared" si="14"/>
        <v>100</v>
      </c>
      <c r="X38" s="1460"/>
      <c r="Y38" s="3661"/>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61" t="s">
        <v>533</v>
      </c>
      <c r="Q39" s="1462" t="str">
        <f t="shared" si="11"/>
        <v>物业管理</v>
      </c>
      <c r="R39" s="1463" t="s">
        <v>8</v>
      </c>
      <c r="S39" s="1464">
        <f t="shared" si="12"/>
        <v>100</v>
      </c>
      <c r="T39" s="1463" t="s">
        <v>8</v>
      </c>
      <c r="U39" s="1464">
        <f t="shared" si="13"/>
        <v>100</v>
      </c>
      <c r="V39" s="1463" t="s">
        <v>8</v>
      </c>
      <c r="W39" s="1464">
        <f t="shared" si="14"/>
        <v>100</v>
      </c>
      <c r="X39" s="1457"/>
      <c r="Y39" s="3661" t="s">
        <v>533</v>
      </c>
      <c r="Z39" s="1465" t="str">
        <f t="shared" si="15"/>
        <v>物业管理</v>
      </c>
      <c r="AA39" s="1466">
        <f t="shared" si="3"/>
        <v>1</v>
      </c>
      <c r="AB39" s="1466">
        <f t="shared" si="4"/>
        <v>1</v>
      </c>
      <c r="AC39" s="1466">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61"/>
      <c r="Q40" s="1462" t="str">
        <f t="shared" si="11"/>
        <v>市政基础设施</v>
      </c>
      <c r="R40" s="1463" t="s">
        <v>8</v>
      </c>
      <c r="S40" s="1464">
        <f t="shared" si="12"/>
        <v>100</v>
      </c>
      <c r="T40" s="1463" t="s">
        <v>8</v>
      </c>
      <c r="U40" s="1464">
        <f t="shared" si="13"/>
        <v>100</v>
      </c>
      <c r="V40" s="1463" t="s">
        <v>8</v>
      </c>
      <c r="W40" s="1464">
        <f t="shared" si="14"/>
        <v>100</v>
      </c>
      <c r="X40" s="1457"/>
      <c r="Y40" s="3661"/>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61"/>
      <c r="Q41" s="1462" t="str">
        <f t="shared" si="11"/>
        <v>层高</v>
      </c>
      <c r="R41" s="1463" t="s">
        <v>8</v>
      </c>
      <c r="S41" s="1464">
        <f t="shared" si="12"/>
        <v>100</v>
      </c>
      <c r="T41" s="1463" t="s">
        <v>8</v>
      </c>
      <c r="U41" s="1464">
        <f t="shared" si="13"/>
        <v>100</v>
      </c>
      <c r="V41" s="1463" t="s">
        <v>8</v>
      </c>
      <c r="W41" s="1464">
        <f t="shared" si="14"/>
        <v>100</v>
      </c>
      <c r="X41" s="1457"/>
      <c r="Y41" s="3661"/>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61"/>
      <c r="Q42" s="1491" t="str">
        <f t="shared" si="11"/>
        <v>单套建筑面积</v>
      </c>
      <c r="R42" s="1467" t="s">
        <v>8</v>
      </c>
      <c r="S42" s="1468">
        <f t="shared" si="12"/>
        <v>100</v>
      </c>
      <c r="T42" s="1467" t="s">
        <v>8</v>
      </c>
      <c r="U42" s="1468">
        <f t="shared" si="13"/>
        <v>100</v>
      </c>
      <c r="V42" s="1467" t="s">
        <v>8</v>
      </c>
      <c r="W42" s="1468">
        <f t="shared" si="14"/>
        <v>100</v>
      </c>
      <c r="X42" s="1469"/>
      <c r="Y42" s="3661"/>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61"/>
      <c r="Q43" s="1462" t="str">
        <f t="shared" si="11"/>
        <v>内部装修</v>
      </c>
      <c r="R43" s="1463" t="s">
        <v>8</v>
      </c>
      <c r="S43" s="1464">
        <f t="shared" si="12"/>
        <v>100</v>
      </c>
      <c r="T43" s="1463" t="s">
        <v>8</v>
      </c>
      <c r="U43" s="1464">
        <f t="shared" si="13"/>
        <v>100</v>
      </c>
      <c r="V43" s="1463" t="s">
        <v>8</v>
      </c>
      <c r="W43" s="1464">
        <f t="shared" si="14"/>
        <v>100</v>
      </c>
      <c r="X43" s="1457"/>
      <c r="Y43" s="3661"/>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61"/>
      <c r="Q44" s="1462" t="str">
        <f t="shared" si="11"/>
        <v>内部装修维护情况</v>
      </c>
      <c r="R44" s="1463" t="s">
        <v>8</v>
      </c>
      <c r="S44" s="1464">
        <f t="shared" si="12"/>
        <v>100</v>
      </c>
      <c r="T44" s="1463" t="s">
        <v>8</v>
      </c>
      <c r="U44" s="1464">
        <f t="shared" si="13"/>
        <v>100</v>
      </c>
      <c r="V44" s="1463" t="s">
        <v>8</v>
      </c>
      <c r="W44" s="1464">
        <f t="shared" si="14"/>
        <v>100</v>
      </c>
      <c r="X44" s="1457"/>
      <c r="Y44" s="3661"/>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61"/>
      <c r="Q45" s="1097">
        <f t="shared" si="11"/>
        <v>111</v>
      </c>
      <c r="R45" s="1458" t="s">
        <v>8</v>
      </c>
      <c r="S45" s="1459">
        <f t="shared" si="12"/>
        <v>100</v>
      </c>
      <c r="T45" s="1458" t="s">
        <v>8</v>
      </c>
      <c r="U45" s="1459">
        <f t="shared" si="13"/>
        <v>100</v>
      </c>
      <c r="V45" s="1458" t="s">
        <v>8</v>
      </c>
      <c r="W45" s="1459">
        <f t="shared" si="14"/>
        <v>100</v>
      </c>
      <c r="X45" s="1460"/>
      <c r="Y45" s="3661"/>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61"/>
      <c r="Q46" s="1462">
        <f t="shared" si="11"/>
        <v>111</v>
      </c>
      <c r="R46" s="1463" t="s">
        <v>8</v>
      </c>
      <c r="S46" s="1464">
        <f t="shared" si="12"/>
        <v>100</v>
      </c>
      <c r="T46" s="1463" t="s">
        <v>8</v>
      </c>
      <c r="U46" s="1464">
        <f t="shared" si="13"/>
        <v>100</v>
      </c>
      <c r="V46" s="1463" t="s">
        <v>8</v>
      </c>
      <c r="W46" s="1464">
        <f t="shared" si="14"/>
        <v>100</v>
      </c>
      <c r="X46" s="1457"/>
      <c r="Y46" s="3661"/>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75"/>
      <c r="Q47" s="1462">
        <f t="shared" si="11"/>
        <v>111</v>
      </c>
      <c r="R47" s="1463" t="s">
        <v>8</v>
      </c>
      <c r="S47" s="1464">
        <f t="shared" si="12"/>
        <v>100</v>
      </c>
      <c r="T47" s="1463" t="s">
        <v>8</v>
      </c>
      <c r="U47" s="1464">
        <f t="shared" si="13"/>
        <v>100</v>
      </c>
      <c r="V47" s="1463" t="s">
        <v>8</v>
      </c>
      <c r="W47" s="1464">
        <f t="shared" si="14"/>
        <v>100</v>
      </c>
      <c r="X47" s="1457"/>
      <c r="Y47" s="3775"/>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663" t="str">
        <f>A48</f>
        <v>成交单价（元/平方米）</v>
      </c>
      <c r="Q48" s="3656"/>
      <c r="R48" s="3774">
        <f>E48</f>
        <v>0</v>
      </c>
      <c r="S48" s="3774"/>
      <c r="T48" s="3774">
        <f>G48</f>
        <v>0</v>
      </c>
      <c r="U48" s="3774"/>
      <c r="V48" s="3774">
        <f>I48</f>
        <v>0</v>
      </c>
      <c r="W48" s="3774"/>
      <c r="X48" s="1452"/>
      <c r="Y48" s="1471"/>
      <c r="Z48" s="1452"/>
      <c r="AA48" s="1452"/>
      <c r="AB48" s="1452"/>
      <c r="AC48" s="1452"/>
    </row>
    <row r="49" spans="1:29" ht="15.75" thickBot="1">
      <c r="A49" s="592" t="s">
        <v>2477</v>
      </c>
      <c r="B49" s="859"/>
      <c r="C49" s="2398" t="e">
        <f>R50</f>
        <v>#DIV/0!</v>
      </c>
      <c r="D49" s="2922" t="s">
        <v>2697</v>
      </c>
      <c r="E49" s="2399" t="e">
        <f>R49</f>
        <v>#DIV/0!</v>
      </c>
      <c r="F49" s="2923"/>
      <c r="G49" s="2398" t="e">
        <f>T49</f>
        <v>#DIV/0!</v>
      </c>
      <c r="H49" s="2923"/>
      <c r="I49" s="2399" t="e">
        <f>V49</f>
        <v>#DIV/0!</v>
      </c>
      <c r="J49" s="2923"/>
      <c r="K49" s="2931">
        <f>F49+H49+J49</f>
        <v>0</v>
      </c>
      <c r="L49" s="1980"/>
      <c r="M49" s="1970"/>
      <c r="N49" s="1970"/>
      <c r="O49" s="1970"/>
      <c r="P49" s="3663" t="str">
        <f>A49</f>
        <v>比较价格（元/平方米）</v>
      </c>
      <c r="Q49" s="3656"/>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452"/>
      <c r="Y49" s="1452"/>
      <c r="Z49" s="1452"/>
      <c r="AA49" s="1452"/>
      <c r="AB49" s="1452"/>
      <c r="AC49" s="1452"/>
    </row>
    <row r="50" spans="1:29" ht="15.75" thickBot="1">
      <c r="A50" s="596" t="s">
        <v>2632</v>
      </c>
      <c r="B50" s="597"/>
      <c r="C50" s="2400" t="e">
        <f>R50</f>
        <v>#DIV/0!</v>
      </c>
      <c r="D50" s="2400"/>
      <c r="E50" s="2400"/>
      <c r="F50" s="2400"/>
      <c r="G50" s="2400"/>
      <c r="H50" s="2400"/>
      <c r="I50" s="2400"/>
      <c r="J50" s="2400"/>
      <c r="K50" s="1497"/>
      <c r="L50" s="1980"/>
      <c r="M50" s="1970"/>
      <c r="N50" s="1970"/>
      <c r="O50" s="1970"/>
      <c r="P50" s="3779" t="str">
        <f>A50</f>
        <v>估价对象XX用房的比较价格（楼面单价，元/平方米）</v>
      </c>
      <c r="Q50" s="3663"/>
      <c r="R50" s="3773" t="e">
        <f>IF(F1="售价",ROUND(IF(D49="简单平均",AVERAGE(R49:V49),R49*F49+T49*H49+V49*J49),0),ROUND(IF(D49="简单平均",AVERAGE(R49:V49),R49*F49+T49*H49+V49*J49),1))</f>
        <v>#DIV/0!</v>
      </c>
      <c r="S50" s="3773"/>
      <c r="T50" s="3773"/>
      <c r="U50" s="3773"/>
      <c r="V50" s="3773"/>
      <c r="W50" s="3773"/>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2022-5</v>
      </c>
      <c r="D59" s="2443">
        <f>EDATE(C59,-1)</f>
        <v>44652</v>
      </c>
      <c r="E59" s="2443">
        <f t="shared" ref="E59:O59" si="16">EDATE(D59,-1)</f>
        <v>44621</v>
      </c>
      <c r="F59" s="2443">
        <f t="shared" si="16"/>
        <v>44593</v>
      </c>
      <c r="G59" s="2443">
        <f t="shared" si="16"/>
        <v>44562</v>
      </c>
      <c r="H59" s="2443">
        <f t="shared" si="16"/>
        <v>44531</v>
      </c>
      <c r="I59" s="2443">
        <f t="shared" si="16"/>
        <v>44501</v>
      </c>
      <c r="J59" s="2443">
        <f t="shared" si="16"/>
        <v>44470</v>
      </c>
      <c r="K59" s="2443">
        <f t="shared" si="16"/>
        <v>44440</v>
      </c>
      <c r="L59" s="2443">
        <f t="shared" si="16"/>
        <v>44409</v>
      </c>
      <c r="M59" s="2443">
        <f t="shared" si="16"/>
        <v>44378</v>
      </c>
      <c r="N59" s="2443">
        <f t="shared" si="16"/>
        <v>44348</v>
      </c>
      <c r="O59" s="2443">
        <f t="shared" si="16"/>
        <v>44317</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664" t="s">
        <v>505</v>
      </c>
      <c r="D4" s="3665"/>
      <c r="E4" s="3686" t="s">
        <v>506</v>
      </c>
      <c r="F4" s="3687"/>
      <c r="G4" s="3664" t="s">
        <v>507</v>
      </c>
      <c r="H4" s="3665"/>
      <c r="I4" s="3664" t="s">
        <v>508</v>
      </c>
      <c r="J4" s="3665"/>
      <c r="K4" s="491" t="s">
        <v>509</v>
      </c>
      <c r="L4" s="1969"/>
      <c r="M4" s="1970"/>
      <c r="N4" s="1970"/>
      <c r="O4" s="1970"/>
      <c r="P4" s="3666" t="s">
        <v>510</v>
      </c>
      <c r="Q4" s="3667"/>
      <c r="R4" s="3650" t="s">
        <v>506</v>
      </c>
      <c r="S4" s="3651"/>
      <c r="T4" s="3650" t="s">
        <v>507</v>
      </c>
      <c r="U4" s="3651"/>
      <c r="V4" s="3672" t="s">
        <v>508</v>
      </c>
      <c r="W4" s="3672"/>
      <c r="X4" s="1457"/>
      <c r="Y4" s="3650" t="s">
        <v>510</v>
      </c>
      <c r="Z4" s="3651"/>
      <c r="AA4" s="3645" t="s">
        <v>506</v>
      </c>
      <c r="AB4" s="3646" t="s">
        <v>507</v>
      </c>
      <c r="AC4" s="3645" t="s">
        <v>508</v>
      </c>
    </row>
    <row r="5" spans="1:29" ht="15">
      <c r="A5" s="492"/>
      <c r="B5" s="493"/>
      <c r="C5" s="3675" t="s">
        <v>2626</v>
      </c>
      <c r="D5" s="3676"/>
      <c r="E5" s="3688" t="s">
        <v>2627</v>
      </c>
      <c r="F5" s="3689"/>
      <c r="G5" s="3675" t="s">
        <v>2628</v>
      </c>
      <c r="H5" s="3676"/>
      <c r="I5" s="3675" t="s">
        <v>2629</v>
      </c>
      <c r="J5" s="3676"/>
      <c r="K5" s="491"/>
      <c r="L5" s="1969"/>
      <c r="M5" s="1970"/>
      <c r="N5" s="1970"/>
      <c r="O5" s="1970"/>
      <c r="P5" s="3668"/>
      <c r="Q5" s="3669"/>
      <c r="R5" s="3652"/>
      <c r="S5" s="3653"/>
      <c r="T5" s="3652"/>
      <c r="U5" s="3653"/>
      <c r="V5" s="3672"/>
      <c r="W5" s="3672"/>
      <c r="X5" s="1457"/>
      <c r="Y5" s="3652"/>
      <c r="Z5" s="3653"/>
      <c r="AA5" s="3646"/>
      <c r="AB5" s="3646"/>
      <c r="AC5" s="3646"/>
    </row>
    <row r="6" spans="1:29" ht="15.75" thickBot="1">
      <c r="A6" s="494"/>
      <c r="B6" s="495"/>
      <c r="C6" s="3690" t="s">
        <v>2630</v>
      </c>
      <c r="D6" s="3674"/>
      <c r="E6" s="3691" t="s">
        <v>2630</v>
      </c>
      <c r="F6" s="3692"/>
      <c r="G6" s="3690" t="s">
        <v>2630</v>
      </c>
      <c r="H6" s="3674"/>
      <c r="I6" s="3690" t="s">
        <v>2630</v>
      </c>
      <c r="J6" s="3674"/>
      <c r="K6" s="491" t="s">
        <v>511</v>
      </c>
      <c r="L6" s="1969"/>
      <c r="M6" s="1970"/>
      <c r="N6" s="1970"/>
      <c r="O6" s="1970"/>
      <c r="P6" s="3670"/>
      <c r="Q6" s="3671"/>
      <c r="R6" s="3652"/>
      <c r="S6" s="3653"/>
      <c r="T6" s="3654"/>
      <c r="U6" s="3655"/>
      <c r="V6" s="3672"/>
      <c r="W6" s="3672"/>
      <c r="X6" s="1457"/>
      <c r="Y6" s="3654"/>
      <c r="Z6" s="3655"/>
      <c r="AA6" s="3647"/>
      <c r="AB6" s="3647"/>
      <c r="AC6" s="3647"/>
    </row>
    <row r="7" spans="1:29" s="1166" customFormat="1" ht="15.75" thickBot="1">
      <c r="A7" s="2551"/>
      <c r="B7" s="2558" t="s">
        <v>512</v>
      </c>
      <c r="C7" s="496">
        <f>'数据-取费表'!B2</f>
        <v>44701</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48" t="s">
        <v>513</v>
      </c>
      <c r="Q7" s="3657"/>
      <c r="R7" s="1458" t="s">
        <v>8</v>
      </c>
      <c r="S7" s="1459">
        <f t="shared" ref="S7:S15" si="0">F7</f>
        <v>0</v>
      </c>
      <c r="T7" s="1458" t="s">
        <v>8</v>
      </c>
      <c r="U7" s="1459">
        <f t="shared" ref="U7:U15" si="1">H7</f>
        <v>0</v>
      </c>
      <c r="V7" s="1458" t="s">
        <v>8</v>
      </c>
      <c r="W7" s="1459">
        <f t="shared" ref="W7:W15" si="2">J7</f>
        <v>0</v>
      </c>
      <c r="X7" s="1460"/>
      <c r="Y7" s="3648" t="s">
        <v>513</v>
      </c>
      <c r="Z7" s="3649"/>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48" t="s">
        <v>516</v>
      </c>
      <c r="Q8" s="3649"/>
      <c r="R8" s="1458" t="s">
        <v>8</v>
      </c>
      <c r="S8" s="1459">
        <f t="shared" si="0"/>
        <v>0</v>
      </c>
      <c r="T8" s="1458" t="s">
        <v>8</v>
      </c>
      <c r="U8" s="1459">
        <f t="shared" si="1"/>
        <v>0</v>
      </c>
      <c r="V8" s="1458" t="s">
        <v>8</v>
      </c>
      <c r="W8" s="1459">
        <f t="shared" si="2"/>
        <v>0</v>
      </c>
      <c r="X8" s="1460"/>
      <c r="Y8" s="3648" t="s">
        <v>516</v>
      </c>
      <c r="Z8" s="3649"/>
      <c r="AA8" s="1461" t="e">
        <f t="shared" ref="AA8:AA40" si="3">D8/F8</f>
        <v>#DIV/0!</v>
      </c>
      <c r="AB8" s="1461" t="e">
        <f t="shared" ref="AB8:AB40" si="4">D8/H8</f>
        <v>#DIV/0!</v>
      </c>
      <c r="AC8" s="1461" t="e">
        <f t="shared" ref="AC8:AC40" si="5">D8/J8</f>
        <v>#DIV/0!</v>
      </c>
    </row>
    <row r="9" spans="1:29" s="1166"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56" t="s">
        <v>518</v>
      </c>
      <c r="Q9" s="1097" t="str">
        <f t="shared" ref="Q9:Q15" si="6">B9</f>
        <v>用途</v>
      </c>
      <c r="R9" s="1458" t="s">
        <v>8</v>
      </c>
      <c r="S9" s="1459">
        <f t="shared" si="0"/>
        <v>100</v>
      </c>
      <c r="T9" s="1458" t="s">
        <v>8</v>
      </c>
      <c r="U9" s="1459">
        <f t="shared" si="1"/>
        <v>100</v>
      </c>
      <c r="V9" s="1458" t="s">
        <v>8</v>
      </c>
      <c r="W9" s="1459">
        <f t="shared" si="2"/>
        <v>100</v>
      </c>
      <c r="X9" s="1460"/>
      <c r="Y9" s="3604"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56"/>
      <c r="Q10" s="1097" t="str">
        <f t="shared" si="6"/>
        <v>土地使用年限（年）</v>
      </c>
      <c r="R10" s="1458" t="s">
        <v>8</v>
      </c>
      <c r="S10" s="1459">
        <f t="shared" si="0"/>
        <v>100</v>
      </c>
      <c r="T10" s="1458" t="s">
        <v>8</v>
      </c>
      <c r="U10" s="1459">
        <f t="shared" si="1"/>
        <v>100</v>
      </c>
      <c r="V10" s="1458" t="s">
        <v>8</v>
      </c>
      <c r="W10" s="1459">
        <f t="shared" si="2"/>
        <v>100</v>
      </c>
      <c r="X10" s="1460"/>
      <c r="Y10" s="3604"/>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56"/>
      <c r="Q11" s="1097" t="str">
        <f t="shared" si="6"/>
        <v>容积率</v>
      </c>
      <c r="R11" s="1458" t="s">
        <v>8</v>
      </c>
      <c r="S11" s="1459" t="e">
        <f t="shared" si="0"/>
        <v>#N/A</v>
      </c>
      <c r="T11" s="1458" t="s">
        <v>8</v>
      </c>
      <c r="U11" s="1459" t="e">
        <f t="shared" si="1"/>
        <v>#N/A</v>
      </c>
      <c r="V11" s="1458" t="s">
        <v>8</v>
      </c>
      <c r="W11" s="1459" t="e">
        <f t="shared" si="2"/>
        <v>#N/A</v>
      </c>
      <c r="X11" s="1460"/>
      <c r="Y11" s="3604"/>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56"/>
      <c r="Q12" s="1097">
        <f t="shared" si="6"/>
        <v>111</v>
      </c>
      <c r="R12" s="1458" t="s">
        <v>8</v>
      </c>
      <c r="S12" s="1459">
        <f t="shared" si="0"/>
        <v>100</v>
      </c>
      <c r="T12" s="1458" t="s">
        <v>8</v>
      </c>
      <c r="U12" s="1459">
        <f t="shared" si="1"/>
        <v>100</v>
      </c>
      <c r="V12" s="1458" t="s">
        <v>8</v>
      </c>
      <c r="W12" s="1459">
        <f t="shared" si="2"/>
        <v>100</v>
      </c>
      <c r="X12" s="1460"/>
      <c r="Y12" s="3604"/>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56"/>
      <c r="Q13" s="1097">
        <f t="shared" si="6"/>
        <v>111</v>
      </c>
      <c r="R13" s="1458" t="s">
        <v>8</v>
      </c>
      <c r="S13" s="1459">
        <f t="shared" si="0"/>
        <v>100</v>
      </c>
      <c r="T13" s="1458" t="s">
        <v>8</v>
      </c>
      <c r="U13" s="1459">
        <f t="shared" si="1"/>
        <v>100</v>
      </c>
      <c r="V13" s="1458" t="s">
        <v>8</v>
      </c>
      <c r="W13" s="1459">
        <f t="shared" si="2"/>
        <v>100</v>
      </c>
      <c r="X13" s="1460"/>
      <c r="Y13" s="3604"/>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56"/>
      <c r="Q14" s="1097">
        <f t="shared" si="6"/>
        <v>111</v>
      </c>
      <c r="R14" s="1458" t="s">
        <v>8</v>
      </c>
      <c r="S14" s="1459">
        <f t="shared" si="0"/>
        <v>100</v>
      </c>
      <c r="T14" s="1458" t="s">
        <v>8</v>
      </c>
      <c r="U14" s="1459">
        <f t="shared" si="1"/>
        <v>100</v>
      </c>
      <c r="V14" s="1458" t="s">
        <v>8</v>
      </c>
      <c r="W14" s="1459">
        <f t="shared" si="2"/>
        <v>100</v>
      </c>
      <c r="X14" s="1460"/>
      <c r="Y14" s="3604"/>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658" t="s">
        <v>523</v>
      </c>
      <c r="Q15" s="1462" t="str">
        <f t="shared" si="6"/>
        <v>产业集聚程度</v>
      </c>
      <c r="R15" s="1463" t="s">
        <v>8</v>
      </c>
      <c r="S15" s="1464">
        <f t="shared" si="0"/>
        <v>100</v>
      </c>
      <c r="T15" s="1463" t="s">
        <v>8</v>
      </c>
      <c r="U15" s="1464">
        <f t="shared" si="1"/>
        <v>100</v>
      </c>
      <c r="V15" s="1463" t="s">
        <v>8</v>
      </c>
      <c r="W15" s="1464">
        <f t="shared" si="2"/>
        <v>100</v>
      </c>
      <c r="X15" s="1457"/>
      <c r="Y15" s="3658"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59"/>
      <c r="Q16" s="1462"/>
      <c r="R16" s="1463"/>
      <c r="S16" s="1464"/>
      <c r="T16" s="1463"/>
      <c r="U16" s="1464"/>
      <c r="V16" s="1463"/>
      <c r="W16" s="1464"/>
      <c r="X16" s="1457"/>
      <c r="Y16" s="3659"/>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659"/>
      <c r="Q17" s="1462" t="str">
        <f>B17</f>
        <v>交通便捷度</v>
      </c>
      <c r="R17" s="1463" t="s">
        <v>8</v>
      </c>
      <c r="S17" s="1464">
        <f>F17</f>
        <v>100</v>
      </c>
      <c r="T17" s="1463" t="s">
        <v>8</v>
      </c>
      <c r="U17" s="1464">
        <f>H17</f>
        <v>100</v>
      </c>
      <c r="V17" s="1463" t="s">
        <v>8</v>
      </c>
      <c r="W17" s="1464">
        <f>J17</f>
        <v>100</v>
      </c>
      <c r="X17" s="1457"/>
      <c r="Y17" s="3659"/>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59"/>
      <c r="Q18" s="1462"/>
      <c r="R18" s="1463"/>
      <c r="S18" s="1464"/>
      <c r="T18" s="1463"/>
      <c r="U18" s="1464"/>
      <c r="V18" s="1463"/>
      <c r="W18" s="1464"/>
      <c r="X18" s="1457"/>
      <c r="Y18" s="3659"/>
      <c r="Z18" s="1465"/>
      <c r="AA18" s="1466">
        <v>1</v>
      </c>
      <c r="AB18" s="1466">
        <v>1</v>
      </c>
      <c r="AC18" s="1466">
        <v>1</v>
      </c>
    </row>
    <row r="19" spans="1:29" ht="42.75">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659"/>
      <c r="Q19" s="1462" t="str">
        <f>B19</f>
        <v>公共配套设施</v>
      </c>
      <c r="R19" s="1463" t="s">
        <v>8</v>
      </c>
      <c r="S19" s="1464">
        <f>F19</f>
        <v>100</v>
      </c>
      <c r="T19" s="1463" t="s">
        <v>8</v>
      </c>
      <c r="U19" s="1464">
        <f>H19</f>
        <v>100</v>
      </c>
      <c r="V19" s="1463" t="s">
        <v>8</v>
      </c>
      <c r="W19" s="1464">
        <f>J19</f>
        <v>100</v>
      </c>
      <c r="X19" s="1457"/>
      <c r="Y19" s="3659"/>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8.5">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659"/>
      <c r="Q21" s="2351" t="str">
        <f>B21</f>
        <v>基础设施水平</v>
      </c>
      <c r="R21" s="1463" t="s">
        <v>8</v>
      </c>
      <c r="S21" s="1464">
        <f>F21</f>
        <v>100</v>
      </c>
      <c r="T21" s="1463" t="s">
        <v>8</v>
      </c>
      <c r="U21" s="1464">
        <f>H21</f>
        <v>100</v>
      </c>
      <c r="V21" s="1463" t="s">
        <v>8</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659"/>
      <c r="Q22" s="2351"/>
      <c r="R22" s="1463"/>
      <c r="S22" s="1464"/>
      <c r="T22" s="1463"/>
      <c r="U22" s="1464"/>
      <c r="V22" s="1463"/>
      <c r="W22" s="1464"/>
      <c r="X22" s="2353"/>
      <c r="Y22" s="3659"/>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659"/>
      <c r="Q23" s="1462" t="str">
        <f>B23</f>
        <v>环境质量</v>
      </c>
      <c r="R23" s="1463" t="s">
        <v>8</v>
      </c>
      <c r="S23" s="1464">
        <f>F23</f>
        <v>100</v>
      </c>
      <c r="T23" s="1463" t="s">
        <v>8</v>
      </c>
      <c r="U23" s="1464">
        <f>H23</f>
        <v>100</v>
      </c>
      <c r="V23" s="1463" t="s">
        <v>8</v>
      </c>
      <c r="W23" s="1464">
        <f>J23</f>
        <v>100</v>
      </c>
      <c r="X23" s="1457"/>
      <c r="Y23" s="3659"/>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659"/>
      <c r="Q24" s="1462"/>
      <c r="R24" s="1463"/>
      <c r="S24" s="1464"/>
      <c r="T24" s="1463"/>
      <c r="U24" s="1464"/>
      <c r="V24" s="1463"/>
      <c r="W24" s="1464"/>
      <c r="X24" s="1457"/>
      <c r="Y24" s="3659"/>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59"/>
      <c r="Q25" s="1462">
        <f>B25</f>
        <v>111</v>
      </c>
      <c r="R25" s="1463" t="s">
        <v>8</v>
      </c>
      <c r="S25" s="1464">
        <f>F25</f>
        <v>100</v>
      </c>
      <c r="T25" s="1463" t="s">
        <v>8</v>
      </c>
      <c r="U25" s="1464">
        <f>H25</f>
        <v>100</v>
      </c>
      <c r="V25" s="1463" t="s">
        <v>8</v>
      </c>
      <c r="W25" s="1464">
        <f>J25</f>
        <v>100</v>
      </c>
      <c r="X25" s="1457"/>
      <c r="Y25" s="3659"/>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59"/>
      <c r="Q26" s="1462">
        <f t="shared" ref="Q26:Q40" si="11">B26</f>
        <v>111</v>
      </c>
      <c r="R26" s="1463" t="s">
        <v>8</v>
      </c>
      <c r="S26" s="1464">
        <f>F26</f>
        <v>100</v>
      </c>
      <c r="T26" s="1463" t="s">
        <v>8</v>
      </c>
      <c r="U26" s="1464">
        <f>H26</f>
        <v>100</v>
      </c>
      <c r="V26" s="1463" t="s">
        <v>8</v>
      </c>
      <c r="W26" s="1464">
        <f>J26</f>
        <v>100</v>
      </c>
      <c r="X26" s="1457"/>
      <c r="Y26" s="3659"/>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59"/>
      <c r="Q27" s="1097">
        <f t="shared" si="11"/>
        <v>111</v>
      </c>
      <c r="R27" s="1458" t="s">
        <v>8</v>
      </c>
      <c r="S27" s="1459">
        <f>F27</f>
        <v>100</v>
      </c>
      <c r="T27" s="1458" t="s">
        <v>8</v>
      </c>
      <c r="U27" s="1459">
        <f>H27</f>
        <v>100</v>
      </c>
      <c r="V27" s="1458" t="s">
        <v>8</v>
      </c>
      <c r="W27" s="1459">
        <f>J27</f>
        <v>100</v>
      </c>
      <c r="X27" s="1460"/>
      <c r="Y27" s="3659"/>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659"/>
      <c r="Q28" s="1462">
        <f t="shared" si="11"/>
        <v>111</v>
      </c>
      <c r="R28" s="1463" t="s">
        <v>8</v>
      </c>
      <c r="S28" s="1464">
        <f t="shared" ref="S28:S40" si="12">F28</f>
        <v>100</v>
      </c>
      <c r="T28" s="1463" t="s">
        <v>8</v>
      </c>
      <c r="U28" s="1464">
        <f t="shared" ref="U28:U40" si="13">H28</f>
        <v>100</v>
      </c>
      <c r="V28" s="1463" t="s">
        <v>8</v>
      </c>
      <c r="W28" s="1464">
        <f t="shared" ref="W28:W40" si="14">J28</f>
        <v>100</v>
      </c>
      <c r="X28" s="1457"/>
      <c r="Y28" s="3659"/>
      <c r="Z28" s="1465">
        <f t="shared" ref="Z28:Z40" si="15">Q28</f>
        <v>111</v>
      </c>
      <c r="AA28" s="1466">
        <f t="shared" si="3"/>
        <v>1</v>
      </c>
      <c r="AB28" s="1466">
        <f t="shared" si="4"/>
        <v>1</v>
      </c>
      <c r="AC28" s="1466">
        <f t="shared" si="5"/>
        <v>1</v>
      </c>
    </row>
    <row r="29" spans="1:29" ht="15">
      <c r="A29" s="2546" t="s">
        <v>2472</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660" t="s">
        <v>533</v>
      </c>
      <c r="Q29" s="1462" t="str">
        <f t="shared" si="11"/>
        <v>建筑类型</v>
      </c>
      <c r="R29" s="1463" t="s">
        <v>8</v>
      </c>
      <c r="S29" s="1464">
        <f t="shared" si="12"/>
        <v>100</v>
      </c>
      <c r="T29" s="1463" t="s">
        <v>8</v>
      </c>
      <c r="U29" s="1464">
        <f t="shared" si="13"/>
        <v>100</v>
      </c>
      <c r="V29" s="1463" t="s">
        <v>8</v>
      </c>
      <c r="W29" s="1464">
        <f t="shared" si="14"/>
        <v>100</v>
      </c>
      <c r="X29" s="1457"/>
      <c r="Y29" s="3661"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61"/>
      <c r="Q30" s="1491" t="str">
        <f t="shared" si="11"/>
        <v>项目建筑规模</v>
      </c>
      <c r="R30" s="1467" t="s">
        <v>8</v>
      </c>
      <c r="S30" s="1468" t="e">
        <f t="shared" si="12"/>
        <v>#N/A</v>
      </c>
      <c r="T30" s="1467" t="s">
        <v>8</v>
      </c>
      <c r="U30" s="1468" t="e">
        <f t="shared" si="13"/>
        <v>#N/A</v>
      </c>
      <c r="V30" s="1467" t="s">
        <v>8</v>
      </c>
      <c r="W30" s="1468" t="e">
        <f t="shared" si="14"/>
        <v>#N/A</v>
      </c>
      <c r="X30" s="1469"/>
      <c r="Y30" s="3661"/>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61"/>
      <c r="Q31" s="1462" t="str">
        <f t="shared" si="11"/>
        <v>建筑结构</v>
      </c>
      <c r="R31" s="1463" t="s">
        <v>8</v>
      </c>
      <c r="S31" s="1464">
        <f t="shared" si="12"/>
        <v>100</v>
      </c>
      <c r="T31" s="1463" t="s">
        <v>8</v>
      </c>
      <c r="U31" s="1464">
        <f t="shared" si="13"/>
        <v>100</v>
      </c>
      <c r="V31" s="1463" t="s">
        <v>8</v>
      </c>
      <c r="W31" s="1464">
        <f t="shared" si="14"/>
        <v>100</v>
      </c>
      <c r="X31" s="1457"/>
      <c r="Y31" s="3661"/>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61"/>
      <c r="Q32" s="1462" t="str">
        <f t="shared" si="11"/>
        <v>公共部分装修</v>
      </c>
      <c r="R32" s="1463" t="s">
        <v>8</v>
      </c>
      <c r="S32" s="1464">
        <f t="shared" si="12"/>
        <v>100</v>
      </c>
      <c r="T32" s="1463" t="s">
        <v>8</v>
      </c>
      <c r="U32" s="1464">
        <f t="shared" si="13"/>
        <v>100</v>
      </c>
      <c r="V32" s="1463" t="s">
        <v>8</v>
      </c>
      <c r="W32" s="1464">
        <f t="shared" si="14"/>
        <v>100</v>
      </c>
      <c r="X32" s="1457"/>
      <c r="Y32" s="3661"/>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661"/>
      <c r="Q33" s="1462" t="str">
        <f t="shared" si="11"/>
        <v>成新度</v>
      </c>
      <c r="R33" s="1463" t="s">
        <v>8</v>
      </c>
      <c r="S33" s="1464" t="e">
        <f t="shared" si="12"/>
        <v>#N/A</v>
      </c>
      <c r="T33" s="1463" t="s">
        <v>8</v>
      </c>
      <c r="U33" s="1464" t="e">
        <f t="shared" si="13"/>
        <v>#N/A</v>
      </c>
      <c r="V33" s="1463" t="s">
        <v>8</v>
      </c>
      <c r="W33" s="1464" t="e">
        <f t="shared" si="14"/>
        <v>#N/A</v>
      </c>
      <c r="X33" s="1457"/>
      <c r="Y33" s="3661"/>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61"/>
      <c r="Q34" s="1097" t="str">
        <f t="shared" si="11"/>
        <v>物业管理</v>
      </c>
      <c r="R34" s="1458" t="s">
        <v>8</v>
      </c>
      <c r="S34" s="1459">
        <f t="shared" si="12"/>
        <v>100</v>
      </c>
      <c r="T34" s="1458" t="s">
        <v>8</v>
      </c>
      <c r="U34" s="1459">
        <f t="shared" si="13"/>
        <v>100</v>
      </c>
      <c r="V34" s="1458" t="s">
        <v>8</v>
      </c>
      <c r="W34" s="1459">
        <f t="shared" si="14"/>
        <v>100</v>
      </c>
      <c r="X34" s="1460"/>
      <c r="Y34" s="3661"/>
      <c r="Z34" s="1096" t="str">
        <f t="shared" si="15"/>
        <v>物业管理</v>
      </c>
      <c r="AA34" s="1461">
        <f t="shared" si="3"/>
        <v>1</v>
      </c>
      <c r="AB34" s="1461">
        <f t="shared" si="4"/>
        <v>1</v>
      </c>
      <c r="AC34" s="1461">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61" t="s">
        <v>533</v>
      </c>
      <c r="Q35" s="1462" t="str">
        <f t="shared" si="11"/>
        <v>市政基础设施</v>
      </c>
      <c r="R35" s="1463" t="s">
        <v>8</v>
      </c>
      <c r="S35" s="1464">
        <f t="shared" si="12"/>
        <v>100</v>
      </c>
      <c r="T35" s="1463" t="s">
        <v>8</v>
      </c>
      <c r="U35" s="1464">
        <f t="shared" si="13"/>
        <v>100</v>
      </c>
      <c r="V35" s="1463" t="s">
        <v>8</v>
      </c>
      <c r="W35" s="1464">
        <f t="shared" si="14"/>
        <v>100</v>
      </c>
      <c r="X35" s="1457"/>
      <c r="Y35" s="3661"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61"/>
      <c r="Q36" s="1462" t="str">
        <f t="shared" si="11"/>
        <v>内部装修</v>
      </c>
      <c r="R36" s="1463" t="s">
        <v>8</v>
      </c>
      <c r="S36" s="1464">
        <f t="shared" si="12"/>
        <v>100</v>
      </c>
      <c r="T36" s="1463" t="s">
        <v>8</v>
      </c>
      <c r="U36" s="1464">
        <f t="shared" si="13"/>
        <v>100</v>
      </c>
      <c r="V36" s="1463" t="s">
        <v>8</v>
      </c>
      <c r="W36" s="1464">
        <f t="shared" si="14"/>
        <v>100</v>
      </c>
      <c r="X36" s="1457"/>
      <c r="Y36" s="3661"/>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61"/>
      <c r="Q37" s="1462" t="str">
        <f t="shared" si="11"/>
        <v>内部装修状况</v>
      </c>
      <c r="R37" s="1463" t="s">
        <v>8</v>
      </c>
      <c r="S37" s="1464">
        <f t="shared" si="12"/>
        <v>100</v>
      </c>
      <c r="T37" s="1463" t="s">
        <v>8</v>
      </c>
      <c r="U37" s="1464">
        <f t="shared" si="13"/>
        <v>100</v>
      </c>
      <c r="V37" s="1463" t="s">
        <v>8</v>
      </c>
      <c r="W37" s="1464">
        <f t="shared" si="14"/>
        <v>100</v>
      </c>
      <c r="X37" s="1457"/>
      <c r="Y37" s="3661"/>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661"/>
      <c r="Q38" s="1491">
        <f t="shared" si="11"/>
        <v>111</v>
      </c>
      <c r="R38" s="1467" t="s">
        <v>8</v>
      </c>
      <c r="S38" s="1468">
        <f t="shared" si="12"/>
        <v>100</v>
      </c>
      <c r="T38" s="1467" t="s">
        <v>8</v>
      </c>
      <c r="U38" s="1468">
        <f t="shared" si="13"/>
        <v>100</v>
      </c>
      <c r="V38" s="1467" t="s">
        <v>8</v>
      </c>
      <c r="W38" s="1468">
        <f t="shared" si="14"/>
        <v>100</v>
      </c>
      <c r="X38" s="1469"/>
      <c r="Y38" s="3661"/>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661"/>
      <c r="Q39" s="1462">
        <f t="shared" si="11"/>
        <v>111</v>
      </c>
      <c r="R39" s="1463" t="s">
        <v>8</v>
      </c>
      <c r="S39" s="1464">
        <f t="shared" si="12"/>
        <v>100</v>
      </c>
      <c r="T39" s="1463" t="s">
        <v>8</v>
      </c>
      <c r="U39" s="1464">
        <f t="shared" si="13"/>
        <v>100</v>
      </c>
      <c r="V39" s="1463" t="s">
        <v>8</v>
      </c>
      <c r="W39" s="1464">
        <f t="shared" si="14"/>
        <v>100</v>
      </c>
      <c r="X39" s="1457"/>
      <c r="Y39" s="3661"/>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775"/>
      <c r="Q40" s="1462">
        <f t="shared" si="11"/>
        <v>111</v>
      </c>
      <c r="R40" s="1463" t="s">
        <v>8</v>
      </c>
      <c r="S40" s="1464">
        <f t="shared" si="12"/>
        <v>100</v>
      </c>
      <c r="T40" s="1463" t="s">
        <v>8</v>
      </c>
      <c r="U40" s="1464">
        <f t="shared" si="13"/>
        <v>100</v>
      </c>
      <c r="V40" s="1463" t="s">
        <v>8</v>
      </c>
      <c r="W40" s="1464">
        <f t="shared" si="14"/>
        <v>100</v>
      </c>
      <c r="X40" s="1457"/>
      <c r="Y40" s="3775"/>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656" t="str">
        <f>A41</f>
        <v>成交单价（元/平方米）</v>
      </c>
      <c r="Q41" s="3656"/>
      <c r="R41" s="3774">
        <f>E41</f>
        <v>0</v>
      </c>
      <c r="S41" s="3774"/>
      <c r="T41" s="3774">
        <f>G41</f>
        <v>0</v>
      </c>
      <c r="U41" s="3774"/>
      <c r="V41" s="3774">
        <f>I41</f>
        <v>0</v>
      </c>
      <c r="W41" s="3774"/>
      <c r="X41" s="1452"/>
      <c r="Y41" s="1471"/>
      <c r="Z41" s="1452"/>
      <c r="AA41" s="1452"/>
      <c r="AB41" s="1452"/>
      <c r="AC41" s="1452"/>
    </row>
    <row r="42" spans="1:29" ht="15.75" thickBot="1">
      <c r="A42" s="592" t="s">
        <v>2477</v>
      </c>
      <c r="B42" s="859"/>
      <c r="C42" s="2398" t="e">
        <f>R43</f>
        <v>#DIV/0!</v>
      </c>
      <c r="D42" s="2922" t="s">
        <v>2697</v>
      </c>
      <c r="E42" s="2399" t="e">
        <f>R42</f>
        <v>#DIV/0!</v>
      </c>
      <c r="F42" s="2923"/>
      <c r="G42" s="2398" t="e">
        <f>T42</f>
        <v>#DIV/0!</v>
      </c>
      <c r="H42" s="2923"/>
      <c r="I42" s="2399" t="e">
        <f>V42</f>
        <v>#DIV/0!</v>
      </c>
      <c r="J42" s="2923"/>
      <c r="K42" s="2931">
        <f>F42+H42+J42</f>
        <v>0</v>
      </c>
      <c r="L42" s="1980"/>
      <c r="M42" s="1981"/>
      <c r="N42" s="1970"/>
      <c r="O42" s="1981"/>
      <c r="P42" s="3656" t="str">
        <f>A42</f>
        <v>比较价格（元/平方米）</v>
      </c>
      <c r="Q42" s="3656"/>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452"/>
      <c r="Y42" s="1452"/>
      <c r="Z42" s="1452"/>
      <c r="AA42" s="1452"/>
      <c r="AB42" s="1452"/>
      <c r="AC42" s="1452"/>
    </row>
    <row r="43" spans="1:29" ht="15.75" thickBot="1">
      <c r="A43" s="596" t="s">
        <v>2632</v>
      </c>
      <c r="B43" s="597"/>
      <c r="C43" s="2400" t="e">
        <f>R43</f>
        <v>#DIV/0!</v>
      </c>
      <c r="D43" s="2400"/>
      <c r="E43" s="2400"/>
      <c r="F43" s="2400"/>
      <c r="G43" s="2400"/>
      <c r="H43" s="2400"/>
      <c r="I43" s="2400"/>
      <c r="J43" s="2400"/>
      <c r="K43" s="1497"/>
      <c r="L43" s="1980"/>
      <c r="M43" s="1981"/>
      <c r="N43" s="1981"/>
      <c r="O43" s="1981"/>
      <c r="P43" s="3662" t="str">
        <f>A43</f>
        <v>估价对象XX用房的比较价格（楼面单价，元/平方米）</v>
      </c>
      <c r="Q43" s="3663"/>
      <c r="R43" s="3773" t="e">
        <f>IF(F1="售价",ROUND(IF(D42="简单平均",AVERAGE(R42:V42),R42*F42+T42*H42+V42*J42),0),ROUND(IF(D42="简单平均",AVERAGE(R42:V42),R42*F42+T42*H42+V42*J42),1))</f>
        <v>#DIV/0!</v>
      </c>
      <c r="S43" s="3773"/>
      <c r="T43" s="3773"/>
      <c r="U43" s="3773"/>
      <c r="V43" s="3773"/>
      <c r="W43" s="3773"/>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2022-5</v>
      </c>
      <c r="D52" s="2443">
        <f>EDATE(C52,-1)</f>
        <v>44652</v>
      </c>
      <c r="E52" s="2443">
        <f t="shared" ref="E52:O52" si="16">EDATE(D52,-1)</f>
        <v>44621</v>
      </c>
      <c r="F52" s="2443">
        <f t="shared" si="16"/>
        <v>44593</v>
      </c>
      <c r="G52" s="2443">
        <f t="shared" si="16"/>
        <v>44562</v>
      </c>
      <c r="H52" s="2443">
        <f t="shared" si="16"/>
        <v>44531</v>
      </c>
      <c r="I52" s="2443">
        <f t="shared" si="16"/>
        <v>44501</v>
      </c>
      <c r="J52" s="2443">
        <f t="shared" si="16"/>
        <v>44470</v>
      </c>
      <c r="K52" s="2443">
        <f t="shared" si="16"/>
        <v>44440</v>
      </c>
      <c r="L52" s="2443">
        <f t="shared" si="16"/>
        <v>44409</v>
      </c>
      <c r="M52" s="2443">
        <f t="shared" si="16"/>
        <v>44378</v>
      </c>
      <c r="N52" s="2443">
        <f t="shared" si="16"/>
        <v>44348</v>
      </c>
      <c r="O52" s="2443">
        <f t="shared" si="16"/>
        <v>44317</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2276</v>
      </c>
      <c r="C76" s="2364" t="s">
        <v>2277</v>
      </c>
      <c r="D76" s="2364" t="s">
        <v>2278</v>
      </c>
      <c r="E76" s="2364" t="s">
        <v>2279</v>
      </c>
      <c r="F76" s="2364" t="s">
        <v>2280</v>
      </c>
      <c r="G76" s="2364" t="s">
        <v>2281</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6" zoomScale="60" zoomScaleNormal="60" workbookViewId="0">
      <selection activeCell="L37" sqref="L3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t="s">
        <v>902</v>
      </c>
      <c r="C1" s="481" t="s">
        <v>774</v>
      </c>
      <c r="D1" s="821" t="s">
        <v>35</v>
      </c>
      <c r="E1" s="483"/>
      <c r="F1" s="2446" t="s">
        <v>3231</v>
      </c>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f>IF(B37="元/平方米",ROUND(B3*D3/10000,0),ROUND(F3*C39/10000,0))</f>
        <v>3753</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f>IF(B37="元/平方米",C39,ROUND(B2*10000/D3,0))</f>
        <v>4858</v>
      </c>
      <c r="C3" s="824" t="s">
        <v>778</v>
      </c>
      <c r="D3" s="823">
        <f>SUMIF('数据-汇总表'!$C19:$C33,D1,'数据-汇总表'!$E19:$E33)</f>
        <v>7725.79</v>
      </c>
      <c r="E3" s="1717" t="s">
        <v>1868</v>
      </c>
      <c r="F3" s="823">
        <f>SUMIF('数据-取费表'!A5:A15,D1,'数据-取费表'!AH5:AH15)</f>
        <v>220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64" t="s">
        <v>780</v>
      </c>
      <c r="D4" s="3665"/>
      <c r="E4" s="3664" t="s">
        <v>781</v>
      </c>
      <c r="F4" s="3665"/>
      <c r="G4" s="3664" t="s">
        <v>782</v>
      </c>
      <c r="H4" s="3665"/>
      <c r="I4" s="3664" t="s">
        <v>783</v>
      </c>
      <c r="J4" s="3665"/>
      <c r="K4" s="491" t="s">
        <v>784</v>
      </c>
      <c r="L4" s="1969"/>
      <c r="M4" s="1970"/>
      <c r="N4" s="1970"/>
      <c r="O4" s="1970"/>
      <c r="P4" s="3666" t="s">
        <v>785</v>
      </c>
      <c r="Q4" s="3667"/>
      <c r="R4" s="3650" t="s">
        <v>781</v>
      </c>
      <c r="S4" s="3651"/>
      <c r="T4" s="3650" t="s">
        <v>782</v>
      </c>
      <c r="U4" s="3651"/>
      <c r="V4" s="3672" t="s">
        <v>783</v>
      </c>
      <c r="W4" s="3672"/>
      <c r="X4" s="1457"/>
      <c r="Y4" s="3650" t="s">
        <v>785</v>
      </c>
      <c r="Z4" s="3651"/>
      <c r="AA4" s="3645" t="s">
        <v>781</v>
      </c>
      <c r="AB4" s="3646" t="s">
        <v>782</v>
      </c>
      <c r="AC4" s="3645" t="s">
        <v>783</v>
      </c>
    </row>
    <row r="5" spans="1:29" ht="15">
      <c r="A5" s="492"/>
      <c r="B5" s="493"/>
      <c r="C5" s="3675" t="str">
        <f>面积表!A6</f>
        <v>A0102</v>
      </c>
      <c r="D5" s="3676"/>
      <c r="E5" s="3771" t="s">
        <v>3232</v>
      </c>
      <c r="F5" s="3676"/>
      <c r="G5" s="3771" t="s">
        <v>3241</v>
      </c>
      <c r="H5" s="3676"/>
      <c r="I5" s="3771" t="s">
        <v>3242</v>
      </c>
      <c r="J5" s="3676"/>
      <c r="K5" s="491"/>
      <c r="L5" s="1969"/>
      <c r="M5" s="1970"/>
      <c r="N5" s="1970"/>
      <c r="O5" s="1970"/>
      <c r="P5" s="3668"/>
      <c r="Q5" s="3669"/>
      <c r="R5" s="3652"/>
      <c r="S5" s="3653"/>
      <c r="T5" s="3652"/>
      <c r="U5" s="3653"/>
      <c r="V5" s="3672"/>
      <c r="W5" s="3672"/>
      <c r="X5" s="1457"/>
      <c r="Y5" s="3652"/>
      <c r="Z5" s="3653"/>
      <c r="AA5" s="3646"/>
      <c r="AB5" s="3646"/>
      <c r="AC5" s="3646"/>
    </row>
    <row r="6" spans="1:29" ht="15.75" thickBot="1">
      <c r="A6" s="494"/>
      <c r="B6" s="495"/>
      <c r="C6" s="3673" t="s">
        <v>3233</v>
      </c>
      <c r="D6" s="3674"/>
      <c r="E6" s="3673" t="s">
        <v>3233</v>
      </c>
      <c r="F6" s="3674"/>
      <c r="G6" s="3673" t="s">
        <v>3233</v>
      </c>
      <c r="H6" s="3674"/>
      <c r="I6" s="3673" t="s">
        <v>3233</v>
      </c>
      <c r="J6" s="3674"/>
      <c r="K6" s="491" t="s">
        <v>511</v>
      </c>
      <c r="L6" s="1969"/>
      <c r="M6" s="1970"/>
      <c r="N6" s="1970"/>
      <c r="O6" s="1970"/>
      <c r="P6" s="3670"/>
      <c r="Q6" s="3671"/>
      <c r="R6" s="3652"/>
      <c r="S6" s="3653"/>
      <c r="T6" s="3654"/>
      <c r="U6" s="3655"/>
      <c r="V6" s="3672"/>
      <c r="W6" s="3672"/>
      <c r="X6" s="1457"/>
      <c r="Y6" s="3654"/>
      <c r="Z6" s="3655"/>
      <c r="AA6" s="3647"/>
      <c r="AB6" s="3647"/>
      <c r="AC6" s="3647"/>
    </row>
    <row r="7" spans="1:29" s="1166" customFormat="1" ht="15.75" thickBot="1">
      <c r="A7" s="2551"/>
      <c r="B7" s="2558" t="s">
        <v>512</v>
      </c>
      <c r="C7" s="496">
        <f>'数据-取费表'!B2</f>
        <v>44701</v>
      </c>
      <c r="D7" s="497">
        <v>100</v>
      </c>
      <c r="E7" s="498">
        <v>44621</v>
      </c>
      <c r="F7" s="499">
        <f>SUMIF(48:48,YEAR(E7)&amp;"-"&amp;MONTH(E7),49:49)</f>
        <v>100</v>
      </c>
      <c r="G7" s="500">
        <v>44682</v>
      </c>
      <c r="H7" s="497">
        <f>SUMIF(48:48,YEAR(G7)&amp;"-"&amp;MONTH(G7),49:49)</f>
        <v>100</v>
      </c>
      <c r="I7" s="500">
        <v>44682</v>
      </c>
      <c r="J7" s="497">
        <f>SUMIF(48:48,YEAR(I7)&amp;"-"&amp;MONTH(I7),49:49)</f>
        <v>100</v>
      </c>
      <c r="K7" s="501"/>
      <c r="L7" s="1971"/>
      <c r="M7" s="1972"/>
      <c r="N7" s="1972"/>
      <c r="O7" s="1972"/>
      <c r="P7" s="3648" t="s">
        <v>513</v>
      </c>
      <c r="Q7" s="3657"/>
      <c r="R7" s="1458" t="s">
        <v>8</v>
      </c>
      <c r="S7" s="1459">
        <f t="shared" ref="S7:S14" si="0">F7</f>
        <v>100</v>
      </c>
      <c r="T7" s="1458" t="s">
        <v>8</v>
      </c>
      <c r="U7" s="1459">
        <f t="shared" ref="U7:U14" si="1">H7</f>
        <v>100</v>
      </c>
      <c r="V7" s="1458" t="s">
        <v>8</v>
      </c>
      <c r="W7" s="1459">
        <f t="shared" ref="W7:W14" si="2">J7</f>
        <v>100</v>
      </c>
      <c r="X7" s="1460"/>
      <c r="Y7" s="3648" t="s">
        <v>513</v>
      </c>
      <c r="Z7" s="3649"/>
      <c r="AA7" s="1461">
        <f>D7/F7</f>
        <v>1</v>
      </c>
      <c r="AB7" s="1461">
        <f>D7/H7</f>
        <v>1</v>
      </c>
      <c r="AC7" s="1461">
        <f>D7/J7</f>
        <v>1</v>
      </c>
    </row>
    <row r="8" spans="1:29" s="1166" customFormat="1" ht="15.75" thickBot="1">
      <c r="A8" s="2552"/>
      <c r="B8" s="2559" t="s">
        <v>514</v>
      </c>
      <c r="C8" s="502" t="s">
        <v>558</v>
      </c>
      <c r="D8" s="497">
        <v>100</v>
      </c>
      <c r="E8" s="502" t="s">
        <v>3234</v>
      </c>
      <c r="F8" s="499">
        <f>SUMIF(51:51,E8,52:52)-SUMIF(51:51,C8,52:52)+100</f>
        <v>100</v>
      </c>
      <c r="G8" s="502" t="s">
        <v>3234</v>
      </c>
      <c r="H8" s="497">
        <f>SUMIF(51:51,G8,52:52)-SUMIF(51:51,C8,52:52)+100</f>
        <v>100</v>
      </c>
      <c r="I8" s="502" t="s">
        <v>3234</v>
      </c>
      <c r="J8" s="497">
        <f>SUMIF(51:51,I8,52:52)-SUMIF(51:51,C8,52:52)+100</f>
        <v>100</v>
      </c>
      <c r="K8" s="501"/>
      <c r="L8" s="1971"/>
      <c r="M8" s="1972"/>
      <c r="N8" s="1972"/>
      <c r="O8" s="1972"/>
      <c r="P8" s="3648" t="s">
        <v>516</v>
      </c>
      <c r="Q8" s="3649"/>
      <c r="R8" s="1458" t="s">
        <v>8</v>
      </c>
      <c r="S8" s="1459">
        <f t="shared" si="0"/>
        <v>100</v>
      </c>
      <c r="T8" s="1458" t="s">
        <v>8</v>
      </c>
      <c r="U8" s="1459">
        <f t="shared" si="1"/>
        <v>100</v>
      </c>
      <c r="V8" s="1458" t="s">
        <v>8</v>
      </c>
      <c r="W8" s="1459">
        <f t="shared" si="2"/>
        <v>100</v>
      </c>
      <c r="X8" s="1460"/>
      <c r="Y8" s="3648" t="s">
        <v>516</v>
      </c>
      <c r="Z8" s="3649"/>
      <c r="AA8" s="1461">
        <f t="shared" ref="AA8:AA36" si="3">D8/F8</f>
        <v>1</v>
      </c>
      <c r="AB8" s="1461">
        <f t="shared" ref="AB8:AB36" si="4">D8/H8</f>
        <v>1</v>
      </c>
      <c r="AC8" s="1461">
        <f t="shared" ref="AC8:AC36" si="5">D8/J8</f>
        <v>1</v>
      </c>
    </row>
    <row r="9" spans="1:29" s="1166" customFormat="1" ht="15">
      <c r="A9" s="2553"/>
      <c r="B9" s="2560" t="s">
        <v>2473</v>
      </c>
      <c r="C9" s="3451" t="s">
        <v>3235</v>
      </c>
      <c r="D9" s="252">
        <v>100</v>
      </c>
      <c r="E9" s="832" t="s">
        <v>3218</v>
      </c>
      <c r="F9" s="252">
        <f>SUMIF(53:53,E9,54:54)-SUMIF(53:53,C9,54:54)+100</f>
        <v>100</v>
      </c>
      <c r="G9" s="832" t="s">
        <v>3218</v>
      </c>
      <c r="H9" s="252">
        <f>SUMIF(53:53,G9,54:54)-SUMIF(53:53,C9,54:54)+100</f>
        <v>100</v>
      </c>
      <c r="I9" s="832" t="s">
        <v>3218</v>
      </c>
      <c r="J9" s="252">
        <f>SUMIF(53:53,I9,54:54)-SUMIF(53:53,C9,54:54)+100</f>
        <v>100</v>
      </c>
      <c r="K9" s="501"/>
      <c r="L9" s="1971"/>
      <c r="M9" s="1972"/>
      <c r="N9" s="1972"/>
      <c r="O9" s="1973"/>
      <c r="P9" s="3656" t="s">
        <v>518</v>
      </c>
      <c r="Q9" s="1097" t="str">
        <f t="shared" ref="Q9:Q14" si="6">B9</f>
        <v>用途</v>
      </c>
      <c r="R9" s="1458" t="s">
        <v>8</v>
      </c>
      <c r="S9" s="1459">
        <f t="shared" si="0"/>
        <v>100</v>
      </c>
      <c r="T9" s="1458" t="s">
        <v>8</v>
      </c>
      <c r="U9" s="1459">
        <f t="shared" si="1"/>
        <v>100</v>
      </c>
      <c r="V9" s="1458" t="s">
        <v>8</v>
      </c>
      <c r="W9" s="1459">
        <f t="shared" si="2"/>
        <v>100</v>
      </c>
      <c r="X9" s="1460"/>
      <c r="Y9" s="3604" t="s">
        <v>519</v>
      </c>
      <c r="Z9" s="1096" t="str">
        <f t="shared" ref="Z9:Z14" si="7">Q9</f>
        <v>用途</v>
      </c>
      <c r="AA9" s="1461">
        <f t="shared" si="3"/>
        <v>1</v>
      </c>
      <c r="AB9" s="1461">
        <f t="shared" si="4"/>
        <v>1</v>
      </c>
      <c r="AC9" s="1461">
        <f t="shared" si="5"/>
        <v>1</v>
      </c>
    </row>
    <row r="10" spans="1:29" s="1247" customFormat="1" ht="27.75" thickBot="1">
      <c r="A10" s="2554"/>
      <c r="B10" s="2559" t="s">
        <v>2474</v>
      </c>
      <c r="C10" s="833" t="s">
        <v>3236</v>
      </c>
      <c r="D10" s="253">
        <v>100</v>
      </c>
      <c r="E10" s="833" t="s">
        <v>3236</v>
      </c>
      <c r="F10" s="253">
        <f>SUMIF(55:55,E10,56:56)-SUMIF(55:55,C10,56:56)+100</f>
        <v>100</v>
      </c>
      <c r="G10" s="833" t="s">
        <v>3236</v>
      </c>
      <c r="H10" s="253">
        <f>SUMIF(55:55,G10,56:56)-SUMIF(55:55,C10,56:56)+100</f>
        <v>100</v>
      </c>
      <c r="I10" s="833" t="s">
        <v>3236</v>
      </c>
      <c r="J10" s="253">
        <f>SUMIF(55:55,I10,56:56)-SUMIF(55:55,C10,56:56)+100</f>
        <v>100</v>
      </c>
      <c r="K10" s="561"/>
      <c r="L10" s="1974"/>
      <c r="M10" s="2013"/>
      <c r="N10" s="2013"/>
      <c r="O10" s="1975"/>
      <c r="P10" s="3656"/>
      <c r="Q10" s="1097" t="str">
        <f t="shared" si="6"/>
        <v>土地使用年限（年）</v>
      </c>
      <c r="R10" s="1458" t="s">
        <v>8</v>
      </c>
      <c r="S10" s="1459">
        <f t="shared" si="0"/>
        <v>100</v>
      </c>
      <c r="T10" s="1458" t="s">
        <v>8</v>
      </c>
      <c r="U10" s="1459">
        <f t="shared" si="1"/>
        <v>100</v>
      </c>
      <c r="V10" s="1458" t="s">
        <v>8</v>
      </c>
      <c r="W10" s="1459">
        <f t="shared" si="2"/>
        <v>100</v>
      </c>
      <c r="X10" s="1460"/>
      <c r="Y10" s="3604"/>
      <c r="Z10" s="1096" t="str">
        <f t="shared" si="7"/>
        <v>土地使用年限（年）</v>
      </c>
      <c r="AA10" s="1461">
        <f t="shared" si="3"/>
        <v>1</v>
      </c>
      <c r="AB10" s="1461">
        <f t="shared" si="4"/>
        <v>1</v>
      </c>
      <c r="AC10" s="1461">
        <f t="shared" si="5"/>
        <v>1</v>
      </c>
    </row>
    <row r="11" spans="1:29" ht="15" hidden="1">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56"/>
      <c r="Q11" s="1097">
        <f t="shared" si="6"/>
        <v>111</v>
      </c>
      <c r="R11" s="1458" t="s">
        <v>8</v>
      </c>
      <c r="S11" s="1459">
        <f t="shared" si="0"/>
        <v>100</v>
      </c>
      <c r="T11" s="1458" t="s">
        <v>8</v>
      </c>
      <c r="U11" s="1459">
        <f t="shared" si="1"/>
        <v>100</v>
      </c>
      <c r="V11" s="1458" t="s">
        <v>8</v>
      </c>
      <c r="W11" s="1459">
        <f t="shared" si="2"/>
        <v>100</v>
      </c>
      <c r="X11" s="1460"/>
      <c r="Y11" s="3604"/>
      <c r="Z11" s="1096">
        <f t="shared" si="7"/>
        <v>111</v>
      </c>
      <c r="AA11" s="1461">
        <f t="shared" si="3"/>
        <v>1</v>
      </c>
      <c r="AB11" s="1461">
        <f t="shared" si="4"/>
        <v>1</v>
      </c>
      <c r="AC11" s="1461">
        <f t="shared" si="5"/>
        <v>1</v>
      </c>
    </row>
    <row r="12" spans="1:29" s="1166" customFormat="1" ht="15" hidden="1">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56"/>
      <c r="Q12" s="1097">
        <f t="shared" si="6"/>
        <v>111</v>
      </c>
      <c r="R12" s="1458" t="s">
        <v>8</v>
      </c>
      <c r="S12" s="1459">
        <f t="shared" si="0"/>
        <v>100</v>
      </c>
      <c r="T12" s="1458" t="s">
        <v>8</v>
      </c>
      <c r="U12" s="1459">
        <f t="shared" si="1"/>
        <v>100</v>
      </c>
      <c r="V12" s="1458" t="s">
        <v>8</v>
      </c>
      <c r="W12" s="1459">
        <f t="shared" si="2"/>
        <v>100</v>
      </c>
      <c r="X12" s="1460"/>
      <c r="Y12" s="3604"/>
      <c r="Z12" s="1096">
        <f t="shared" si="7"/>
        <v>111</v>
      </c>
      <c r="AA12" s="1461">
        <f>D12/F12</f>
        <v>1</v>
      </c>
      <c r="AB12" s="1461">
        <f>D12/H12</f>
        <v>1</v>
      </c>
      <c r="AC12" s="1461">
        <f>D12/J12</f>
        <v>1</v>
      </c>
    </row>
    <row r="13" spans="1:29" ht="15.75" hidden="1"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56"/>
      <c r="Q13" s="1097">
        <f t="shared" si="6"/>
        <v>111</v>
      </c>
      <c r="R13" s="1458" t="s">
        <v>8</v>
      </c>
      <c r="S13" s="1459">
        <f t="shared" si="0"/>
        <v>100</v>
      </c>
      <c r="T13" s="1458" t="s">
        <v>8</v>
      </c>
      <c r="U13" s="1459">
        <f t="shared" si="1"/>
        <v>100</v>
      </c>
      <c r="V13" s="1458" t="s">
        <v>8</v>
      </c>
      <c r="W13" s="1459">
        <f t="shared" si="2"/>
        <v>100</v>
      </c>
      <c r="X13" s="1460"/>
      <c r="Y13" s="3604"/>
      <c r="Z13" s="1096">
        <f t="shared" si="7"/>
        <v>111</v>
      </c>
      <c r="AA13" s="1461">
        <f t="shared" si="3"/>
        <v>1</v>
      </c>
      <c r="AB13" s="1461">
        <f t="shared" si="4"/>
        <v>1</v>
      </c>
      <c r="AC13" s="1461">
        <f t="shared" si="5"/>
        <v>1</v>
      </c>
    </row>
    <row r="14" spans="1:29" ht="85.5">
      <c r="A14" s="2549" t="s">
        <v>2471</v>
      </c>
      <c r="B14" s="524" t="s">
        <v>526</v>
      </c>
      <c r="C14" s="892">
        <f>IF(B1="工业",估价对象房地状况!G4,估价对象房地状况!C6)</f>
        <v>0</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658" t="s">
        <v>523</v>
      </c>
      <c r="Q14" s="1462" t="str">
        <f t="shared" si="6"/>
        <v>交通便捷度</v>
      </c>
      <c r="R14" s="1463" t="s">
        <v>8</v>
      </c>
      <c r="S14" s="1464">
        <f t="shared" si="0"/>
        <v>100</v>
      </c>
      <c r="T14" s="1463" t="s">
        <v>8</v>
      </c>
      <c r="U14" s="1464">
        <f t="shared" si="1"/>
        <v>100</v>
      </c>
      <c r="V14" s="1463" t="s">
        <v>8</v>
      </c>
      <c r="W14" s="1464">
        <f t="shared" si="2"/>
        <v>100</v>
      </c>
      <c r="X14" s="1457"/>
      <c r="Y14" s="3658" t="s">
        <v>523</v>
      </c>
      <c r="Z14" s="1465" t="str">
        <f t="shared" si="7"/>
        <v>交通便捷度</v>
      </c>
      <c r="AA14" s="1466">
        <f t="shared" si="3"/>
        <v>1</v>
      </c>
      <c r="AB14" s="1466">
        <f t="shared" si="4"/>
        <v>1</v>
      </c>
      <c r="AC14" s="1466">
        <f t="shared" si="5"/>
        <v>1</v>
      </c>
    </row>
    <row r="15" spans="1:29" ht="15">
      <c r="A15" s="492"/>
      <c r="B15" s="895"/>
      <c r="C15" s="553" t="s">
        <v>3237</v>
      </c>
      <c r="D15" s="532"/>
      <c r="E15" s="553" t="s">
        <v>3237</v>
      </c>
      <c r="F15" s="534"/>
      <c r="G15" s="553" t="s">
        <v>3237</v>
      </c>
      <c r="H15" s="536"/>
      <c r="I15" s="553" t="s">
        <v>3237</v>
      </c>
      <c r="J15" s="532"/>
      <c r="K15" s="870"/>
      <c r="L15" s="1978"/>
      <c r="M15" s="1970"/>
      <c r="N15" s="1970"/>
      <c r="O15" s="1977"/>
      <c r="P15" s="3659"/>
      <c r="Q15" s="1462"/>
      <c r="R15" s="1463"/>
      <c r="S15" s="1464"/>
      <c r="T15" s="1463"/>
      <c r="U15" s="1464"/>
      <c r="V15" s="1463"/>
      <c r="W15" s="1464"/>
      <c r="X15" s="1457"/>
      <c r="Y15" s="3659"/>
      <c r="Z15" s="1465"/>
      <c r="AA15" s="1466">
        <v>1</v>
      </c>
      <c r="AB15" s="1466">
        <v>1</v>
      </c>
      <c r="AC15" s="1466">
        <v>1</v>
      </c>
    </row>
    <row r="16" spans="1:29" ht="42.75">
      <c r="A16" s="492"/>
      <c r="B16" s="2369" t="s">
        <v>2264</v>
      </c>
      <c r="C16" s="844">
        <f>IF(B1="工业",估价对象房地状况!G5,估价对象房地状况!C7)</f>
        <v>0</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659"/>
      <c r="Q16" s="1462" t="str">
        <f>B16</f>
        <v>公共配套设施</v>
      </c>
      <c r="R16" s="1463" t="s">
        <v>8</v>
      </c>
      <c r="S16" s="1464">
        <f>F16</f>
        <v>100</v>
      </c>
      <c r="T16" s="1463" t="s">
        <v>8</v>
      </c>
      <c r="U16" s="1464">
        <f>H16</f>
        <v>100</v>
      </c>
      <c r="V16" s="1463" t="s">
        <v>8</v>
      </c>
      <c r="W16" s="1464">
        <f>J16</f>
        <v>100</v>
      </c>
      <c r="X16" s="1457"/>
      <c r="Y16" s="3659"/>
      <c r="Z16" s="1465" t="str">
        <f>Q16</f>
        <v>公共配套设施</v>
      </c>
      <c r="AA16" s="1466">
        <f t="shared" si="3"/>
        <v>1</v>
      </c>
      <c r="AB16" s="1466">
        <f t="shared" si="4"/>
        <v>1</v>
      </c>
      <c r="AC16" s="1466">
        <f t="shared" si="5"/>
        <v>1</v>
      </c>
    </row>
    <row r="17" spans="1:29" ht="15">
      <c r="A17" s="492"/>
      <c r="B17" s="543"/>
      <c r="C17" s="845" t="s">
        <v>3237</v>
      </c>
      <c r="D17" s="532"/>
      <c r="E17" s="845" t="s">
        <v>3237</v>
      </c>
      <c r="F17" s="534"/>
      <c r="G17" s="845" t="s">
        <v>3237</v>
      </c>
      <c r="H17" s="532"/>
      <c r="I17" s="845" t="s">
        <v>3237</v>
      </c>
      <c r="J17" s="532"/>
      <c r="K17" s="870"/>
      <c r="L17" s="1978"/>
      <c r="M17" s="1970"/>
      <c r="N17" s="1970"/>
      <c r="O17" s="1977"/>
      <c r="P17" s="3659"/>
      <c r="Q17" s="1462"/>
      <c r="R17" s="1463"/>
      <c r="S17" s="1464"/>
      <c r="T17" s="1463"/>
      <c r="U17" s="1464"/>
      <c r="V17" s="1463"/>
      <c r="W17" s="1464"/>
      <c r="X17" s="1457"/>
      <c r="Y17" s="3659"/>
      <c r="Z17" s="1465"/>
      <c r="AA17" s="1466">
        <v>1</v>
      </c>
      <c r="AB17" s="1466">
        <v>1</v>
      </c>
      <c r="AC17" s="1466">
        <v>1</v>
      </c>
    </row>
    <row r="18" spans="1:29" ht="28.5">
      <c r="A18" s="492"/>
      <c r="B18" s="2357" t="s">
        <v>2276</v>
      </c>
      <c r="C18" s="844">
        <f>IF(B1="工业",估价对象房地状况!G6,估价对象房地状况!C8)</f>
        <v>0</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659"/>
      <c r="Q18" s="2351" t="str">
        <f>B18</f>
        <v>基础设施水平</v>
      </c>
      <c r="R18" s="1463" t="s">
        <v>8</v>
      </c>
      <c r="S18" s="1464">
        <f>F18</f>
        <v>100</v>
      </c>
      <c r="T18" s="1463" t="s">
        <v>8</v>
      </c>
      <c r="U18" s="1464">
        <f>H18</f>
        <v>100</v>
      </c>
      <c r="V18" s="1463" t="s">
        <v>8</v>
      </c>
      <c r="W18" s="1464">
        <f>J18</f>
        <v>100</v>
      </c>
      <c r="X18" s="2353"/>
      <c r="Y18" s="3659"/>
      <c r="Z18" s="2352" t="str">
        <f>Q18</f>
        <v>基础设施水平</v>
      </c>
      <c r="AA18" s="1466">
        <f t="shared" ref="AA18" si="8">D18/F18</f>
        <v>1</v>
      </c>
      <c r="AB18" s="1466">
        <f t="shared" ref="AB18" si="9">D18/H18</f>
        <v>1</v>
      </c>
      <c r="AC18" s="1466">
        <f t="shared" ref="AC18" si="10">D18/J18</f>
        <v>1</v>
      </c>
    </row>
    <row r="19" spans="1:29" ht="15">
      <c r="A19" s="492"/>
      <c r="B19" s="555"/>
      <c r="C19" s="845" t="s">
        <v>3238</v>
      </c>
      <c r="D19" s="536"/>
      <c r="E19" s="845" t="s">
        <v>3238</v>
      </c>
      <c r="F19" s="534"/>
      <c r="G19" s="845" t="s">
        <v>3238</v>
      </c>
      <c r="H19" s="532"/>
      <c r="I19" s="845" t="s">
        <v>3238</v>
      </c>
      <c r="J19" s="532"/>
      <c r="K19" s="2368"/>
      <c r="L19" s="1978"/>
      <c r="M19" s="1970"/>
      <c r="N19" s="1970"/>
      <c r="O19" s="1977"/>
      <c r="P19" s="3659"/>
      <c r="Q19" s="2351"/>
      <c r="R19" s="1463"/>
      <c r="S19" s="1464"/>
      <c r="T19" s="1463"/>
      <c r="U19" s="1464"/>
      <c r="V19" s="1463"/>
      <c r="W19" s="1464"/>
      <c r="X19" s="2353"/>
      <c r="Y19" s="3659"/>
      <c r="Z19" s="2352"/>
      <c r="AA19" s="1466">
        <v>1</v>
      </c>
      <c r="AB19" s="1466">
        <v>1</v>
      </c>
      <c r="AC19" s="1466">
        <v>1</v>
      </c>
    </row>
    <row r="20" spans="1:29" ht="57">
      <c r="A20" s="492"/>
      <c r="B20" s="537" t="s">
        <v>786</v>
      </c>
      <c r="C20" s="844">
        <f>IF(B1="工业",估价对象房地状况!G7,估价对象房地状况!C9)</f>
        <v>0</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659"/>
      <c r="Q20" s="1462" t="str">
        <f>B20</f>
        <v>自然及人文环境</v>
      </c>
      <c r="R20" s="1463" t="s">
        <v>8</v>
      </c>
      <c r="S20" s="1464">
        <f>F20</f>
        <v>100</v>
      </c>
      <c r="T20" s="1463" t="s">
        <v>8</v>
      </c>
      <c r="U20" s="1464">
        <f>H20</f>
        <v>100</v>
      </c>
      <c r="V20" s="1463" t="s">
        <v>8</v>
      </c>
      <c r="W20" s="1464">
        <f>J20</f>
        <v>100</v>
      </c>
      <c r="X20" s="1457"/>
      <c r="Y20" s="3659"/>
      <c r="Z20" s="1465" t="str">
        <f>Q20</f>
        <v>自然及人文环境</v>
      </c>
      <c r="AA20" s="1466">
        <f t="shared" si="3"/>
        <v>1</v>
      </c>
      <c r="AB20" s="1466">
        <f t="shared" si="4"/>
        <v>1</v>
      </c>
      <c r="AC20" s="1466">
        <f t="shared" si="5"/>
        <v>1</v>
      </c>
    </row>
    <row r="21" spans="1:29" ht="15">
      <c r="A21" s="492"/>
      <c r="B21" s="543"/>
      <c r="C21" s="553" t="s">
        <v>3237</v>
      </c>
      <c r="D21" s="532"/>
      <c r="E21" s="553" t="s">
        <v>3237</v>
      </c>
      <c r="F21" s="534"/>
      <c r="G21" s="553" t="s">
        <v>3237</v>
      </c>
      <c r="H21" s="532"/>
      <c r="I21" s="553" t="s">
        <v>3237</v>
      </c>
      <c r="J21" s="532"/>
      <c r="K21" s="870"/>
      <c r="L21" s="1978"/>
      <c r="M21" s="1970"/>
      <c r="N21" s="1970"/>
      <c r="O21" s="1977"/>
      <c r="P21" s="3659"/>
      <c r="Q21" s="1462"/>
      <c r="R21" s="1463"/>
      <c r="S21" s="1464"/>
      <c r="T21" s="1463"/>
      <c r="U21" s="1464"/>
      <c r="V21" s="1463"/>
      <c r="W21" s="1464"/>
      <c r="X21" s="1457"/>
      <c r="Y21" s="3659"/>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59"/>
      <c r="Q22" s="1462" t="str">
        <f>B22</f>
        <v>楼层</v>
      </c>
      <c r="R22" s="1463" t="s">
        <v>8</v>
      </c>
      <c r="S22" s="1464">
        <f>F22</f>
        <v>100</v>
      </c>
      <c r="T22" s="1463" t="s">
        <v>8</v>
      </c>
      <c r="U22" s="1464">
        <f>H22</f>
        <v>100</v>
      </c>
      <c r="V22" s="1463" t="s">
        <v>8</v>
      </c>
      <c r="W22" s="1464">
        <f>J22</f>
        <v>100</v>
      </c>
      <c r="X22" s="1457"/>
      <c r="Y22" s="3659"/>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59"/>
      <c r="Q23" s="1462">
        <f>B23</f>
        <v>111</v>
      </c>
      <c r="R23" s="1463" t="s">
        <v>8</v>
      </c>
      <c r="S23" s="1464">
        <f>F23</f>
        <v>100</v>
      </c>
      <c r="T23" s="1463" t="s">
        <v>8</v>
      </c>
      <c r="U23" s="1464">
        <f>H23</f>
        <v>100</v>
      </c>
      <c r="V23" s="1463" t="s">
        <v>8</v>
      </c>
      <c r="W23" s="1464">
        <f>J23</f>
        <v>100</v>
      </c>
      <c r="X23" s="1457"/>
      <c r="Y23" s="3659"/>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59"/>
      <c r="Q24" s="1462">
        <f t="shared" ref="Q24:Q36" si="11">B24</f>
        <v>111</v>
      </c>
      <c r="R24" s="1463" t="s">
        <v>8</v>
      </c>
      <c r="S24" s="1464">
        <f>F24</f>
        <v>100</v>
      </c>
      <c r="T24" s="1463" t="s">
        <v>8</v>
      </c>
      <c r="U24" s="1464">
        <f>H24</f>
        <v>100</v>
      </c>
      <c r="V24" s="1463" t="s">
        <v>8</v>
      </c>
      <c r="W24" s="1464">
        <f>J24</f>
        <v>100</v>
      </c>
      <c r="X24" s="1457"/>
      <c r="Y24" s="3659"/>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659"/>
      <c r="Q25" s="1097">
        <f t="shared" si="11"/>
        <v>111</v>
      </c>
      <c r="R25" s="1458" t="s">
        <v>8</v>
      </c>
      <c r="S25" s="1459">
        <f>F25</f>
        <v>100</v>
      </c>
      <c r="T25" s="1458" t="s">
        <v>8</v>
      </c>
      <c r="U25" s="1459">
        <f>H25</f>
        <v>100</v>
      </c>
      <c r="V25" s="1458" t="s">
        <v>8</v>
      </c>
      <c r="W25" s="1459">
        <f>J25</f>
        <v>100</v>
      </c>
      <c r="X25" s="1460"/>
      <c r="Y25" s="3659"/>
      <c r="Z25" s="1096">
        <f>Q25</f>
        <v>111</v>
      </c>
      <c r="AA25" s="1466">
        <f>D25/F25</f>
        <v>1</v>
      </c>
      <c r="AB25" s="1466">
        <f>D25/H25</f>
        <v>1</v>
      </c>
      <c r="AC25" s="1466">
        <f>D25/J25</f>
        <v>1</v>
      </c>
    </row>
    <row r="26" spans="1:29" ht="15">
      <c r="A26" s="2546" t="s">
        <v>2472</v>
      </c>
      <c r="B26" s="168" t="s">
        <v>788</v>
      </c>
      <c r="C26" s="899" t="str">
        <f>B1</f>
        <v>住宅</v>
      </c>
      <c r="D26" s="532">
        <v>100</v>
      </c>
      <c r="E26" s="553" t="s">
        <v>902</v>
      </c>
      <c r="F26" s="534">
        <f>SUMIF(79:79,E26,80:80)-SUMIF(79:79,C26,80:80)+100</f>
        <v>100</v>
      </c>
      <c r="G26" s="553" t="s">
        <v>902</v>
      </c>
      <c r="H26" s="532">
        <f>SUMIF(79:79,G26,80:80)-SUMIF(79:79,C26,80:80)+100</f>
        <v>100</v>
      </c>
      <c r="I26" s="553" t="s">
        <v>902</v>
      </c>
      <c r="J26" s="532">
        <f>SUMIF(79:79,I26,80:80)-SUMIF(79:79,C26,80:80)+100</f>
        <v>100</v>
      </c>
      <c r="K26" s="561"/>
      <c r="L26" s="1978"/>
      <c r="M26" s="1970"/>
      <c r="N26" s="1970"/>
      <c r="O26" s="1977"/>
      <c r="P26" s="3660"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61"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661"/>
      <c r="Q27" s="1491" t="str">
        <f t="shared" si="11"/>
        <v>项目停车位配比</v>
      </c>
      <c r="R27" s="1467" t="s">
        <v>8</v>
      </c>
      <c r="S27" s="1468">
        <f t="shared" si="12"/>
        <v>100</v>
      </c>
      <c r="T27" s="1467" t="s">
        <v>8</v>
      </c>
      <c r="U27" s="1468">
        <f t="shared" si="13"/>
        <v>100</v>
      </c>
      <c r="V27" s="1467" t="s">
        <v>8</v>
      </c>
      <c r="W27" s="1468">
        <f t="shared" si="14"/>
        <v>100</v>
      </c>
      <c r="X27" s="1469"/>
      <c r="Y27" s="3661"/>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61"/>
      <c r="Q28" s="1462" t="str">
        <f t="shared" si="11"/>
        <v>公共部分装修</v>
      </c>
      <c r="R28" s="1463" t="s">
        <v>8</v>
      </c>
      <c r="S28" s="1464">
        <f t="shared" si="12"/>
        <v>100</v>
      </c>
      <c r="T28" s="1463" t="s">
        <v>8</v>
      </c>
      <c r="U28" s="1464">
        <f t="shared" si="13"/>
        <v>100</v>
      </c>
      <c r="V28" s="1463" t="s">
        <v>8</v>
      </c>
      <c r="W28" s="1464">
        <f t="shared" si="14"/>
        <v>100</v>
      </c>
      <c r="X28" s="1457"/>
      <c r="Y28" s="3661"/>
      <c r="Z28" s="1465" t="str">
        <f t="shared" si="15"/>
        <v>公共部分装修</v>
      </c>
      <c r="AA28" s="1466">
        <f t="shared" si="3"/>
        <v>1</v>
      </c>
      <c r="AB28" s="1466">
        <f t="shared" si="4"/>
        <v>1</v>
      </c>
      <c r="AC28" s="1466">
        <f t="shared" si="5"/>
        <v>1</v>
      </c>
    </row>
    <row r="29" spans="1:29" ht="15">
      <c r="A29" s="902"/>
      <c r="B29" s="559" t="s">
        <v>791</v>
      </c>
      <c r="C29" s="854">
        <v>1</v>
      </c>
      <c r="D29" s="517">
        <v>100</v>
      </c>
      <c r="E29" s="854">
        <f>C29</f>
        <v>1</v>
      </c>
      <c r="F29" s="552">
        <f>LOOKUP(E29,86:86,87:87)-LOOKUP(C29,86:86,87:87)+100</f>
        <v>100</v>
      </c>
      <c r="G29" s="854">
        <f>C29</f>
        <v>1</v>
      </c>
      <c r="H29" s="552">
        <f>LOOKUP(G29,86:86,87:87)-LOOKUP(C29,86:86,87:87)+100</f>
        <v>100</v>
      </c>
      <c r="I29" s="854">
        <f>C29</f>
        <v>1</v>
      </c>
      <c r="J29" s="517">
        <f>LOOKUP(I29,86:86,87:87)-LOOKUP(C29,86:86,87:87)+100</f>
        <v>100</v>
      </c>
      <c r="K29" s="561"/>
      <c r="L29" s="1978"/>
      <c r="M29" s="1970"/>
      <c r="N29" s="1970"/>
      <c r="O29" s="1977"/>
      <c r="P29" s="3661"/>
      <c r="Q29" s="1462" t="str">
        <f t="shared" si="11"/>
        <v>成新率</v>
      </c>
      <c r="R29" s="1463" t="s">
        <v>8</v>
      </c>
      <c r="S29" s="1464">
        <f t="shared" si="12"/>
        <v>100</v>
      </c>
      <c r="T29" s="1463" t="s">
        <v>8</v>
      </c>
      <c r="U29" s="1464">
        <f t="shared" si="13"/>
        <v>100</v>
      </c>
      <c r="V29" s="1463" t="s">
        <v>8</v>
      </c>
      <c r="W29" s="1464">
        <f t="shared" si="14"/>
        <v>100</v>
      </c>
      <c r="X29" s="1457"/>
      <c r="Y29" s="3661"/>
      <c r="Z29" s="1465" t="str">
        <f t="shared" si="15"/>
        <v>成新率</v>
      </c>
      <c r="AA29" s="1466">
        <f t="shared" si="3"/>
        <v>1</v>
      </c>
      <c r="AB29" s="1466">
        <f t="shared" si="4"/>
        <v>1</v>
      </c>
      <c r="AC29" s="1466">
        <f t="shared" si="5"/>
        <v>1</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661"/>
      <c r="Q30" s="1462" t="str">
        <f t="shared" si="11"/>
        <v>物业等级</v>
      </c>
      <c r="R30" s="1463" t="s">
        <v>8</v>
      </c>
      <c r="S30" s="1464">
        <f t="shared" si="12"/>
        <v>100</v>
      </c>
      <c r="T30" s="1463" t="s">
        <v>8</v>
      </c>
      <c r="U30" s="1464">
        <f t="shared" si="13"/>
        <v>100</v>
      </c>
      <c r="V30" s="1463" t="s">
        <v>8</v>
      </c>
      <c r="W30" s="1464">
        <f t="shared" si="14"/>
        <v>100</v>
      </c>
      <c r="X30" s="1457"/>
      <c r="Y30" s="3661"/>
      <c r="Z30" s="1465" t="str">
        <f t="shared" si="15"/>
        <v>物业等级</v>
      </c>
      <c r="AA30" s="1466">
        <f t="shared" si="3"/>
        <v>1</v>
      </c>
      <c r="AB30" s="1466">
        <f t="shared" si="4"/>
        <v>1</v>
      </c>
      <c r="AC30" s="1466">
        <f t="shared" si="5"/>
        <v>1</v>
      </c>
    </row>
    <row r="31" spans="1:29" s="1166" customFormat="1" ht="15">
      <c r="A31" s="904"/>
      <c r="B31" s="559" t="s">
        <v>793</v>
      </c>
      <c r="C31" s="851">
        <v>35</v>
      </c>
      <c r="D31" s="253">
        <v>100</v>
      </c>
      <c r="E31" s="851">
        <v>39.6</v>
      </c>
      <c r="F31" s="552">
        <f>LOOKUP(E31,91:91,92:92)-LOOKUP(C31,91:91,92:92)+100</f>
        <v>100</v>
      </c>
      <c r="G31" s="851">
        <v>25.8</v>
      </c>
      <c r="H31" s="517">
        <f>LOOKUP(G31,91:91,92:92)-LOOKUP(C31,91:91,92:92)+100</f>
        <v>99</v>
      </c>
      <c r="I31" s="851">
        <v>25.6</v>
      </c>
      <c r="J31" s="517">
        <f>LOOKUP(I31,91:91,92:92)-LOOKUP(C31,91:91,92:92)+100</f>
        <v>99</v>
      </c>
      <c r="K31" s="561"/>
      <c r="L31" s="1971"/>
      <c r="M31" s="1972"/>
      <c r="N31" s="1972"/>
      <c r="O31" s="1973"/>
      <c r="P31" s="3661"/>
      <c r="Q31" s="1097" t="str">
        <f t="shared" si="11"/>
        <v>停车位面积</v>
      </c>
      <c r="R31" s="1458" t="s">
        <v>8</v>
      </c>
      <c r="S31" s="1459">
        <f t="shared" si="12"/>
        <v>100</v>
      </c>
      <c r="T31" s="1458" t="s">
        <v>8</v>
      </c>
      <c r="U31" s="1459">
        <f t="shared" si="13"/>
        <v>99</v>
      </c>
      <c r="V31" s="1458" t="s">
        <v>8</v>
      </c>
      <c r="W31" s="1459">
        <f t="shared" si="14"/>
        <v>99</v>
      </c>
      <c r="X31" s="1460"/>
      <c r="Y31" s="3661"/>
      <c r="Z31" s="1096" t="str">
        <f t="shared" si="15"/>
        <v>停车位面积</v>
      </c>
      <c r="AA31" s="1461">
        <f t="shared" si="3"/>
        <v>1</v>
      </c>
      <c r="AB31" s="1461">
        <f t="shared" si="4"/>
        <v>1.0101010101010102</v>
      </c>
      <c r="AC31" s="1461">
        <f t="shared" si="5"/>
        <v>1.0101010101010102</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61" t="s">
        <v>533</v>
      </c>
      <c r="Q32" s="1462" t="str">
        <f t="shared" si="11"/>
        <v>车位类型</v>
      </c>
      <c r="R32" s="1463" t="s">
        <v>8</v>
      </c>
      <c r="S32" s="1464">
        <f t="shared" si="12"/>
        <v>100</v>
      </c>
      <c r="T32" s="1463" t="s">
        <v>8</v>
      </c>
      <c r="U32" s="1464">
        <f t="shared" si="13"/>
        <v>100</v>
      </c>
      <c r="V32" s="1463" t="s">
        <v>8</v>
      </c>
      <c r="W32" s="1464">
        <f t="shared" si="14"/>
        <v>100</v>
      </c>
      <c r="X32" s="1457"/>
      <c r="Y32" s="3661"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61"/>
      <c r="Q33" s="1462" t="str">
        <f t="shared" si="11"/>
        <v>是否直接入户</v>
      </c>
      <c r="R33" s="1463" t="s">
        <v>8</v>
      </c>
      <c r="S33" s="1464">
        <f t="shared" si="12"/>
        <v>100</v>
      </c>
      <c r="T33" s="1463" t="s">
        <v>8</v>
      </c>
      <c r="U33" s="1464">
        <f t="shared" si="13"/>
        <v>100</v>
      </c>
      <c r="V33" s="1463" t="s">
        <v>8</v>
      </c>
      <c r="W33" s="1464">
        <f t="shared" si="14"/>
        <v>100</v>
      </c>
      <c r="X33" s="1457"/>
      <c r="Y33" s="3661"/>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61"/>
      <c r="Q34" s="1462">
        <f t="shared" si="11"/>
        <v>111</v>
      </c>
      <c r="R34" s="1463" t="s">
        <v>8</v>
      </c>
      <c r="S34" s="1464">
        <f t="shared" si="12"/>
        <v>100</v>
      </c>
      <c r="T34" s="1463" t="s">
        <v>8</v>
      </c>
      <c r="U34" s="1464">
        <f t="shared" si="13"/>
        <v>100</v>
      </c>
      <c r="V34" s="1463" t="s">
        <v>8</v>
      </c>
      <c r="W34" s="1464">
        <f t="shared" si="14"/>
        <v>100</v>
      </c>
      <c r="X34" s="1457"/>
      <c r="Y34" s="3661"/>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61"/>
      <c r="Q35" s="1491">
        <f t="shared" si="11"/>
        <v>111</v>
      </c>
      <c r="R35" s="1467" t="s">
        <v>8</v>
      </c>
      <c r="S35" s="1468">
        <f t="shared" si="12"/>
        <v>100</v>
      </c>
      <c r="T35" s="1467" t="s">
        <v>8</v>
      </c>
      <c r="U35" s="1468">
        <f t="shared" si="13"/>
        <v>100</v>
      </c>
      <c r="V35" s="1467" t="s">
        <v>8</v>
      </c>
      <c r="W35" s="1468">
        <f t="shared" si="14"/>
        <v>100</v>
      </c>
      <c r="X35" s="1469"/>
      <c r="Y35" s="3661"/>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61"/>
      <c r="Q36" s="1462">
        <f t="shared" si="11"/>
        <v>111</v>
      </c>
      <c r="R36" s="1463" t="s">
        <v>8</v>
      </c>
      <c r="S36" s="1464">
        <f t="shared" si="12"/>
        <v>100</v>
      </c>
      <c r="T36" s="1463" t="s">
        <v>8</v>
      </c>
      <c r="U36" s="1464">
        <f t="shared" si="13"/>
        <v>100</v>
      </c>
      <c r="V36" s="1463" t="s">
        <v>8</v>
      </c>
      <c r="W36" s="1464">
        <f t="shared" si="14"/>
        <v>100</v>
      </c>
      <c r="X36" s="1457"/>
      <c r="Y36" s="3661"/>
      <c r="Z36" s="1465">
        <f t="shared" si="15"/>
        <v>111</v>
      </c>
      <c r="AA36" s="1466">
        <f t="shared" si="3"/>
        <v>1</v>
      </c>
      <c r="AB36" s="1466">
        <f t="shared" si="4"/>
        <v>1</v>
      </c>
      <c r="AC36" s="1466">
        <f t="shared" si="5"/>
        <v>1</v>
      </c>
    </row>
    <row r="37" spans="1:29" ht="15">
      <c r="A37" s="1715" t="s">
        <v>1869</v>
      </c>
      <c r="B37" s="1716" t="s">
        <v>3240</v>
      </c>
      <c r="C37" s="2392" t="s">
        <v>1</v>
      </c>
      <c r="D37" s="2393"/>
      <c r="E37" s="2394">
        <v>150000</v>
      </c>
      <c r="F37" s="2395"/>
      <c r="G37" s="2396">
        <v>178125</v>
      </c>
      <c r="H37" s="2397"/>
      <c r="I37" s="2394">
        <v>179988</v>
      </c>
      <c r="J37" s="2397"/>
      <c r="K37" s="1496"/>
      <c r="L37" s="1980"/>
      <c r="M37" s="1981"/>
      <c r="N37" s="1970"/>
      <c r="O37" s="1981"/>
      <c r="P37" s="3656" t="str">
        <f>A37</f>
        <v>成交单价</v>
      </c>
      <c r="Q37" s="3656"/>
      <c r="R37" s="3774">
        <f>E37</f>
        <v>150000</v>
      </c>
      <c r="S37" s="3774"/>
      <c r="T37" s="3774">
        <f>G37</f>
        <v>178125</v>
      </c>
      <c r="U37" s="3774"/>
      <c r="V37" s="3774">
        <f>I37</f>
        <v>179988</v>
      </c>
      <c r="W37" s="3774"/>
      <c r="X37" s="1452"/>
      <c r="Y37" s="1471"/>
      <c r="Z37" s="1452"/>
      <c r="AA37" s="1452"/>
      <c r="AB37" s="1452"/>
      <c r="AC37" s="1452"/>
    </row>
    <row r="38" spans="1:29" ht="15.75" thickBot="1">
      <c r="A38" s="592" t="s">
        <v>2477</v>
      </c>
      <c r="B38" s="859"/>
      <c r="C38" s="2398">
        <f>R39</f>
        <v>170577</v>
      </c>
      <c r="D38" s="2922" t="s">
        <v>2697</v>
      </c>
      <c r="E38" s="2399">
        <f>R38</f>
        <v>150000</v>
      </c>
      <c r="F38" s="2923"/>
      <c r="G38" s="2398">
        <f>T38</f>
        <v>179924</v>
      </c>
      <c r="H38" s="2923"/>
      <c r="I38" s="2399">
        <f>V38</f>
        <v>181806</v>
      </c>
      <c r="J38" s="2923"/>
      <c r="K38" s="2931">
        <f>F38+H38+J38</f>
        <v>0</v>
      </c>
      <c r="L38" s="1980"/>
      <c r="M38" s="1981"/>
      <c r="N38" s="1981"/>
      <c r="O38" s="1981"/>
      <c r="P38" s="3656" t="str">
        <f>A38</f>
        <v>比较价格（元/平方米）</v>
      </c>
      <c r="Q38" s="3656"/>
      <c r="R38" s="3774">
        <f>IF(F1="售价",ROUND(PRODUCT(R37,AA7:AA36),0),ROUND(PRODUCT(R37,AA7:AA36),1))</f>
        <v>150000</v>
      </c>
      <c r="S38" s="3774"/>
      <c r="T38" s="3774">
        <f>IF(F1="售价",ROUND(PRODUCT(T37,AB7:AB36),0),ROUND(PRODUCT(T37,AB7:AB36),1))</f>
        <v>179924</v>
      </c>
      <c r="U38" s="3774"/>
      <c r="V38" s="3774">
        <f>IF(F1="售价",ROUND(PRODUCT(V37,AC7:AC36),0),ROUND(PRODUCT(V37,AC7:AC36),1))</f>
        <v>181806</v>
      </c>
      <c r="W38" s="3774"/>
      <c r="X38" s="1452"/>
      <c r="Y38" s="1452"/>
      <c r="Z38" s="1452"/>
      <c r="AA38" s="1452"/>
      <c r="AB38" s="1452"/>
      <c r="AC38" s="1452"/>
    </row>
    <row r="39" spans="1:29" ht="15.75" thickBot="1">
      <c r="A39" s="596" t="s">
        <v>2632</v>
      </c>
      <c r="B39" s="597"/>
      <c r="C39" s="2400">
        <f>R39</f>
        <v>170577</v>
      </c>
      <c r="D39" s="2400"/>
      <c r="E39" s="2400"/>
      <c r="F39" s="2400"/>
      <c r="G39" s="2400"/>
      <c r="H39" s="2400"/>
      <c r="I39" s="2400"/>
      <c r="J39" s="2400"/>
      <c r="K39" s="1497"/>
      <c r="L39" s="1980"/>
      <c r="M39" s="1981"/>
      <c r="N39" s="1981"/>
      <c r="O39" s="1981"/>
      <c r="P39" s="3662" t="str">
        <f>A39</f>
        <v>估价对象XX用房的比较价格（楼面单价，元/平方米）</v>
      </c>
      <c r="Q39" s="3663"/>
      <c r="R39" s="3773">
        <f>IF(F1="售价",ROUND(IF(D38="简单平均",AVERAGE(R38:W38),R38*F38+T38*H38+V38*J38),0),ROUND(IF(D38="简单平均",AVERAGE(R38:V38),R38*F38+T38*H38+V38*J38),1))</f>
        <v>170577</v>
      </c>
      <c r="S39" s="3773"/>
      <c r="T39" s="3773"/>
      <c r="U39" s="3773"/>
      <c r="V39" s="3773"/>
      <c r="W39" s="3773"/>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f>IF(E37&lt;E38,E38/E37-1,E37/E38-1)</f>
        <v>0</v>
      </c>
      <c r="F42" s="602" t="str">
        <f>IF(OR(E42&gt;=0.3,E42&lt;=-0.3),"超过30%","")</f>
        <v/>
      </c>
      <c r="G42" s="601">
        <f>IF(G37&lt;G38,G38/G37-1,G37/G38-1)</f>
        <v>1.009964912280692E-2</v>
      </c>
      <c r="H42" s="602" t="str">
        <f>IF(OR(G42&gt;=0.3,G42&lt;=-0.3),"超过30%","")</f>
        <v/>
      </c>
      <c r="I42" s="601">
        <f>IF(I37&lt;I38,I38/I37-1,I37/I38-1)</f>
        <v>1.0100673378225178E-2</v>
      </c>
      <c r="J42" s="602" t="str">
        <f>IF(OR(I42&gt;=0.3,I42&lt;=-0.3),"超过30%","")</f>
        <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f>IF(E38&lt;G38,G38/E38-1,E38/G38-1)</f>
        <v>0.1994933333333333</v>
      </c>
      <c r="F43" s="602" t="str">
        <f>IF(OR(E43&gt;=0.2,E43&lt;=-0.2),"超过20%","")</f>
        <v/>
      </c>
      <c r="G43" s="601">
        <f>IF(G38&lt;I38,I38/G38-1,G38/I38-1)</f>
        <v>1.0459971988172834E-2</v>
      </c>
      <c r="H43" s="602" t="str">
        <f>IF(OR(G43&gt;=0.2,G43&lt;=-0.2),"超过20%","")</f>
        <v/>
      </c>
      <c r="I43" s="601">
        <f>IF(I38&lt;E38,E38/I38-1,I38/E38-1)</f>
        <v>0.21204000000000001</v>
      </c>
      <c r="J43" s="602" t="str">
        <f>IF(OR(I43&gt;=0.2,I43&lt;=-0.2),"超过20%","")</f>
        <v>超过20%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f>IF(E37&lt;G37,G37/E37-1,E37/G37-1)</f>
        <v>0.1875</v>
      </c>
      <c r="F44" s="602" t="str">
        <f>IF(OR(E44&gt;=0.3,E44&lt;=-0.3),"超过30%","")</f>
        <v/>
      </c>
      <c r="G44" s="601">
        <f>IF(G37&lt;I37,I37/G37-1,G37/I37-1)</f>
        <v>1.0458947368421123E-2</v>
      </c>
      <c r="H44" s="602" t="str">
        <f>IF(OR(G44&gt;=0.3,G44&lt;=-0.3),"超过30%","")</f>
        <v/>
      </c>
      <c r="I44" s="601">
        <f>IF(I37&lt;E37,E37/I37-1,I37/E37-1)</f>
        <v>0.1999200000000001</v>
      </c>
      <c r="J44" s="602" t="str">
        <f>IF(OR(I44&gt;=0.3,I44&lt;=-0.3),"超过30%","")</f>
        <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2022-5</v>
      </c>
      <c r="D48" s="2443">
        <f>EDATE(C48,-1)</f>
        <v>44652</v>
      </c>
      <c r="E48" s="2443">
        <f t="shared" ref="E48:O48" si="16">EDATE(D48,-1)</f>
        <v>44621</v>
      </c>
      <c r="F48" s="2443">
        <f t="shared" si="16"/>
        <v>44593</v>
      </c>
      <c r="G48" s="2443">
        <f t="shared" si="16"/>
        <v>44562</v>
      </c>
      <c r="H48" s="2443">
        <f t="shared" si="16"/>
        <v>44531</v>
      </c>
      <c r="I48" s="2443">
        <f t="shared" si="16"/>
        <v>44501</v>
      </c>
      <c r="J48" s="2443">
        <f t="shared" si="16"/>
        <v>44470</v>
      </c>
      <c r="K48" s="2443">
        <f t="shared" si="16"/>
        <v>44440</v>
      </c>
      <c r="L48" s="2443">
        <f t="shared" si="16"/>
        <v>44409</v>
      </c>
      <c r="M48" s="2443">
        <f t="shared" si="16"/>
        <v>44378</v>
      </c>
      <c r="N48" s="2443">
        <f t="shared" si="16"/>
        <v>44348</v>
      </c>
      <c r="O48" s="2443">
        <f t="shared" si="16"/>
        <v>44317</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v>100</v>
      </c>
      <c r="E49" s="625">
        <v>100</v>
      </c>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t="str">
        <f>C9</f>
        <v>车库</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3452" t="s">
        <v>3239</v>
      </c>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t="str">
        <f>C26</f>
        <v>住宅</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0(含)-30</v>
      </c>
      <c r="D90" s="683" t="str">
        <f t="shared" ref="D90:L90" si="21">D91&amp;"(含)"&amp;"-"&amp;E91</f>
        <v>30(含)-40</v>
      </c>
      <c r="E90" s="683" t="str">
        <f t="shared" si="21"/>
        <v>40(含)-50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v>0</v>
      </c>
      <c r="D91" s="705">
        <v>30</v>
      </c>
      <c r="E91" s="705">
        <v>40</v>
      </c>
      <c r="F91" s="705">
        <v>50</v>
      </c>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v>100</v>
      </c>
      <c r="D92" s="646">
        <v>101</v>
      </c>
      <c r="E92" s="646">
        <v>102</v>
      </c>
      <c r="F92" s="646">
        <v>103</v>
      </c>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64" t="s">
        <v>780</v>
      </c>
      <c r="D4" s="3665"/>
      <c r="E4" s="3686" t="s">
        <v>781</v>
      </c>
      <c r="F4" s="3687"/>
      <c r="G4" s="3664" t="s">
        <v>782</v>
      </c>
      <c r="H4" s="3665"/>
      <c r="I4" s="3664" t="s">
        <v>783</v>
      </c>
      <c r="J4" s="3665"/>
      <c r="K4" s="491" t="s">
        <v>784</v>
      </c>
      <c r="L4" s="1969"/>
      <c r="M4" s="1970"/>
      <c r="N4" s="1970"/>
      <c r="O4" s="1970"/>
      <c r="P4" s="3666" t="s">
        <v>785</v>
      </c>
      <c r="Q4" s="3667"/>
      <c r="R4" s="3650" t="s">
        <v>781</v>
      </c>
      <c r="S4" s="3651"/>
      <c r="T4" s="3650" t="s">
        <v>782</v>
      </c>
      <c r="U4" s="3651"/>
      <c r="V4" s="3672" t="s">
        <v>783</v>
      </c>
      <c r="W4" s="3672"/>
      <c r="X4" s="1457"/>
      <c r="Y4" s="3650" t="s">
        <v>785</v>
      </c>
      <c r="Z4" s="3651"/>
      <c r="AA4" s="3645" t="s">
        <v>781</v>
      </c>
      <c r="AB4" s="3646" t="s">
        <v>782</v>
      </c>
      <c r="AC4" s="3645" t="s">
        <v>783</v>
      </c>
    </row>
    <row r="5" spans="1:29" ht="15">
      <c r="A5" s="492"/>
      <c r="B5" s="493"/>
      <c r="C5" s="3675" t="s">
        <v>2626</v>
      </c>
      <c r="D5" s="3676"/>
      <c r="E5" s="3688" t="s">
        <v>2627</v>
      </c>
      <c r="F5" s="3689"/>
      <c r="G5" s="3675" t="s">
        <v>2628</v>
      </c>
      <c r="H5" s="3676"/>
      <c r="I5" s="3675" t="s">
        <v>2629</v>
      </c>
      <c r="J5" s="3676"/>
      <c r="K5" s="491"/>
      <c r="L5" s="1969"/>
      <c r="M5" s="1970"/>
      <c r="N5" s="1970"/>
      <c r="O5" s="1970"/>
      <c r="P5" s="3668"/>
      <c r="Q5" s="3669"/>
      <c r="R5" s="3652"/>
      <c r="S5" s="3653"/>
      <c r="T5" s="3652"/>
      <c r="U5" s="3653"/>
      <c r="V5" s="3672"/>
      <c r="W5" s="3672"/>
      <c r="X5" s="1457"/>
      <c r="Y5" s="3652"/>
      <c r="Z5" s="3653"/>
      <c r="AA5" s="3646"/>
      <c r="AB5" s="3646"/>
      <c r="AC5" s="3646"/>
    </row>
    <row r="6" spans="1:29" ht="15.75" thickBot="1">
      <c r="A6" s="494"/>
      <c r="B6" s="495"/>
      <c r="C6" s="3690" t="s">
        <v>2630</v>
      </c>
      <c r="D6" s="3674"/>
      <c r="E6" s="3691" t="s">
        <v>2630</v>
      </c>
      <c r="F6" s="3692"/>
      <c r="G6" s="3690" t="s">
        <v>2630</v>
      </c>
      <c r="H6" s="3674"/>
      <c r="I6" s="3690" t="s">
        <v>2630</v>
      </c>
      <c r="J6" s="3674"/>
      <c r="K6" s="491" t="s">
        <v>511</v>
      </c>
      <c r="L6" s="1969"/>
      <c r="M6" s="1970"/>
      <c r="N6" s="1970"/>
      <c r="O6" s="1970"/>
      <c r="P6" s="3670"/>
      <c r="Q6" s="3671"/>
      <c r="R6" s="3652"/>
      <c r="S6" s="3653"/>
      <c r="T6" s="3654"/>
      <c r="U6" s="3655"/>
      <c r="V6" s="3672"/>
      <c r="W6" s="3672"/>
      <c r="X6" s="1457"/>
      <c r="Y6" s="3654"/>
      <c r="Z6" s="3655"/>
      <c r="AA6" s="3647"/>
      <c r="AB6" s="3647"/>
      <c r="AC6" s="3647"/>
    </row>
    <row r="7" spans="1:29" s="1166" customFormat="1" ht="15.75" thickBot="1">
      <c r="A7" s="2551"/>
      <c r="B7" s="2558" t="s">
        <v>512</v>
      </c>
      <c r="C7" s="496">
        <f>'数据-取费表'!B2</f>
        <v>44701</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48" t="s">
        <v>513</v>
      </c>
      <c r="Q7" s="3657"/>
      <c r="R7" s="1458" t="s">
        <v>8</v>
      </c>
      <c r="S7" s="1459">
        <f t="shared" ref="S7:S14" si="0">F7</f>
        <v>0</v>
      </c>
      <c r="T7" s="1458" t="s">
        <v>8</v>
      </c>
      <c r="U7" s="1459">
        <f t="shared" ref="U7:U14" si="1">H7</f>
        <v>0</v>
      </c>
      <c r="V7" s="1458" t="s">
        <v>8</v>
      </c>
      <c r="W7" s="1459">
        <f t="shared" ref="W7:W14" si="2">J7</f>
        <v>0</v>
      </c>
      <c r="X7" s="1460"/>
      <c r="Y7" s="3648" t="s">
        <v>513</v>
      </c>
      <c r="Z7" s="3649"/>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48" t="s">
        <v>516</v>
      </c>
      <c r="Q8" s="3649"/>
      <c r="R8" s="1458" t="s">
        <v>8</v>
      </c>
      <c r="S8" s="1459">
        <f t="shared" si="0"/>
        <v>0</v>
      </c>
      <c r="T8" s="1458" t="s">
        <v>8</v>
      </c>
      <c r="U8" s="1459">
        <f t="shared" si="1"/>
        <v>0</v>
      </c>
      <c r="V8" s="1458" t="s">
        <v>8</v>
      </c>
      <c r="W8" s="1459">
        <f t="shared" si="2"/>
        <v>0</v>
      </c>
      <c r="X8" s="1460"/>
      <c r="Y8" s="3648" t="s">
        <v>516</v>
      </c>
      <c r="Z8" s="3649"/>
      <c r="AA8" s="1461" t="e">
        <f t="shared" ref="AA8:AA34" si="3">D8/F8</f>
        <v>#DIV/0!</v>
      </c>
      <c r="AB8" s="1461" t="e">
        <f t="shared" ref="AB8:AB34" si="4">D8/H8</f>
        <v>#DIV/0!</v>
      </c>
      <c r="AC8" s="1461" t="e">
        <f t="shared" ref="AC8:AC34" si="5">D8/J8</f>
        <v>#DIV/0!</v>
      </c>
    </row>
    <row r="9" spans="1:29" s="1166"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56" t="s">
        <v>518</v>
      </c>
      <c r="Q9" s="1097" t="str">
        <f t="shared" ref="Q9:Q14" si="6">B9</f>
        <v>用途</v>
      </c>
      <c r="R9" s="1458" t="s">
        <v>8</v>
      </c>
      <c r="S9" s="1459">
        <f t="shared" si="0"/>
        <v>100</v>
      </c>
      <c r="T9" s="1458" t="s">
        <v>8</v>
      </c>
      <c r="U9" s="1459">
        <f t="shared" si="1"/>
        <v>100</v>
      </c>
      <c r="V9" s="1458" t="s">
        <v>8</v>
      </c>
      <c r="W9" s="1459">
        <f t="shared" si="2"/>
        <v>100</v>
      </c>
      <c r="X9" s="1460"/>
      <c r="Y9" s="3604"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56"/>
      <c r="Q10" s="1097" t="str">
        <f t="shared" si="6"/>
        <v>土地使用年限（年）</v>
      </c>
      <c r="R10" s="1458" t="s">
        <v>8</v>
      </c>
      <c r="S10" s="1459">
        <f t="shared" si="0"/>
        <v>100</v>
      </c>
      <c r="T10" s="1458" t="s">
        <v>8</v>
      </c>
      <c r="U10" s="1459">
        <f t="shared" si="1"/>
        <v>100</v>
      </c>
      <c r="V10" s="1458" t="s">
        <v>8</v>
      </c>
      <c r="W10" s="1459">
        <f t="shared" si="2"/>
        <v>100</v>
      </c>
      <c r="X10" s="1460"/>
      <c r="Y10" s="3604"/>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56"/>
      <c r="Q11" s="1097">
        <f t="shared" si="6"/>
        <v>111</v>
      </c>
      <c r="R11" s="1458" t="s">
        <v>8</v>
      </c>
      <c r="S11" s="1459">
        <f t="shared" si="0"/>
        <v>100</v>
      </c>
      <c r="T11" s="1458" t="s">
        <v>8</v>
      </c>
      <c r="U11" s="1459">
        <f t="shared" si="1"/>
        <v>100</v>
      </c>
      <c r="V11" s="1458" t="s">
        <v>8</v>
      </c>
      <c r="W11" s="1459">
        <f t="shared" si="2"/>
        <v>100</v>
      </c>
      <c r="X11" s="1460"/>
      <c r="Y11" s="3604"/>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56"/>
      <c r="Q12" s="1097">
        <f t="shared" si="6"/>
        <v>111</v>
      </c>
      <c r="R12" s="1458" t="s">
        <v>8</v>
      </c>
      <c r="S12" s="1459">
        <f t="shared" si="0"/>
        <v>100</v>
      </c>
      <c r="T12" s="1458" t="s">
        <v>8</v>
      </c>
      <c r="U12" s="1459">
        <f t="shared" si="1"/>
        <v>100</v>
      </c>
      <c r="V12" s="1458" t="s">
        <v>8</v>
      </c>
      <c r="W12" s="1459">
        <f t="shared" si="2"/>
        <v>100</v>
      </c>
      <c r="X12" s="1460"/>
      <c r="Y12" s="3604"/>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56"/>
      <c r="Q13" s="1097">
        <f t="shared" si="6"/>
        <v>111</v>
      </c>
      <c r="R13" s="1458" t="s">
        <v>8</v>
      </c>
      <c r="S13" s="1459">
        <f t="shared" si="0"/>
        <v>100</v>
      </c>
      <c r="T13" s="1458" t="s">
        <v>8</v>
      </c>
      <c r="U13" s="1459">
        <f t="shared" si="1"/>
        <v>100</v>
      </c>
      <c r="V13" s="1458" t="s">
        <v>8</v>
      </c>
      <c r="W13" s="1459">
        <f t="shared" si="2"/>
        <v>100</v>
      </c>
      <c r="X13" s="1460"/>
      <c r="Y13" s="3604"/>
      <c r="Z13" s="1096">
        <f t="shared" si="7"/>
        <v>111</v>
      </c>
      <c r="AA13" s="1461">
        <f t="shared" si="3"/>
        <v>1</v>
      </c>
      <c r="AB13" s="1461">
        <f t="shared" si="4"/>
        <v>1</v>
      </c>
      <c r="AC13" s="1461">
        <f t="shared" si="5"/>
        <v>1</v>
      </c>
    </row>
    <row r="14" spans="1:29" ht="85.5">
      <c r="A14" s="2549" t="s">
        <v>2471</v>
      </c>
      <c r="B14" s="164" t="s">
        <v>526</v>
      </c>
      <c r="C14" s="892">
        <f>IF(B1="工业",估价对象房地状况!G4,估价对象房地状况!C6)</f>
        <v>0</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658" t="s">
        <v>523</v>
      </c>
      <c r="Q14" s="1462" t="str">
        <f t="shared" si="6"/>
        <v>交通便捷度</v>
      </c>
      <c r="R14" s="1463" t="s">
        <v>8</v>
      </c>
      <c r="S14" s="1464">
        <f t="shared" si="0"/>
        <v>100</v>
      </c>
      <c r="T14" s="1463" t="s">
        <v>8</v>
      </c>
      <c r="U14" s="1464">
        <f t="shared" si="1"/>
        <v>100</v>
      </c>
      <c r="V14" s="1463" t="s">
        <v>8</v>
      </c>
      <c r="W14" s="1464">
        <f t="shared" si="2"/>
        <v>100</v>
      </c>
      <c r="X14" s="1457"/>
      <c r="Y14" s="3658"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659"/>
      <c r="Q15" s="1462"/>
      <c r="R15" s="1463"/>
      <c r="S15" s="1464"/>
      <c r="T15" s="1463"/>
      <c r="U15" s="1464"/>
      <c r="V15" s="1463"/>
      <c r="W15" s="1464"/>
      <c r="X15" s="1457"/>
      <c r="Y15" s="3659"/>
      <c r="Z15" s="1465"/>
      <c r="AA15" s="1466">
        <v>1</v>
      </c>
      <c r="AB15" s="1466">
        <v>1</v>
      </c>
      <c r="AC15" s="1466">
        <v>1</v>
      </c>
    </row>
    <row r="16" spans="1:29" ht="42.75">
      <c r="A16" s="509"/>
      <c r="B16" s="2369" t="s">
        <v>2264</v>
      </c>
      <c r="C16" s="844">
        <f>IF(B1="工业",估价对象房地状况!G5,估价对象房地状况!C7)</f>
        <v>0</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659"/>
      <c r="Q16" s="1462" t="str">
        <f>B16</f>
        <v>公共配套设施</v>
      </c>
      <c r="R16" s="1463" t="s">
        <v>8</v>
      </c>
      <c r="S16" s="1464">
        <f>F16</f>
        <v>100</v>
      </c>
      <c r="T16" s="1463" t="s">
        <v>8</v>
      </c>
      <c r="U16" s="1464">
        <f>H16</f>
        <v>100</v>
      </c>
      <c r="V16" s="1463" t="s">
        <v>8</v>
      </c>
      <c r="W16" s="1464">
        <f>J16</f>
        <v>100</v>
      </c>
      <c r="X16" s="1457"/>
      <c r="Y16" s="3659"/>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659"/>
      <c r="Q17" s="1462"/>
      <c r="R17" s="1463"/>
      <c r="S17" s="1464"/>
      <c r="T17" s="1463"/>
      <c r="U17" s="1464"/>
      <c r="V17" s="1463"/>
      <c r="W17" s="1464"/>
      <c r="X17" s="1457"/>
      <c r="Y17" s="3659"/>
      <c r="Z17" s="1465"/>
      <c r="AA17" s="1466">
        <v>1</v>
      </c>
      <c r="AB17" s="1466">
        <v>1</v>
      </c>
      <c r="AC17" s="1466">
        <v>1</v>
      </c>
    </row>
    <row r="18" spans="1:29" ht="28.5">
      <c r="A18" s="509"/>
      <c r="B18" s="2357" t="s">
        <v>2276</v>
      </c>
      <c r="C18" s="844">
        <f>IF(B1="工业",估价对象房地状况!G6,估价对象房地状况!C8)</f>
        <v>0</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659"/>
      <c r="Q18" s="2351" t="str">
        <f>B18</f>
        <v>基础设施水平</v>
      </c>
      <c r="R18" s="1463" t="s">
        <v>8</v>
      </c>
      <c r="S18" s="1464">
        <f>F18</f>
        <v>100</v>
      </c>
      <c r="T18" s="1463" t="s">
        <v>8</v>
      </c>
      <c r="U18" s="1464">
        <f>H18</f>
        <v>100</v>
      </c>
      <c r="V18" s="1463" t="s">
        <v>8</v>
      </c>
      <c r="W18" s="1464">
        <f>J18</f>
        <v>100</v>
      </c>
      <c r="X18" s="2353"/>
      <c r="Y18" s="3659"/>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659"/>
      <c r="Q19" s="2351"/>
      <c r="R19" s="1463"/>
      <c r="S19" s="1464"/>
      <c r="T19" s="1463"/>
      <c r="U19" s="1464"/>
      <c r="V19" s="1463"/>
      <c r="W19" s="1464"/>
      <c r="X19" s="2353"/>
      <c r="Y19" s="3659"/>
      <c r="Z19" s="2352"/>
      <c r="AA19" s="1466">
        <v>1</v>
      </c>
      <c r="AB19" s="1466">
        <v>1</v>
      </c>
      <c r="AC19" s="1466">
        <v>1</v>
      </c>
    </row>
    <row r="20" spans="1:29" ht="57">
      <c r="A20" s="509"/>
      <c r="B20" s="843" t="s">
        <v>786</v>
      </c>
      <c r="C20" s="844">
        <f>IF(B1="工业",估价对象房地状况!G7,估价对象房地状况!C9)</f>
        <v>0</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659"/>
      <c r="Q20" s="1462" t="str">
        <f>B20</f>
        <v>自然及人文环境</v>
      </c>
      <c r="R20" s="1463" t="s">
        <v>8</v>
      </c>
      <c r="S20" s="1464">
        <f>F20</f>
        <v>100</v>
      </c>
      <c r="T20" s="1463" t="s">
        <v>8</v>
      </c>
      <c r="U20" s="1464">
        <f>H20</f>
        <v>100</v>
      </c>
      <c r="V20" s="1463" t="s">
        <v>8</v>
      </c>
      <c r="W20" s="1464">
        <f>J20</f>
        <v>100</v>
      </c>
      <c r="X20" s="1457"/>
      <c r="Y20" s="3659"/>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659"/>
      <c r="Q21" s="1462"/>
      <c r="R21" s="1463"/>
      <c r="S21" s="1464"/>
      <c r="T21" s="1463"/>
      <c r="U21" s="1464"/>
      <c r="V21" s="1463"/>
      <c r="W21" s="1464"/>
      <c r="X21" s="1457"/>
      <c r="Y21" s="3659"/>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59"/>
      <c r="Q22" s="1462" t="str">
        <f>B22</f>
        <v>楼层</v>
      </c>
      <c r="R22" s="1463" t="s">
        <v>8</v>
      </c>
      <c r="S22" s="1464">
        <f>F22</f>
        <v>100</v>
      </c>
      <c r="T22" s="1463" t="s">
        <v>8</v>
      </c>
      <c r="U22" s="1464">
        <f>H22</f>
        <v>100</v>
      </c>
      <c r="V22" s="1463" t="s">
        <v>8</v>
      </c>
      <c r="W22" s="1464">
        <f>J22</f>
        <v>100</v>
      </c>
      <c r="X22" s="1457"/>
      <c r="Y22" s="3659"/>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59"/>
      <c r="Q23" s="1462">
        <f>B23</f>
        <v>111</v>
      </c>
      <c r="R23" s="1463" t="s">
        <v>8</v>
      </c>
      <c r="S23" s="1464">
        <f>F23</f>
        <v>100</v>
      </c>
      <c r="T23" s="1463" t="s">
        <v>8</v>
      </c>
      <c r="U23" s="1464">
        <f>H23</f>
        <v>100</v>
      </c>
      <c r="V23" s="1463" t="s">
        <v>8</v>
      </c>
      <c r="W23" s="1464">
        <f>J23</f>
        <v>100</v>
      </c>
      <c r="X23" s="1457"/>
      <c r="Y23" s="3659"/>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59"/>
      <c r="Q24" s="1462">
        <f t="shared" ref="Q24:Q34" si="11">B24</f>
        <v>111</v>
      </c>
      <c r="R24" s="1463" t="s">
        <v>8</v>
      </c>
      <c r="S24" s="1464">
        <f>F24</f>
        <v>100</v>
      </c>
      <c r="T24" s="1463" t="s">
        <v>8</v>
      </c>
      <c r="U24" s="1464">
        <f>H24</f>
        <v>100</v>
      </c>
      <c r="V24" s="1463" t="s">
        <v>8</v>
      </c>
      <c r="W24" s="1464">
        <f>J24</f>
        <v>100</v>
      </c>
      <c r="X24" s="1457"/>
      <c r="Y24" s="3659"/>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659"/>
      <c r="Q25" s="1097">
        <f t="shared" si="11"/>
        <v>111</v>
      </c>
      <c r="R25" s="1458" t="s">
        <v>8</v>
      </c>
      <c r="S25" s="1459">
        <f>F25</f>
        <v>100</v>
      </c>
      <c r="T25" s="1458" t="s">
        <v>8</v>
      </c>
      <c r="U25" s="1459">
        <f>H25</f>
        <v>100</v>
      </c>
      <c r="V25" s="1458" t="s">
        <v>8</v>
      </c>
      <c r="W25" s="1459">
        <f>J25</f>
        <v>100</v>
      </c>
      <c r="X25" s="1460"/>
      <c r="Y25" s="3659"/>
      <c r="Z25" s="1096">
        <f>Q25</f>
        <v>111</v>
      </c>
      <c r="AA25" s="1466">
        <f>D25/F25</f>
        <v>1</v>
      </c>
      <c r="AB25" s="1466">
        <f>D25/H25</f>
        <v>1</v>
      </c>
      <c r="AC25" s="1466">
        <f>D25/J25</f>
        <v>1</v>
      </c>
    </row>
    <row r="26" spans="1:29" ht="15">
      <c r="A26" s="2546" t="s">
        <v>2472</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660"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61"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661"/>
      <c r="Q27" s="1491" t="str">
        <f t="shared" si="11"/>
        <v>成新率</v>
      </c>
      <c r="R27" s="1467" t="s">
        <v>8</v>
      </c>
      <c r="S27" s="1468" t="e">
        <f t="shared" si="12"/>
        <v>#N/A</v>
      </c>
      <c r="T27" s="1467" t="s">
        <v>8</v>
      </c>
      <c r="U27" s="1468" t="e">
        <f t="shared" si="13"/>
        <v>#N/A</v>
      </c>
      <c r="V27" s="1467" t="s">
        <v>8</v>
      </c>
      <c r="W27" s="1468" t="e">
        <f t="shared" si="14"/>
        <v>#N/A</v>
      </c>
      <c r="X27" s="1469"/>
      <c r="Y27" s="3661"/>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61"/>
      <c r="Q28" s="1462" t="str">
        <f t="shared" si="11"/>
        <v>物业等级</v>
      </c>
      <c r="R28" s="1463" t="s">
        <v>8</v>
      </c>
      <c r="S28" s="1464">
        <f t="shared" si="12"/>
        <v>100</v>
      </c>
      <c r="T28" s="1463" t="s">
        <v>8</v>
      </c>
      <c r="U28" s="1464">
        <f t="shared" si="13"/>
        <v>100</v>
      </c>
      <c r="V28" s="1463" t="s">
        <v>8</v>
      </c>
      <c r="W28" s="1464">
        <f t="shared" si="14"/>
        <v>100</v>
      </c>
      <c r="X28" s="1457"/>
      <c r="Y28" s="3661"/>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661"/>
      <c r="Q29" s="1462" t="str">
        <f t="shared" si="11"/>
        <v>有无电梯</v>
      </c>
      <c r="R29" s="1463" t="s">
        <v>8</v>
      </c>
      <c r="S29" s="1464">
        <f t="shared" si="12"/>
        <v>100</v>
      </c>
      <c r="T29" s="1463" t="s">
        <v>8</v>
      </c>
      <c r="U29" s="1464">
        <f t="shared" si="13"/>
        <v>100</v>
      </c>
      <c r="V29" s="1463" t="s">
        <v>8</v>
      </c>
      <c r="W29" s="1464">
        <f t="shared" si="14"/>
        <v>100</v>
      </c>
      <c r="X29" s="1457"/>
      <c r="Y29" s="3661"/>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661"/>
      <c r="Q30" s="1462" t="str">
        <f t="shared" si="11"/>
        <v>建筑面积</v>
      </c>
      <c r="R30" s="1463" t="s">
        <v>8</v>
      </c>
      <c r="S30" s="1464" t="e">
        <f t="shared" si="12"/>
        <v>#N/A</v>
      </c>
      <c r="T30" s="1463" t="s">
        <v>8</v>
      </c>
      <c r="U30" s="1464" t="e">
        <f t="shared" si="13"/>
        <v>#N/A</v>
      </c>
      <c r="V30" s="1463" t="s">
        <v>8</v>
      </c>
      <c r="W30" s="1464" t="e">
        <f t="shared" si="14"/>
        <v>#N/A</v>
      </c>
      <c r="X30" s="1457"/>
      <c r="Y30" s="3661"/>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661"/>
      <c r="Q31" s="1097" t="str">
        <f t="shared" si="11"/>
        <v>是否封闭</v>
      </c>
      <c r="R31" s="1458" t="s">
        <v>8</v>
      </c>
      <c r="S31" s="1459">
        <f t="shared" si="12"/>
        <v>100</v>
      </c>
      <c r="T31" s="1458" t="s">
        <v>8</v>
      </c>
      <c r="U31" s="1459">
        <f t="shared" si="13"/>
        <v>100</v>
      </c>
      <c r="V31" s="1458" t="s">
        <v>8</v>
      </c>
      <c r="W31" s="1459">
        <f t="shared" si="14"/>
        <v>100</v>
      </c>
      <c r="X31" s="1460"/>
      <c r="Y31" s="3661"/>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661" t="s">
        <v>533</v>
      </c>
      <c r="Q32" s="1462">
        <f t="shared" si="11"/>
        <v>111</v>
      </c>
      <c r="R32" s="1463" t="s">
        <v>8</v>
      </c>
      <c r="S32" s="1464">
        <f t="shared" si="12"/>
        <v>100</v>
      </c>
      <c r="T32" s="1463" t="s">
        <v>8</v>
      </c>
      <c r="U32" s="1464">
        <f t="shared" si="13"/>
        <v>100</v>
      </c>
      <c r="V32" s="1463" t="s">
        <v>8</v>
      </c>
      <c r="W32" s="1464">
        <f t="shared" si="14"/>
        <v>100</v>
      </c>
      <c r="X32" s="1457"/>
      <c r="Y32" s="3661"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661"/>
      <c r="Q33" s="1462">
        <f t="shared" si="11"/>
        <v>111</v>
      </c>
      <c r="R33" s="1463" t="s">
        <v>8</v>
      </c>
      <c r="S33" s="1464">
        <f t="shared" si="12"/>
        <v>100</v>
      </c>
      <c r="T33" s="1463" t="s">
        <v>8</v>
      </c>
      <c r="U33" s="1464">
        <f t="shared" si="13"/>
        <v>100</v>
      </c>
      <c r="V33" s="1463" t="s">
        <v>8</v>
      </c>
      <c r="W33" s="1464">
        <f t="shared" si="14"/>
        <v>100</v>
      </c>
      <c r="X33" s="1457"/>
      <c r="Y33" s="3661"/>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661"/>
      <c r="Q34" s="1462">
        <f t="shared" si="11"/>
        <v>111</v>
      </c>
      <c r="R34" s="1463" t="s">
        <v>8</v>
      </c>
      <c r="S34" s="1464">
        <f t="shared" si="12"/>
        <v>100</v>
      </c>
      <c r="T34" s="1463" t="s">
        <v>8</v>
      </c>
      <c r="U34" s="1464">
        <f t="shared" si="13"/>
        <v>100</v>
      </c>
      <c r="V34" s="1463" t="s">
        <v>8</v>
      </c>
      <c r="W34" s="1464">
        <f t="shared" si="14"/>
        <v>100</v>
      </c>
      <c r="X34" s="1457"/>
      <c r="Y34" s="3661"/>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656" t="str">
        <f>A35</f>
        <v>成交单价（元/平方米）</v>
      </c>
      <c r="Q35" s="3656"/>
      <c r="R35" s="3774">
        <f>E35</f>
        <v>0</v>
      </c>
      <c r="S35" s="3774"/>
      <c r="T35" s="3774">
        <f>G35</f>
        <v>0</v>
      </c>
      <c r="U35" s="3774"/>
      <c r="V35" s="3774">
        <f>I35</f>
        <v>0</v>
      </c>
      <c r="W35" s="3774"/>
      <c r="X35" s="1452"/>
      <c r="Y35" s="1471"/>
      <c r="Z35" s="1452"/>
      <c r="AA35" s="1452"/>
      <c r="AB35" s="1452"/>
      <c r="AC35" s="1452"/>
    </row>
    <row r="36" spans="1:29" ht="15.75" thickBot="1">
      <c r="A36" s="592" t="s">
        <v>2477</v>
      </c>
      <c r="B36" s="859"/>
      <c r="C36" s="2398" t="e">
        <f>R37</f>
        <v>#DIV/0!</v>
      </c>
      <c r="D36" s="2922" t="s">
        <v>2698</v>
      </c>
      <c r="E36" s="2399" t="e">
        <f>R36</f>
        <v>#DIV/0!</v>
      </c>
      <c r="F36" s="2923"/>
      <c r="G36" s="2398" t="e">
        <f>T36</f>
        <v>#DIV/0!</v>
      </c>
      <c r="H36" s="2923"/>
      <c r="I36" s="2399" t="e">
        <f>V36</f>
        <v>#DIV/0!</v>
      </c>
      <c r="J36" s="2923"/>
      <c r="K36" s="2931">
        <f>F36+H36+J36</f>
        <v>0</v>
      </c>
      <c r="L36" s="1980"/>
      <c r="M36" s="1981"/>
      <c r="N36" s="1970"/>
      <c r="O36" s="1981"/>
      <c r="P36" s="3656" t="str">
        <f>A36</f>
        <v>比较价格（元/平方米）</v>
      </c>
      <c r="Q36" s="3656"/>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452"/>
      <c r="Y36" s="1452"/>
      <c r="Z36" s="1452"/>
      <c r="AA36" s="1452"/>
      <c r="AB36" s="1452"/>
      <c r="AC36" s="1452"/>
    </row>
    <row r="37" spans="1:29" ht="15.75" thickBot="1">
      <c r="A37" s="596" t="s">
        <v>2632</v>
      </c>
      <c r="B37" s="597"/>
      <c r="C37" s="2400" t="e">
        <f>R37</f>
        <v>#DIV/0!</v>
      </c>
      <c r="D37" s="2400"/>
      <c r="E37" s="2400"/>
      <c r="F37" s="2400"/>
      <c r="G37" s="2400"/>
      <c r="H37" s="2400"/>
      <c r="I37" s="2400"/>
      <c r="J37" s="2400"/>
      <c r="K37" s="1497"/>
      <c r="L37" s="1980"/>
      <c r="M37" s="1981"/>
      <c r="N37" s="1981"/>
      <c r="O37" s="1981"/>
      <c r="P37" s="3662" t="str">
        <f>A37</f>
        <v>估价对象XX用房的比较价格（楼面单价，元/平方米）</v>
      </c>
      <c r="Q37" s="3663"/>
      <c r="R37" s="3773" t="e">
        <f>IF(F1="售价",ROUND(IF(D36="简单平均",AVERAGE(R36:W36),R36*F36+T36*H36+V36*J36),0),ROUND(IF(D36="简单平均",AVERAGE(R36:V36),R36*F36+T36*H36+V36*J36),1))</f>
        <v>#DIV/0!</v>
      </c>
      <c r="S37" s="3773"/>
      <c r="T37" s="3773"/>
      <c r="U37" s="3773"/>
      <c r="V37" s="3773"/>
      <c r="W37" s="3773"/>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2022-5</v>
      </c>
      <c r="D46" s="2443">
        <f>EDATE(C46,-1)</f>
        <v>44652</v>
      </c>
      <c r="E46" s="2443">
        <f t="shared" ref="E46:O46" si="16">EDATE(D46,-1)</f>
        <v>44621</v>
      </c>
      <c r="F46" s="2443">
        <f t="shared" si="16"/>
        <v>44593</v>
      </c>
      <c r="G46" s="2443">
        <f t="shared" si="16"/>
        <v>44562</v>
      </c>
      <c r="H46" s="2443">
        <f t="shared" si="16"/>
        <v>44531</v>
      </c>
      <c r="I46" s="2443">
        <f t="shared" si="16"/>
        <v>44501</v>
      </c>
      <c r="J46" s="2443">
        <f t="shared" si="16"/>
        <v>44470</v>
      </c>
      <c r="K46" s="2443">
        <f t="shared" si="16"/>
        <v>44440</v>
      </c>
      <c r="L46" s="2443">
        <f t="shared" si="16"/>
        <v>44409</v>
      </c>
      <c r="M46" s="2443">
        <f t="shared" si="16"/>
        <v>44378</v>
      </c>
      <c r="N46" s="2443">
        <f t="shared" si="16"/>
        <v>44348</v>
      </c>
      <c r="O46" s="2443">
        <f t="shared" si="16"/>
        <v>44317</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受贵公司委托，我公司对海南省海口市新埠岛出让国有建设用地使用权抵押价格进行了预评估。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7" spans="1:4" ht="93.75">
      <c r="A7" s="2512" t="s">
        <v>2465</v>
      </c>
    </row>
    <row r="8" spans="1:4" ht="18.75">
      <c r="A8" s="1664" t="s">
        <v>1702</v>
      </c>
    </row>
    <row r="9" spans="1:4" ht="75">
      <c r="A9" s="1666" t="str">
        <f>IF(项目基本情况!B8="抵押",IF(项目基本情况!B5=项目基本情况!B6,定义!C51,定义!B51),定义!D51)</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2022年5月20日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根据《国有土地使用证》[]，估价对象（分摊）出让国有建设用地使用权面积为97473.98平方米。根据《建设工程规划许可证》[]、《出让合同》[]，估价对象规划建筑面积为51575.14平方米。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93.75">
      <c r="A25" s="1661" t="str">
        <f>定义!C53</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L14" sqref="L9:Z14"/>
      <selection pane="bottomLeft" activeCell="L14" sqref="L9:Z1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783" t="s">
        <v>2094</v>
      </c>
      <c r="D1" s="3784"/>
      <c r="E1" s="3784"/>
      <c r="F1" s="3784"/>
      <c r="G1" s="3784"/>
      <c r="H1" s="3784"/>
      <c r="I1" s="3784"/>
      <c r="J1" s="3784"/>
      <c r="K1" s="3784"/>
      <c r="L1" s="3784"/>
      <c r="M1" s="3784"/>
      <c r="N1" s="3784"/>
      <c r="O1" s="3784"/>
      <c r="P1" s="3784"/>
      <c r="Q1" s="3784"/>
      <c r="R1" s="3784"/>
      <c r="S1" s="3785"/>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2625</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2624</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2623</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2636</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2622</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2621</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780" t="s">
        <v>20</v>
      </c>
      <c r="D22" s="3781"/>
      <c r="E22" s="3781"/>
      <c r="F22" s="3781"/>
      <c r="G22" s="3781"/>
      <c r="H22" s="3781"/>
      <c r="I22" s="3781"/>
      <c r="J22" s="3781"/>
      <c r="K22" s="3781"/>
      <c r="L22" s="3781"/>
      <c r="M22" s="3781"/>
      <c r="N22" s="3781"/>
      <c r="O22" s="3781"/>
      <c r="P22" s="3781"/>
      <c r="Q22" s="3782"/>
      <c r="R22" s="474" t="e">
        <f>ROUND(S22*10000/B22,0)</f>
        <v>#DIV/0!</v>
      </c>
      <c r="S22" s="53">
        <f>SUM(S24:S10000)</f>
        <v>0</v>
      </c>
    </row>
    <row r="23" spans="1:45" s="1498" customFormat="1" ht="24">
      <c r="A23" s="17" t="s">
        <v>812</v>
      </c>
      <c r="B23" s="2779" t="s">
        <v>2644</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44701</v>
      </c>
      <c r="H1" s="2577">
        <f>IF(C1&gt;C13,0,MATCH(C1,C$13:C$107,-1))+IF(SUMIF(C13:C107,C1,D13:D107)=0,13,12)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3</v>
      </c>
      <c r="D2" s="2638" t="s">
        <v>2505</v>
      </c>
      <c r="E2" s="2641">
        <f ca="1">INDIRECT("I"&amp;$I$1)/100</f>
        <v>3.7000000000000005E-2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4.5999999999999996</v>
      </c>
      <c r="J7" s="2594">
        <f ca="1">INDIRECT("h"&amp;$H$1)</f>
        <v>4.5999999999999996</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44581</v>
      </c>
      <c r="D13" s="2625">
        <v>3.7</v>
      </c>
      <c r="E13" s="2625">
        <f>D13</f>
        <v>3.7</v>
      </c>
      <c r="F13" s="2625">
        <f>D13</f>
        <v>3.7</v>
      </c>
      <c r="G13" s="2625">
        <f>D13</f>
        <v>3.7</v>
      </c>
      <c r="H13" s="2625">
        <v>4.5999999999999996</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44550</v>
      </c>
      <c r="D14" s="2629">
        <v>3.8</v>
      </c>
      <c r="E14" s="2629">
        <f>D14</f>
        <v>3.8</v>
      </c>
      <c r="F14" s="2629">
        <f>D14</f>
        <v>3.8</v>
      </c>
      <c r="G14" s="2629">
        <f>D14</f>
        <v>3.8</v>
      </c>
      <c r="H14" s="2629">
        <v>4.6500000000000004</v>
      </c>
      <c r="I14" s="2625"/>
      <c r="J14" s="2625"/>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9"/>
      <c r="C15" s="2630">
        <v>43941</v>
      </c>
      <c r="D15" s="2629">
        <v>3.85</v>
      </c>
      <c r="E15" s="2629">
        <v>3.85</v>
      </c>
      <c r="F15" s="2629">
        <v>3.85</v>
      </c>
      <c r="G15" s="2629">
        <v>3.85</v>
      </c>
      <c r="H15" s="2629">
        <v>4.6500000000000004</v>
      </c>
      <c r="I15" s="2629"/>
      <c r="J15" s="2629"/>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43881</v>
      </c>
      <c r="D16" s="2629">
        <v>4.05</v>
      </c>
      <c r="E16" s="2629">
        <v>4.05</v>
      </c>
      <c r="F16" s="2629">
        <v>4.05</v>
      </c>
      <c r="G16" s="2629">
        <v>4.05</v>
      </c>
      <c r="H16" s="2629">
        <v>4.75</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43789</v>
      </c>
      <c r="D17" s="2629">
        <v>4.1500000000000004</v>
      </c>
      <c r="E17" s="2629">
        <v>4.1500000000000004</v>
      </c>
      <c r="F17" s="2629">
        <v>4.1500000000000004</v>
      </c>
      <c r="G17" s="2629">
        <v>4.1500000000000004</v>
      </c>
      <c r="H17" s="2629">
        <v>4.8</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43728</v>
      </c>
      <c r="D18" s="2629">
        <v>4.2</v>
      </c>
      <c r="E18" s="2629">
        <v>4.2</v>
      </c>
      <c r="F18" s="2629">
        <v>4.2</v>
      </c>
      <c r="G18" s="2629">
        <v>4.2</v>
      </c>
      <c r="H18" s="2629">
        <v>4.8499999999999996</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3" t="s">
        <v>2727</v>
      </c>
      <c r="C19" s="2631">
        <v>43697</v>
      </c>
      <c r="D19" s="3186">
        <v>4.25</v>
      </c>
      <c r="E19" s="3186">
        <v>4.25</v>
      </c>
      <c r="F19" s="3186">
        <v>4.25</v>
      </c>
      <c r="G19" s="3186">
        <v>4.25</v>
      </c>
      <c r="H19" s="3186">
        <v>4.8499999999999996</v>
      </c>
      <c r="I19" s="3186"/>
      <c r="J19" s="3186"/>
      <c r="K19" s="2616"/>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3189"/>
      <c r="B20" s="3190"/>
      <c r="C20" s="3191">
        <v>42301</v>
      </c>
      <c r="D20" s="3192">
        <v>4.3499999999999996</v>
      </c>
      <c r="E20" s="3192">
        <v>4.3499999999999996</v>
      </c>
      <c r="F20" s="3192">
        <v>4.75</v>
      </c>
      <c r="G20" s="3192">
        <v>4.75</v>
      </c>
      <c r="H20" s="3192">
        <v>4.9000000000000004</v>
      </c>
      <c r="I20" s="3192"/>
      <c r="J20" s="3192"/>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c r="B21" s="2629"/>
      <c r="C21" s="2630">
        <v>42242</v>
      </c>
      <c r="D21" s="2629">
        <v>4.5999999999999996</v>
      </c>
      <c r="E21" s="2629">
        <v>4.5999999999999996</v>
      </c>
      <c r="F21" s="2629">
        <v>5</v>
      </c>
      <c r="G21" s="2629">
        <v>5</v>
      </c>
      <c r="H21" s="2629">
        <v>5.15</v>
      </c>
      <c r="I21" s="2629">
        <v>2.75</v>
      </c>
      <c r="J21" s="2629">
        <v>3.25</v>
      </c>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42183</v>
      </c>
      <c r="D22" s="2629">
        <v>4.8499999999999996</v>
      </c>
      <c r="E22" s="2629">
        <v>4.8499999999999996</v>
      </c>
      <c r="F22" s="2629">
        <v>5.25</v>
      </c>
      <c r="G22" s="2629">
        <v>5.25</v>
      </c>
      <c r="H22" s="2629">
        <v>5.4</v>
      </c>
      <c r="I22" s="2629">
        <v>3</v>
      </c>
      <c r="J22" s="2629">
        <v>3.5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42135</v>
      </c>
      <c r="D23" s="2629">
        <v>5.0999999999999996</v>
      </c>
      <c r="E23" s="2629">
        <v>5.0999999999999996</v>
      </c>
      <c r="F23" s="2629">
        <v>5.5</v>
      </c>
      <c r="G23" s="2629">
        <v>5.5</v>
      </c>
      <c r="H23" s="2629">
        <v>5.65</v>
      </c>
      <c r="I23" s="2629">
        <v>3.25</v>
      </c>
      <c r="J23" s="2629">
        <v>3.75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42064</v>
      </c>
      <c r="D24" s="2629">
        <v>5.35</v>
      </c>
      <c r="E24" s="2629">
        <v>5.35</v>
      </c>
      <c r="F24" s="2629">
        <v>5.75</v>
      </c>
      <c r="G24" s="2629">
        <v>5.75</v>
      </c>
      <c r="H24" s="2629">
        <v>5.9</v>
      </c>
      <c r="I24" s="2629"/>
      <c r="J24" s="2629"/>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41965</v>
      </c>
      <c r="D25" s="2629">
        <v>5.6</v>
      </c>
      <c r="E25" s="2629">
        <v>5.6</v>
      </c>
      <c r="F25" s="2629">
        <v>6</v>
      </c>
      <c r="G25" s="2629">
        <v>6</v>
      </c>
      <c r="H25" s="2629">
        <v>6.15</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41096</v>
      </c>
      <c r="D26" s="2629">
        <v>5.6</v>
      </c>
      <c r="E26" s="2629">
        <v>6</v>
      </c>
      <c r="F26" s="2629">
        <v>6.15</v>
      </c>
      <c r="G26" s="2629">
        <v>6.4</v>
      </c>
      <c r="H26" s="2629">
        <v>6.55</v>
      </c>
      <c r="I26" s="2629">
        <v>4</v>
      </c>
      <c r="J26" s="2629">
        <v>4.5</v>
      </c>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41068</v>
      </c>
      <c r="D27" s="2629">
        <v>5.85</v>
      </c>
      <c r="E27" s="2629">
        <v>6.31</v>
      </c>
      <c r="F27" s="2629">
        <v>6.4</v>
      </c>
      <c r="G27" s="2629">
        <v>6.65</v>
      </c>
      <c r="H27" s="2629">
        <v>6.8</v>
      </c>
      <c r="I27" s="2629">
        <v>4.2</v>
      </c>
      <c r="J27" s="2629">
        <v>4.7</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40731</v>
      </c>
      <c r="D28" s="2629">
        <v>6.1</v>
      </c>
      <c r="E28" s="2629">
        <v>6.56</v>
      </c>
      <c r="F28" s="2629">
        <v>6.65</v>
      </c>
      <c r="G28" s="2629">
        <v>6.9</v>
      </c>
      <c r="H28" s="2629">
        <v>7.05</v>
      </c>
      <c r="I28" s="2629">
        <v>4.45</v>
      </c>
      <c r="J28" s="2629">
        <v>4.9000000000000004</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40639</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40583</v>
      </c>
      <c r="D30" s="2629">
        <v>5.6</v>
      </c>
      <c r="E30" s="2629">
        <v>6.06</v>
      </c>
      <c r="F30" s="2629">
        <v>6.1</v>
      </c>
      <c r="G30" s="2629">
        <v>6.45</v>
      </c>
      <c r="H30" s="2629">
        <v>6.6</v>
      </c>
      <c r="I30" s="2629">
        <v>4</v>
      </c>
      <c r="J30" s="2629">
        <v>4.5</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40538</v>
      </c>
      <c r="D31" s="2629">
        <v>5.35</v>
      </c>
      <c r="E31" s="2629">
        <v>5.81</v>
      </c>
      <c r="F31" s="2629">
        <v>5.85</v>
      </c>
      <c r="G31" s="2629">
        <v>6.22</v>
      </c>
      <c r="H31" s="2629">
        <v>6.4</v>
      </c>
      <c r="I31" s="2629">
        <v>3.75</v>
      </c>
      <c r="J31" s="2629">
        <v>4.3</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40471</v>
      </c>
      <c r="D32" s="2629">
        <v>5.0999999999999996</v>
      </c>
      <c r="E32" s="2629">
        <v>5.56</v>
      </c>
      <c r="F32" s="2629">
        <v>5.6</v>
      </c>
      <c r="G32" s="2629">
        <v>5.96</v>
      </c>
      <c r="H32" s="2629">
        <v>6.14</v>
      </c>
      <c r="I32" s="2629">
        <v>3.5</v>
      </c>
      <c r="J32" s="2629">
        <v>4.05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39805</v>
      </c>
      <c r="D33" s="2629">
        <v>4.8600000000000003</v>
      </c>
      <c r="E33" s="2629">
        <v>5.31</v>
      </c>
      <c r="F33" s="2629">
        <v>5.4</v>
      </c>
      <c r="G33" s="2629">
        <v>5.76</v>
      </c>
      <c r="H33" s="2629">
        <v>5.94</v>
      </c>
      <c r="I33" s="2629">
        <v>3.33</v>
      </c>
      <c r="J33" s="2629">
        <v>3.87</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39779</v>
      </c>
      <c r="D34" s="2629">
        <v>5.04</v>
      </c>
      <c r="E34" s="2629">
        <v>5.58</v>
      </c>
      <c r="F34" s="2629">
        <v>5.67</v>
      </c>
      <c r="G34" s="2629">
        <v>5.94</v>
      </c>
      <c r="H34" s="2629">
        <v>6.12</v>
      </c>
      <c r="I34" s="2629">
        <v>3.51</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39751</v>
      </c>
      <c r="D35" s="2629">
        <v>6.03</v>
      </c>
      <c r="E35" s="2629">
        <v>6.66</v>
      </c>
      <c r="F35" s="2629">
        <v>6.75</v>
      </c>
      <c r="G35" s="2629">
        <v>7.02</v>
      </c>
      <c r="H35" s="2629">
        <v>7.2</v>
      </c>
      <c r="I35" s="2629">
        <v>4.05</v>
      </c>
      <c r="J35" s="2629">
        <v>4.59</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1">
        <v>39748</v>
      </c>
      <c r="D36" s="2629">
        <v>6.12</v>
      </c>
      <c r="E36" s="2629">
        <v>6.93</v>
      </c>
      <c r="F36" s="2629">
        <v>7.02</v>
      </c>
      <c r="G36" s="2629">
        <v>7.29</v>
      </c>
      <c r="H36" s="2629">
        <v>7.47</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39730</v>
      </c>
      <c r="D37" s="2629">
        <v>6.12</v>
      </c>
      <c r="E37" s="2629">
        <v>6.93</v>
      </c>
      <c r="F37" s="2629">
        <v>7.02</v>
      </c>
      <c r="G37" s="2629">
        <v>7.29</v>
      </c>
      <c r="H37" s="2629">
        <v>7.47</v>
      </c>
      <c r="I37" s="2629">
        <v>4.32</v>
      </c>
      <c r="J37" s="2629">
        <v>4.8600000000000003</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39707</v>
      </c>
      <c r="D38" s="2629">
        <v>6.21</v>
      </c>
      <c r="E38" s="2629">
        <v>7.2</v>
      </c>
      <c r="F38" s="2629">
        <v>7.29</v>
      </c>
      <c r="G38" s="2629">
        <v>7.56</v>
      </c>
      <c r="H38" s="2629">
        <v>7.74</v>
      </c>
      <c r="I38" s="2629">
        <v>4.59</v>
      </c>
      <c r="J38" s="2629">
        <v>5.13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39437</v>
      </c>
      <c r="D39" s="2629">
        <v>6.57</v>
      </c>
      <c r="E39" s="2629">
        <v>7.47</v>
      </c>
      <c r="F39" s="2629">
        <v>7.56</v>
      </c>
      <c r="G39" s="2629">
        <v>7.74</v>
      </c>
      <c r="H39" s="2629">
        <v>7.83</v>
      </c>
      <c r="I39" s="2629">
        <v>4.7699999999999996</v>
      </c>
      <c r="J39" s="2629">
        <v>5.22</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39340</v>
      </c>
      <c r="D40" s="2629">
        <v>6.48</v>
      </c>
      <c r="E40" s="2629">
        <v>7.29</v>
      </c>
      <c r="F40" s="2629">
        <v>7.47</v>
      </c>
      <c r="G40" s="2629">
        <v>7.65</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39316</v>
      </c>
      <c r="D41" s="2629">
        <v>6.21</v>
      </c>
      <c r="E41" s="2629">
        <v>7.02</v>
      </c>
      <c r="F41" s="2629">
        <v>7.2</v>
      </c>
      <c r="G41" s="2629">
        <v>7.38</v>
      </c>
      <c r="H41" s="2629">
        <v>7.56</v>
      </c>
      <c r="I41" s="2629">
        <v>4.59</v>
      </c>
      <c r="J41" s="2629">
        <v>5.04</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39284</v>
      </c>
      <c r="D42" s="2629">
        <v>6.03</v>
      </c>
      <c r="E42" s="2629">
        <v>6.84</v>
      </c>
      <c r="F42" s="2629">
        <v>7.02</v>
      </c>
      <c r="G42" s="2629">
        <v>7.2</v>
      </c>
      <c r="H42" s="2629">
        <v>7.38</v>
      </c>
      <c r="I42" s="2629">
        <v>4.5</v>
      </c>
      <c r="J42" s="2629">
        <v>4.95</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39221</v>
      </c>
      <c r="D43" s="2629">
        <v>5.85</v>
      </c>
      <c r="E43" s="2629">
        <v>6.57</v>
      </c>
      <c r="F43" s="2629">
        <v>6.75</v>
      </c>
      <c r="G43" s="2629">
        <v>6.93</v>
      </c>
      <c r="H43" s="2629">
        <v>7.2</v>
      </c>
      <c r="I43" s="2629">
        <v>4.41</v>
      </c>
      <c r="J43" s="2629">
        <v>4.8600000000000003</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39159</v>
      </c>
      <c r="D44" s="2629">
        <v>5.67</v>
      </c>
      <c r="E44" s="2629">
        <v>6.39</v>
      </c>
      <c r="F44" s="2629">
        <v>6.57</v>
      </c>
      <c r="G44" s="2629">
        <v>6.75</v>
      </c>
      <c r="H44" s="2629">
        <v>7.11</v>
      </c>
      <c r="I44" s="2629">
        <v>4.32</v>
      </c>
      <c r="J44" s="2629">
        <v>4.7699999999999996</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38948</v>
      </c>
      <c r="D45" s="2629">
        <v>5.58</v>
      </c>
      <c r="E45" s="2629">
        <v>6.12</v>
      </c>
      <c r="F45" s="2629">
        <v>6.3</v>
      </c>
      <c r="G45" s="2629">
        <v>6.48</v>
      </c>
      <c r="H45" s="2629">
        <v>6.84</v>
      </c>
      <c r="I45" s="2629">
        <v>4.1399999999999997</v>
      </c>
      <c r="J45" s="2629">
        <v>4.59</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38835</v>
      </c>
      <c r="D46" s="2629">
        <v>5.4</v>
      </c>
      <c r="E46" s="2629">
        <v>5.85</v>
      </c>
      <c r="F46" s="2629">
        <v>6.03</v>
      </c>
      <c r="G46" s="2629">
        <v>6.12</v>
      </c>
      <c r="H46" s="2629">
        <v>6.39</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38428</v>
      </c>
      <c r="D47" s="2629">
        <v>5.22</v>
      </c>
      <c r="E47" s="2629">
        <v>5.58</v>
      </c>
      <c r="F47" s="2629">
        <v>5.76</v>
      </c>
      <c r="G47" s="2629">
        <v>5.85</v>
      </c>
      <c r="H47" s="2629">
        <v>6.12</v>
      </c>
      <c r="I47" s="2629">
        <v>3.96</v>
      </c>
      <c r="J47" s="2629">
        <v>4.41</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38289</v>
      </c>
      <c r="D48" s="2629">
        <v>5.22</v>
      </c>
      <c r="E48" s="2629">
        <v>5.58</v>
      </c>
      <c r="F48" s="2629">
        <v>5.76</v>
      </c>
      <c r="G48" s="2629">
        <v>5.85</v>
      </c>
      <c r="H48" s="2629">
        <v>6.12</v>
      </c>
      <c r="I48" s="2629">
        <v>3.78</v>
      </c>
      <c r="J48" s="2629">
        <v>4.2300000000000004</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37308</v>
      </c>
      <c r="D49" s="2629">
        <v>5.04</v>
      </c>
      <c r="E49" s="2629">
        <v>5.31</v>
      </c>
      <c r="F49" s="2629">
        <v>5.49</v>
      </c>
      <c r="G49" s="2629">
        <v>5.58</v>
      </c>
      <c r="H49" s="2629">
        <v>5.76</v>
      </c>
      <c r="I49" s="2629">
        <v>3.6</v>
      </c>
      <c r="J49" s="2629">
        <v>4.05</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36321</v>
      </c>
      <c r="D50" s="2629">
        <v>5.58</v>
      </c>
      <c r="E50" s="2629">
        <v>5.85</v>
      </c>
      <c r="F50" s="2629">
        <v>5.94</v>
      </c>
      <c r="G50" s="2629">
        <v>6.03</v>
      </c>
      <c r="H50" s="2629">
        <v>6.21</v>
      </c>
      <c r="I50" s="2629">
        <v>4.1399999999999997</v>
      </c>
      <c r="J50" s="2629">
        <v>4.59</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36136</v>
      </c>
      <c r="D51" s="2629">
        <v>6.12</v>
      </c>
      <c r="E51" s="2629">
        <v>6.39</v>
      </c>
      <c r="F51" s="2629">
        <v>6.66</v>
      </c>
      <c r="G51" s="2629">
        <v>7.2</v>
      </c>
      <c r="H51" s="2629">
        <v>7.56</v>
      </c>
      <c r="I51" s="2629">
        <v>0</v>
      </c>
      <c r="J51" s="2629">
        <v>0</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35977</v>
      </c>
      <c r="D52" s="2629">
        <v>6.57</v>
      </c>
      <c r="E52" s="2629">
        <v>6.93</v>
      </c>
      <c r="F52" s="2629">
        <v>7.11</v>
      </c>
      <c r="G52" s="2629">
        <v>7.65</v>
      </c>
      <c r="H52" s="2629">
        <v>8.01</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35879</v>
      </c>
      <c r="D53" s="2629">
        <v>7.02</v>
      </c>
      <c r="E53" s="2629">
        <v>7.92</v>
      </c>
      <c r="F53" s="2629">
        <v>9</v>
      </c>
      <c r="G53" s="2629">
        <v>9.7200000000000006</v>
      </c>
      <c r="H53" s="2629">
        <v>10.35</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35726</v>
      </c>
      <c r="D54" s="2629">
        <v>7.65</v>
      </c>
      <c r="E54" s="2629">
        <v>8.64</v>
      </c>
      <c r="F54" s="2629">
        <v>9.36</v>
      </c>
      <c r="G54" s="2629">
        <v>9.9</v>
      </c>
      <c r="H54" s="2629">
        <v>10.53</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35300</v>
      </c>
      <c r="D55" s="2629">
        <v>9.18</v>
      </c>
      <c r="E55" s="2629">
        <v>10.08</v>
      </c>
      <c r="F55" s="2629">
        <v>10.98</v>
      </c>
      <c r="G55" s="2629">
        <v>11.7</v>
      </c>
      <c r="H55" s="2629">
        <v>12.42</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35186</v>
      </c>
      <c r="D56" s="2629">
        <v>9.7200000000000006</v>
      </c>
      <c r="E56" s="2629">
        <v>10.98</v>
      </c>
      <c r="F56" s="2629">
        <v>13.14</v>
      </c>
      <c r="G56" s="2629">
        <v>14.94</v>
      </c>
      <c r="H56" s="2629">
        <v>15.12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34881</v>
      </c>
      <c r="D57" s="2629">
        <v>10.08</v>
      </c>
      <c r="E57" s="2629">
        <v>12.06</v>
      </c>
      <c r="F57" s="2629">
        <v>13.5</v>
      </c>
      <c r="G57" s="2629">
        <v>15.12</v>
      </c>
      <c r="H57" s="2629">
        <v>15.3</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34700</v>
      </c>
      <c r="D58" s="2629">
        <v>9</v>
      </c>
      <c r="E58" s="2629">
        <v>10.98</v>
      </c>
      <c r="F58" s="2629">
        <v>12.96</v>
      </c>
      <c r="G58" s="2629">
        <v>14.58</v>
      </c>
      <c r="H58" s="2629">
        <v>14.76</v>
      </c>
      <c r="I58" s="2629">
        <v>0</v>
      </c>
      <c r="J58" s="2629">
        <v>0</v>
      </c>
    </row>
    <row r="59" spans="2:26">
      <c r="B59" s="2629"/>
      <c r="C59" s="2630">
        <v>34161</v>
      </c>
      <c r="D59" s="2629">
        <v>9</v>
      </c>
      <c r="E59" s="2629">
        <v>10.98</v>
      </c>
      <c r="F59" s="2629">
        <v>12.24</v>
      </c>
      <c r="G59" s="2629">
        <v>13.86</v>
      </c>
      <c r="H59" s="2629">
        <v>14.04</v>
      </c>
      <c r="I59" s="2629">
        <v>0</v>
      </c>
      <c r="J59" s="2629">
        <v>0</v>
      </c>
    </row>
    <row r="60" spans="2:26">
      <c r="B60" s="2629"/>
      <c r="C60" s="2630">
        <v>34104</v>
      </c>
      <c r="D60" s="2629">
        <v>8.82</v>
      </c>
      <c r="E60" s="2629">
        <v>9.36</v>
      </c>
      <c r="F60" s="2629">
        <v>10.8</v>
      </c>
      <c r="G60" s="2629">
        <v>12.06</v>
      </c>
      <c r="H60" s="2629">
        <v>12.24</v>
      </c>
      <c r="I60" s="2629">
        <v>0</v>
      </c>
      <c r="J60" s="2629">
        <v>0</v>
      </c>
    </row>
    <row r="61" spans="2:26">
      <c r="B61" s="2629"/>
      <c r="C61" s="2630">
        <v>33349</v>
      </c>
      <c r="D61" s="2629">
        <v>8.1</v>
      </c>
      <c r="E61" s="2629">
        <v>8.64</v>
      </c>
      <c r="F61" s="2629">
        <v>9</v>
      </c>
      <c r="G61" s="2629">
        <v>9.5399999999999991</v>
      </c>
      <c r="H61" s="2629">
        <v>9.7200000000000006</v>
      </c>
      <c r="I61" s="2629">
        <v>0</v>
      </c>
      <c r="J61" s="2629">
        <v>0</v>
      </c>
    </row>
    <row r="62" spans="2:26">
      <c r="B62" s="2629"/>
      <c r="C62" s="2630">
        <v>33318</v>
      </c>
      <c r="D62" s="2629">
        <v>9</v>
      </c>
      <c r="E62" s="2629">
        <v>10.08</v>
      </c>
      <c r="F62" s="2629">
        <v>10.8</v>
      </c>
      <c r="G62" s="2629">
        <v>11.52</v>
      </c>
      <c r="H62" s="2629">
        <v>11.88</v>
      </c>
      <c r="I62" s="2629" t="s">
        <v>2534</v>
      </c>
      <c r="J62" s="2629" t="s">
        <v>2534</v>
      </c>
    </row>
    <row r="63" spans="2:26">
      <c r="B63" s="2629"/>
      <c r="C63" s="2630">
        <v>33106</v>
      </c>
      <c r="D63" s="2629">
        <v>8.64</v>
      </c>
      <c r="E63" s="2629">
        <v>9.36</v>
      </c>
      <c r="F63" s="2629">
        <v>10.08</v>
      </c>
      <c r="G63" s="2629">
        <v>10.8</v>
      </c>
      <c r="H63" s="2629">
        <v>11.16</v>
      </c>
      <c r="I63" s="2629">
        <v>0</v>
      </c>
      <c r="J63" s="2629">
        <v>0</v>
      </c>
    </row>
    <row r="64" spans="2:26">
      <c r="B64" s="2629"/>
      <c r="C64" s="2630">
        <v>32540</v>
      </c>
      <c r="D64" s="2629">
        <v>11.34</v>
      </c>
      <c r="E64" s="2629">
        <v>11.34</v>
      </c>
      <c r="F64" s="2629">
        <v>12.78</v>
      </c>
      <c r="G64" s="2629">
        <v>14.4</v>
      </c>
      <c r="H64" s="2629">
        <v>19.260000000000002</v>
      </c>
      <c r="I64" s="2629">
        <v>0</v>
      </c>
      <c r="J64" s="2629">
        <v>0</v>
      </c>
    </row>
    <row r="65" spans="2:10">
      <c r="B65" s="2629"/>
      <c r="C65" s="2630"/>
      <c r="D65" s="2629"/>
      <c r="E65" s="2629"/>
      <c r="F65" s="2629"/>
      <c r="G65" s="2629"/>
      <c r="H65" s="2629"/>
      <c r="I65" s="2629"/>
      <c r="J65" s="2629"/>
    </row>
    <row r="66" spans="2:10">
      <c r="B66" s="2632"/>
      <c r="C66" s="2633"/>
      <c r="D66" s="2632"/>
      <c r="E66" s="2632"/>
      <c r="F66" s="2632"/>
      <c r="G66" s="2632"/>
      <c r="H66" s="2632"/>
      <c r="I66" s="2632"/>
      <c r="J66" s="2632"/>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580"/>
      <c r="C69" s="2580"/>
      <c r="D69" s="2580"/>
      <c r="E69" s="2580"/>
      <c r="F69" s="2580"/>
      <c r="G69" s="2580"/>
      <c r="H69" s="2580"/>
      <c r="I69" s="2580"/>
      <c r="J69" s="2580"/>
    </row>
    <row r="70" spans="2:10">
      <c r="B70" s="2580"/>
      <c r="C70" s="2580"/>
      <c r="D70" s="2580"/>
      <c r="E70" s="2580"/>
      <c r="F70" s="2580"/>
      <c r="G70" s="2580"/>
      <c r="H70" s="2580"/>
      <c r="I70" s="2580"/>
      <c r="J70"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51" sqref="A51"/>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3"/>
  <sheetViews>
    <sheetView topLeftCell="O1" workbookViewId="0">
      <selection activeCell="AN9" sqref="AN9:AN10"/>
    </sheetView>
  </sheetViews>
  <sheetFormatPr defaultRowHeight="12"/>
  <cols>
    <col min="1" max="1" width="20" style="3456" customWidth="1"/>
    <col min="2" max="3" width="20" style="3456" hidden="1" customWidth="1"/>
    <col min="4" max="4" width="20" style="3456" customWidth="1"/>
    <col min="5" max="5" width="20" style="3456" hidden="1" customWidth="1"/>
    <col min="6" max="6" width="11" style="3456" customWidth="1"/>
    <col min="7" max="7" width="20" style="3456" hidden="1" customWidth="1"/>
    <col min="8" max="8" width="10" style="3456" customWidth="1"/>
    <col min="9" max="9" width="9.5" style="3456" customWidth="1"/>
    <col min="10" max="10" width="10" style="3456" customWidth="1"/>
    <col min="11" max="11" width="27.75" style="3456" customWidth="1"/>
    <col min="12" max="12" width="20" style="3456" hidden="1" customWidth="1"/>
    <col min="13" max="13" width="20" style="3456" customWidth="1"/>
    <col min="14" max="14" width="20" style="3456" hidden="1" customWidth="1"/>
    <col min="15" max="15" width="9.375" style="3456" customWidth="1"/>
    <col min="16" max="17" width="20" style="3456" hidden="1" customWidth="1"/>
    <col min="18" max="18" width="18.875" style="3456" hidden="1" customWidth="1"/>
    <col min="19" max="19" width="11.875" style="3456" customWidth="1"/>
    <col min="20" max="20" width="11.5" style="3456" customWidth="1"/>
    <col min="21" max="27" width="20" style="3456" hidden="1" customWidth="1"/>
    <col min="28" max="28" width="11.375" style="3456" customWidth="1"/>
    <col min="29" max="30" width="20" style="3456" hidden="1" customWidth="1"/>
    <col min="31" max="31" width="20" style="3456" customWidth="1"/>
    <col min="32" max="35" width="20" style="3456" hidden="1" customWidth="1"/>
    <col min="36" max="36" width="9.75" style="3456" customWidth="1"/>
    <col min="37" max="37" width="20" style="3456" hidden="1" customWidth="1"/>
    <col min="38" max="38" width="8.125" style="3456" customWidth="1"/>
    <col min="39" max="39" width="19.875" style="3456" hidden="1" customWidth="1"/>
    <col min="40" max="40" width="7.75" style="3456" customWidth="1"/>
    <col min="41" max="42" width="20" style="3456" hidden="1" customWidth="1"/>
    <col min="43" max="43" width="8.5" style="3456" customWidth="1"/>
    <col min="44" max="44" width="9.125" style="3456" customWidth="1"/>
    <col min="45" max="47" width="20" style="3456" hidden="1" customWidth="1"/>
    <col min="48" max="48" width="7.125" style="3456" customWidth="1"/>
    <col min="49" max="49" width="20" style="3456" hidden="1" customWidth="1"/>
    <col min="50" max="50" width="20" style="3456" customWidth="1"/>
    <col min="51" max="16384" width="9" style="3456"/>
  </cols>
  <sheetData>
    <row r="1" spans="1:49">
      <c r="A1" s="3455" t="s">
        <v>3261</v>
      </c>
      <c r="B1" s="3455" t="s">
        <v>3262</v>
      </c>
      <c r="C1" s="3455" t="s">
        <v>3263</v>
      </c>
      <c r="D1" s="3455" t="s">
        <v>3264</v>
      </c>
      <c r="E1" s="3455" t="s">
        <v>3265</v>
      </c>
      <c r="F1" s="3455" t="s">
        <v>3266</v>
      </c>
      <c r="G1" s="3455" t="s">
        <v>3267</v>
      </c>
      <c r="H1" s="3455" t="s">
        <v>3268</v>
      </c>
      <c r="I1" s="3455" t="s">
        <v>3269</v>
      </c>
      <c r="J1" s="3455" t="s">
        <v>3270</v>
      </c>
      <c r="K1" s="3455" t="s">
        <v>1824</v>
      </c>
      <c r="L1" s="3455" t="s">
        <v>3271</v>
      </c>
      <c r="M1" s="3455" t="s">
        <v>3272</v>
      </c>
      <c r="N1" s="3455" t="s">
        <v>3273</v>
      </c>
      <c r="O1" s="3455" t="s">
        <v>3274</v>
      </c>
      <c r="P1" s="3455" t="s">
        <v>3275</v>
      </c>
      <c r="Q1" s="3455" t="s">
        <v>3276</v>
      </c>
      <c r="R1" s="3455" t="s">
        <v>3277</v>
      </c>
      <c r="S1" s="3455" t="s">
        <v>3278</v>
      </c>
      <c r="T1" s="3455" t="s">
        <v>3279</v>
      </c>
      <c r="U1" s="3455" t="s">
        <v>3280</v>
      </c>
      <c r="V1" s="3455" t="s">
        <v>3281</v>
      </c>
      <c r="W1" s="3455" t="s">
        <v>3282</v>
      </c>
      <c r="X1" s="3455" t="s">
        <v>3283</v>
      </c>
      <c r="Y1" s="3455" t="s">
        <v>3284</v>
      </c>
      <c r="Z1" s="3455" t="s">
        <v>3285</v>
      </c>
      <c r="AA1" s="3455" t="s">
        <v>3286</v>
      </c>
      <c r="AB1" s="3455" t="s">
        <v>3287</v>
      </c>
      <c r="AC1" s="3455" t="s">
        <v>3288</v>
      </c>
      <c r="AD1" s="3455" t="s">
        <v>3289</v>
      </c>
      <c r="AE1" s="3455" t="s">
        <v>3290</v>
      </c>
      <c r="AF1" s="3455" t="s">
        <v>3291</v>
      </c>
      <c r="AG1" s="3455" t="s">
        <v>3292</v>
      </c>
      <c r="AH1" s="3455" t="s">
        <v>3293</v>
      </c>
      <c r="AI1" s="3455" t="s">
        <v>3294</v>
      </c>
      <c r="AJ1" s="3455" t="s">
        <v>3295</v>
      </c>
      <c r="AK1" s="3455" t="s">
        <v>3296</v>
      </c>
      <c r="AL1" s="3455" t="s">
        <v>3297</v>
      </c>
      <c r="AM1" s="3455" t="s">
        <v>3298</v>
      </c>
      <c r="AN1" s="3455" t="s">
        <v>3299</v>
      </c>
      <c r="AO1" s="3455" t="s">
        <v>3300</v>
      </c>
      <c r="AP1" s="3455" t="s">
        <v>3301</v>
      </c>
      <c r="AQ1" s="3455" t="s">
        <v>3302</v>
      </c>
      <c r="AR1" s="3455" t="s">
        <v>3303</v>
      </c>
      <c r="AS1" s="3455" t="s">
        <v>3304</v>
      </c>
      <c r="AT1" s="3455" t="s">
        <v>3305</v>
      </c>
      <c r="AU1" s="3455" t="s">
        <v>3306</v>
      </c>
      <c r="AV1" s="3455" t="s">
        <v>3307</v>
      </c>
      <c r="AW1" s="3455" t="s">
        <v>3308</v>
      </c>
    </row>
    <row r="2" spans="1:49" s="3459" customFormat="1" ht="12.75">
      <c r="A2" s="3459" t="s">
        <v>4165</v>
      </c>
      <c r="D2" s="3459" t="s">
        <v>4166</v>
      </c>
      <c r="F2" s="3460" t="s">
        <v>4162</v>
      </c>
      <c r="H2" s="3459" t="s">
        <v>4167</v>
      </c>
      <c r="I2" s="3460">
        <v>19759</v>
      </c>
      <c r="J2" s="3460">
        <v>51374</v>
      </c>
      <c r="K2" s="3459" t="s">
        <v>4168</v>
      </c>
      <c r="M2" s="3460" t="s">
        <v>4163</v>
      </c>
      <c r="O2" s="3459">
        <v>15</v>
      </c>
      <c r="S2" s="3459" t="s">
        <v>4155</v>
      </c>
      <c r="T2" s="3459" t="s">
        <v>4155</v>
      </c>
      <c r="AB2" s="3461">
        <v>44631</v>
      </c>
      <c r="AE2" s="3459" t="s">
        <v>4169</v>
      </c>
      <c r="AJ2" s="3460">
        <v>51374</v>
      </c>
      <c r="AL2" s="3460">
        <v>1733.33</v>
      </c>
      <c r="AN2" s="3460">
        <v>10000</v>
      </c>
      <c r="AQ2" s="3462">
        <v>0</v>
      </c>
      <c r="AR2" s="3459" t="s">
        <v>4170</v>
      </c>
      <c r="AS2" s="3459" t="s">
        <v>3317</v>
      </c>
      <c r="AT2" s="3459" t="s">
        <v>3317</v>
      </c>
      <c r="AU2" s="3459" t="s">
        <v>3320</v>
      </c>
      <c r="AV2" s="3459" t="s">
        <v>3320</v>
      </c>
    </row>
    <row r="3" spans="1:49" s="3459" customFormat="1" ht="12.75">
      <c r="A3" s="3459" t="s">
        <v>4171</v>
      </c>
      <c r="B3" s="3459" t="s">
        <v>4172</v>
      </c>
      <c r="C3" s="3459" t="s">
        <v>4173</v>
      </c>
      <c r="D3" s="3459" t="s">
        <v>4174</v>
      </c>
      <c r="E3" s="3459" t="s">
        <v>4175</v>
      </c>
      <c r="F3" s="3459" t="s">
        <v>4176</v>
      </c>
      <c r="G3" s="3459" t="s">
        <v>4177</v>
      </c>
      <c r="H3" s="3459" t="s">
        <v>4167</v>
      </c>
      <c r="I3" s="3463">
        <v>6068.29</v>
      </c>
      <c r="J3" s="3459">
        <v>12136.58</v>
      </c>
      <c r="K3" s="3459" t="s">
        <v>4178</v>
      </c>
      <c r="L3" s="3459" t="s">
        <v>4179</v>
      </c>
      <c r="M3" s="3459" t="s">
        <v>4180</v>
      </c>
      <c r="N3" s="3459" t="s">
        <v>3316</v>
      </c>
      <c r="O3" s="3459" t="s">
        <v>3317</v>
      </c>
      <c r="P3" s="3459" t="s">
        <v>4181</v>
      </c>
      <c r="Q3" s="3459" t="s">
        <v>3319</v>
      </c>
      <c r="R3" s="3459" t="s">
        <v>3320</v>
      </c>
      <c r="S3" s="3459" t="s">
        <v>3320</v>
      </c>
      <c r="T3" s="3459" t="s">
        <v>3320</v>
      </c>
      <c r="U3" s="3459" t="s">
        <v>3320</v>
      </c>
      <c r="V3" s="3459" t="s">
        <v>3320</v>
      </c>
      <c r="W3" s="3459">
        <v>0</v>
      </c>
      <c r="X3" s="3459">
        <v>0</v>
      </c>
      <c r="Y3" s="3459" t="s">
        <v>3321</v>
      </c>
      <c r="Z3" s="3459" t="s">
        <v>3322</v>
      </c>
      <c r="AA3" s="3459" t="s">
        <v>3323</v>
      </c>
      <c r="AB3" s="3461">
        <v>44581</v>
      </c>
      <c r="AC3" s="3459" t="s">
        <v>4182</v>
      </c>
      <c r="AD3" s="3459" t="s">
        <v>4183</v>
      </c>
      <c r="AE3" s="3459" t="s">
        <v>4184</v>
      </c>
      <c r="AF3" s="3459" t="s">
        <v>4185</v>
      </c>
      <c r="AG3" s="3459" t="s">
        <v>3325</v>
      </c>
      <c r="AH3" s="3459" t="s">
        <v>3326</v>
      </c>
      <c r="AI3" s="3459" t="s">
        <v>3327</v>
      </c>
      <c r="AJ3" s="3459" t="s">
        <v>3328</v>
      </c>
      <c r="AK3" s="3459" t="s">
        <v>3329</v>
      </c>
      <c r="AL3" s="3459" t="s">
        <v>3330</v>
      </c>
      <c r="AM3" s="3459" t="s">
        <v>3331</v>
      </c>
      <c r="AN3" s="3459">
        <v>10350</v>
      </c>
      <c r="AO3" s="3459" t="s">
        <v>3320</v>
      </c>
      <c r="AP3" s="3459" t="s">
        <v>3320</v>
      </c>
      <c r="AQ3" s="3459" t="s">
        <v>3332</v>
      </c>
      <c r="AR3" s="3459" t="s">
        <v>4170</v>
      </c>
      <c r="AS3" s="3459" t="s">
        <v>3317</v>
      </c>
      <c r="AT3" s="3459" t="s">
        <v>3317</v>
      </c>
      <c r="AU3" s="3459" t="s">
        <v>3320</v>
      </c>
      <c r="AV3" s="3459" t="s">
        <v>3320</v>
      </c>
      <c r="AW3" s="3459" t="s">
        <v>3320</v>
      </c>
    </row>
    <row r="4" spans="1:49" s="3459" customFormat="1" ht="12.75">
      <c r="A4" s="3459" t="s">
        <v>4186</v>
      </c>
      <c r="D4" s="3459" t="s">
        <v>4156</v>
      </c>
      <c r="F4" s="3460" t="s">
        <v>4162</v>
      </c>
      <c r="H4" s="3460" t="s">
        <v>4160</v>
      </c>
      <c r="I4" s="3460">
        <v>29450</v>
      </c>
      <c r="J4" s="3460">
        <v>88349</v>
      </c>
      <c r="K4" s="3460" t="s">
        <v>4164</v>
      </c>
      <c r="M4" s="3460" t="s">
        <v>4161</v>
      </c>
      <c r="O4" s="3459" t="s">
        <v>4155</v>
      </c>
      <c r="S4" s="3459" t="s">
        <v>4155</v>
      </c>
      <c r="T4" s="3459" t="s">
        <v>4155</v>
      </c>
      <c r="AB4" s="3461">
        <v>44070</v>
      </c>
      <c r="AE4" s="3459" t="s">
        <v>4187</v>
      </c>
      <c r="AJ4" s="3459">
        <v>105009</v>
      </c>
      <c r="AL4" s="3460">
        <v>2377.15</v>
      </c>
      <c r="AN4" s="3460">
        <v>11886</v>
      </c>
      <c r="AQ4" s="3462">
        <v>0.48570000000000002</v>
      </c>
      <c r="AR4" s="3459" t="s">
        <v>4170</v>
      </c>
      <c r="AV4" s="3459" t="s">
        <v>3320</v>
      </c>
    </row>
    <row r="5" spans="1:49">
      <c r="A5" s="3455" t="s">
        <v>3334</v>
      </c>
      <c r="B5" s="3455" t="s">
        <v>3309</v>
      </c>
      <c r="C5" s="3455" t="s">
        <v>3310</v>
      </c>
      <c r="D5" s="3455" t="s">
        <v>3335</v>
      </c>
      <c r="E5" s="3455" t="s">
        <v>3311</v>
      </c>
      <c r="F5" s="3455" t="s">
        <v>3336</v>
      </c>
      <c r="G5" s="3455" t="s">
        <v>3337</v>
      </c>
      <c r="H5" s="3455" t="s">
        <v>3313</v>
      </c>
      <c r="I5" s="3455" t="s">
        <v>3338</v>
      </c>
      <c r="J5" s="3455" t="s">
        <v>3339</v>
      </c>
      <c r="K5" s="3455" t="s">
        <v>3340</v>
      </c>
      <c r="L5" s="3455" t="s">
        <v>3314</v>
      </c>
      <c r="M5" s="3455" t="s">
        <v>3315</v>
      </c>
      <c r="N5" s="3455" t="s">
        <v>3316</v>
      </c>
      <c r="O5" s="3455" t="s">
        <v>3317</v>
      </c>
      <c r="P5" s="3455" t="s">
        <v>3341</v>
      </c>
      <c r="Q5" s="3455" t="s">
        <v>3342</v>
      </c>
      <c r="R5" s="3455" t="s">
        <v>3320</v>
      </c>
      <c r="S5" s="3455" t="s">
        <v>3320</v>
      </c>
      <c r="T5" s="3455" t="s">
        <v>3320</v>
      </c>
      <c r="U5" s="3455" t="s">
        <v>3320</v>
      </c>
      <c r="V5" s="3455" t="s">
        <v>3320</v>
      </c>
      <c r="W5" s="3455">
        <v>0</v>
      </c>
      <c r="X5" s="3455">
        <v>0</v>
      </c>
      <c r="Y5" s="3455" t="s">
        <v>3343</v>
      </c>
      <c r="Z5" s="3455" t="s">
        <v>3344</v>
      </c>
      <c r="AA5" s="3455" t="s">
        <v>3345</v>
      </c>
      <c r="AB5" s="3455" t="s">
        <v>3345</v>
      </c>
      <c r="AC5" s="3455" t="s">
        <v>3346</v>
      </c>
      <c r="AD5" s="3455" t="s">
        <v>3324</v>
      </c>
      <c r="AE5" s="3455" t="s">
        <v>3347</v>
      </c>
      <c r="AF5" s="3455" t="s">
        <v>3348</v>
      </c>
      <c r="AG5" s="3455" t="s">
        <v>3349</v>
      </c>
      <c r="AH5" s="3455" t="s">
        <v>3350</v>
      </c>
      <c r="AI5" s="3455" t="s">
        <v>3351</v>
      </c>
      <c r="AJ5" s="3455" t="s">
        <v>3349</v>
      </c>
      <c r="AK5" s="3455" t="s">
        <v>3352</v>
      </c>
      <c r="AL5" s="3455" t="s">
        <v>3352</v>
      </c>
      <c r="AM5" s="3455" t="s">
        <v>3353</v>
      </c>
      <c r="AN5" s="3455" t="s">
        <v>3353</v>
      </c>
      <c r="AO5" s="3455" t="s">
        <v>3320</v>
      </c>
      <c r="AP5" s="3455" t="s">
        <v>3320</v>
      </c>
      <c r="AQ5" s="3455" t="s">
        <v>3354</v>
      </c>
      <c r="AR5" s="3455" t="s">
        <v>3333</v>
      </c>
      <c r="AS5" s="3455" t="s">
        <v>3317</v>
      </c>
      <c r="AT5" s="3455" t="s">
        <v>3317</v>
      </c>
      <c r="AU5" s="3455" t="s">
        <v>3320</v>
      </c>
      <c r="AV5" s="3455" t="s">
        <v>3320</v>
      </c>
      <c r="AW5" s="3455" t="s">
        <v>3320</v>
      </c>
    </row>
    <row r="6" spans="1:49">
      <c r="A6" s="3455" t="s">
        <v>3355</v>
      </c>
      <c r="B6" s="3455" t="s">
        <v>3309</v>
      </c>
      <c r="C6" s="3455" t="s">
        <v>3310</v>
      </c>
      <c r="D6" s="3455" t="s">
        <v>3356</v>
      </c>
      <c r="E6" s="3455" t="s">
        <v>3311</v>
      </c>
      <c r="F6" s="3455" t="s">
        <v>3336</v>
      </c>
      <c r="G6" s="3455" t="s">
        <v>3357</v>
      </c>
      <c r="H6" s="3455" t="s">
        <v>3313</v>
      </c>
      <c r="I6" s="3455" t="s">
        <v>3358</v>
      </c>
      <c r="J6" s="3455" t="s">
        <v>3359</v>
      </c>
      <c r="K6" s="3455" t="s">
        <v>3340</v>
      </c>
      <c r="L6" s="3455" t="s">
        <v>3314</v>
      </c>
      <c r="M6" s="3455" t="s">
        <v>3315</v>
      </c>
      <c r="N6" s="3455" t="s">
        <v>3316</v>
      </c>
      <c r="O6" s="3455" t="s">
        <v>3317</v>
      </c>
      <c r="P6" s="3455" t="s">
        <v>3360</v>
      </c>
      <c r="Q6" s="3455" t="s">
        <v>3342</v>
      </c>
      <c r="R6" s="3455" t="s">
        <v>3320</v>
      </c>
      <c r="S6" s="3455" t="s">
        <v>3320</v>
      </c>
      <c r="T6" s="3455" t="s">
        <v>3320</v>
      </c>
      <c r="U6" s="3455" t="s">
        <v>3354</v>
      </c>
      <c r="V6" s="3455" t="s">
        <v>3354</v>
      </c>
      <c r="W6" s="3455">
        <v>0</v>
      </c>
      <c r="X6" s="3455">
        <v>0</v>
      </c>
      <c r="Y6" s="3455" t="s">
        <v>3343</v>
      </c>
      <c r="Z6" s="3455" t="s">
        <v>3344</v>
      </c>
      <c r="AA6" s="3455" t="s">
        <v>3345</v>
      </c>
      <c r="AB6" s="3455" t="s">
        <v>3345</v>
      </c>
      <c r="AC6" s="3455" t="s">
        <v>3361</v>
      </c>
      <c r="AD6" s="3455" t="s">
        <v>3324</v>
      </c>
      <c r="AE6" s="3455" t="s">
        <v>3347</v>
      </c>
      <c r="AF6" s="3455" t="s">
        <v>3348</v>
      </c>
      <c r="AG6" s="3455" t="s">
        <v>3362</v>
      </c>
      <c r="AH6" s="3455" t="s">
        <v>3363</v>
      </c>
      <c r="AI6" s="3455" t="s">
        <v>3351</v>
      </c>
      <c r="AJ6" s="3455" t="s">
        <v>3362</v>
      </c>
      <c r="AK6" s="3455" t="s">
        <v>3364</v>
      </c>
      <c r="AL6" s="3455" t="s">
        <v>3364</v>
      </c>
      <c r="AM6" s="3455" t="s">
        <v>3365</v>
      </c>
      <c r="AN6" s="3455" t="s">
        <v>3365</v>
      </c>
      <c r="AO6" s="3455" t="s">
        <v>3320</v>
      </c>
      <c r="AP6" s="3455" t="s">
        <v>3320</v>
      </c>
      <c r="AQ6" s="3455" t="s">
        <v>3354</v>
      </c>
      <c r="AR6" s="3455" t="s">
        <v>3333</v>
      </c>
      <c r="AS6" s="3455" t="s">
        <v>3317</v>
      </c>
      <c r="AT6" s="3455" t="s">
        <v>3317</v>
      </c>
      <c r="AU6" s="3455" t="s">
        <v>3320</v>
      </c>
      <c r="AV6" s="3455" t="s">
        <v>3320</v>
      </c>
      <c r="AW6" s="3455" t="s">
        <v>3320</v>
      </c>
    </row>
    <row r="7" spans="1:49">
      <c r="A7" s="3455" t="s">
        <v>3366</v>
      </c>
      <c r="B7" s="3455" t="s">
        <v>3309</v>
      </c>
      <c r="C7" s="3455" t="s">
        <v>3310</v>
      </c>
      <c r="D7" s="3455" t="s">
        <v>3367</v>
      </c>
      <c r="E7" s="3455" t="s">
        <v>3311</v>
      </c>
      <c r="F7" s="3455" t="s">
        <v>3368</v>
      </c>
      <c r="G7" s="3455" t="s">
        <v>3369</v>
      </c>
      <c r="H7" s="3455" t="s">
        <v>3370</v>
      </c>
      <c r="I7" s="3455" t="s">
        <v>3371</v>
      </c>
      <c r="J7" s="3455" t="s">
        <v>3372</v>
      </c>
      <c r="K7" s="3455" t="s">
        <v>3373</v>
      </c>
      <c r="L7" s="3455" t="s">
        <v>3314</v>
      </c>
      <c r="M7" s="3455" t="s">
        <v>3374</v>
      </c>
      <c r="N7" s="3455" t="s">
        <v>3316</v>
      </c>
      <c r="O7" s="3455" t="s">
        <v>3375</v>
      </c>
      <c r="P7" s="3455" t="s">
        <v>3376</v>
      </c>
      <c r="Q7" s="3455" t="s">
        <v>3377</v>
      </c>
      <c r="R7" s="3455" t="s">
        <v>3320</v>
      </c>
      <c r="S7" s="3455" t="s">
        <v>3320</v>
      </c>
      <c r="T7" s="3455" t="s">
        <v>3320</v>
      </c>
      <c r="U7" s="3455" t="s">
        <v>3354</v>
      </c>
      <c r="V7" s="3455" t="s">
        <v>3354</v>
      </c>
      <c r="W7" s="3455">
        <v>0</v>
      </c>
      <c r="X7" s="3455">
        <v>0</v>
      </c>
      <c r="Y7" s="3455" t="s">
        <v>3378</v>
      </c>
      <c r="Z7" s="3455" t="s">
        <v>3379</v>
      </c>
      <c r="AA7" s="3455" t="s">
        <v>3380</v>
      </c>
      <c r="AB7" s="3455" t="s">
        <v>3380</v>
      </c>
      <c r="AC7" s="3455" t="s">
        <v>3381</v>
      </c>
      <c r="AD7" s="3455" t="s">
        <v>3324</v>
      </c>
      <c r="AE7" s="3455" t="s">
        <v>3382</v>
      </c>
      <c r="AF7" s="3455" t="s">
        <v>3383</v>
      </c>
      <c r="AG7" s="3455" t="s">
        <v>3384</v>
      </c>
      <c r="AH7" s="3455" t="s">
        <v>3385</v>
      </c>
      <c r="AI7" s="3455" t="s">
        <v>3386</v>
      </c>
      <c r="AJ7" s="3455" t="s">
        <v>3384</v>
      </c>
      <c r="AK7" s="3455" t="s">
        <v>3387</v>
      </c>
      <c r="AL7" s="3455" t="s">
        <v>3387</v>
      </c>
      <c r="AM7" s="3455" t="s">
        <v>3388</v>
      </c>
      <c r="AN7" s="3455" t="s">
        <v>3388</v>
      </c>
      <c r="AO7" s="3455" t="s">
        <v>3320</v>
      </c>
      <c r="AP7" s="3455" t="s">
        <v>3320</v>
      </c>
      <c r="AQ7" s="3455" t="s">
        <v>3354</v>
      </c>
      <c r="AR7" s="3455" t="s">
        <v>3333</v>
      </c>
      <c r="AS7" s="3455" t="s">
        <v>3317</v>
      </c>
      <c r="AT7" s="3455" t="s">
        <v>3317</v>
      </c>
      <c r="AU7" s="3455" t="s">
        <v>3320</v>
      </c>
      <c r="AV7" s="3455" t="s">
        <v>3320</v>
      </c>
      <c r="AW7" s="3455" t="s">
        <v>3320</v>
      </c>
    </row>
    <row r="8" spans="1:49">
      <c r="A8" s="3455" t="s">
        <v>3389</v>
      </c>
      <c r="B8" s="3455" t="s">
        <v>3309</v>
      </c>
      <c r="C8" s="3455" t="s">
        <v>3310</v>
      </c>
      <c r="D8" s="3455" t="s">
        <v>3390</v>
      </c>
      <c r="E8" s="3455" t="s">
        <v>3311</v>
      </c>
      <c r="F8" s="3455" t="s">
        <v>3368</v>
      </c>
      <c r="G8" s="3455" t="s">
        <v>3391</v>
      </c>
      <c r="H8" s="3455" t="s">
        <v>3370</v>
      </c>
      <c r="I8" s="3455" t="s">
        <v>3392</v>
      </c>
      <c r="J8" s="3455" t="s">
        <v>3393</v>
      </c>
      <c r="K8" s="3455" t="s">
        <v>3394</v>
      </c>
      <c r="L8" s="3455" t="s">
        <v>3314</v>
      </c>
      <c r="M8" s="3455" t="s">
        <v>3374</v>
      </c>
      <c r="N8" s="3455" t="s">
        <v>3316</v>
      </c>
      <c r="O8" s="3455" t="s">
        <v>3395</v>
      </c>
      <c r="P8" s="3455" t="s">
        <v>3396</v>
      </c>
      <c r="Q8" s="3455" t="s">
        <v>3397</v>
      </c>
      <c r="R8" s="3455" t="s">
        <v>3398</v>
      </c>
      <c r="S8" s="3455" t="s">
        <v>3398</v>
      </c>
      <c r="T8" s="3455" t="s">
        <v>3320</v>
      </c>
      <c r="U8" s="3455" t="s">
        <v>3354</v>
      </c>
      <c r="V8" s="3455" t="s">
        <v>3354</v>
      </c>
      <c r="W8" s="3455">
        <v>0</v>
      </c>
      <c r="X8" s="3455">
        <v>0</v>
      </c>
      <c r="Y8" s="3455" t="s">
        <v>3378</v>
      </c>
      <c r="Z8" s="3455" t="s">
        <v>3379</v>
      </c>
      <c r="AA8" s="3455" t="s">
        <v>3380</v>
      </c>
      <c r="AB8" s="3455" t="s">
        <v>3380</v>
      </c>
      <c r="AC8" s="3455" t="s">
        <v>3399</v>
      </c>
      <c r="AD8" s="3455" t="s">
        <v>3324</v>
      </c>
      <c r="AE8" s="3455" t="s">
        <v>3400</v>
      </c>
      <c r="AF8" s="3455" t="s">
        <v>3320</v>
      </c>
      <c r="AG8" s="3455" t="s">
        <v>3401</v>
      </c>
      <c r="AH8" s="3455" t="s">
        <v>3402</v>
      </c>
      <c r="AI8" s="3455" t="s">
        <v>3386</v>
      </c>
      <c r="AJ8" s="3455" t="s">
        <v>3401</v>
      </c>
      <c r="AK8" s="3455" t="s">
        <v>3403</v>
      </c>
      <c r="AL8" s="3455" t="s">
        <v>3403</v>
      </c>
      <c r="AM8" s="3455" t="s">
        <v>3404</v>
      </c>
      <c r="AN8" s="3455" t="s">
        <v>3404</v>
      </c>
      <c r="AO8" s="3455" t="s">
        <v>3320</v>
      </c>
      <c r="AP8" s="3455" t="s">
        <v>3320</v>
      </c>
      <c r="AQ8" s="3455" t="s">
        <v>3354</v>
      </c>
      <c r="AR8" s="3455" t="s">
        <v>3333</v>
      </c>
      <c r="AS8" s="3455" t="s">
        <v>3317</v>
      </c>
      <c r="AT8" s="3455" t="s">
        <v>3317</v>
      </c>
      <c r="AU8" s="3455" t="s">
        <v>3320</v>
      </c>
      <c r="AV8" s="3455" t="s">
        <v>3320</v>
      </c>
      <c r="AW8" s="3455" t="s">
        <v>3320</v>
      </c>
    </row>
    <row r="9" spans="1:49">
      <c r="A9" s="3455" t="s">
        <v>3389</v>
      </c>
      <c r="B9" s="3455" t="s">
        <v>3309</v>
      </c>
      <c r="C9" s="3455" t="s">
        <v>3310</v>
      </c>
      <c r="D9" s="3455" t="s">
        <v>3405</v>
      </c>
      <c r="E9" s="3455" t="s">
        <v>3311</v>
      </c>
      <c r="F9" s="3455" t="s">
        <v>3368</v>
      </c>
      <c r="G9" s="3455" t="s">
        <v>3391</v>
      </c>
      <c r="H9" s="3455" t="s">
        <v>3370</v>
      </c>
      <c r="I9" s="3455" t="s">
        <v>3406</v>
      </c>
      <c r="J9" s="3455" t="s">
        <v>3407</v>
      </c>
      <c r="K9" s="3455" t="s">
        <v>3408</v>
      </c>
      <c r="L9" s="3455" t="s">
        <v>3314</v>
      </c>
      <c r="M9" s="3455" t="s">
        <v>3374</v>
      </c>
      <c r="N9" s="3455" t="s">
        <v>3316</v>
      </c>
      <c r="O9" s="3455" t="s">
        <v>3395</v>
      </c>
      <c r="P9" s="3455" t="s">
        <v>3409</v>
      </c>
      <c r="Q9" s="3455" t="s">
        <v>3397</v>
      </c>
      <c r="R9" s="3455" t="s">
        <v>3398</v>
      </c>
      <c r="S9" s="3455" t="s">
        <v>3398</v>
      </c>
      <c r="T9" s="3455" t="s">
        <v>3320</v>
      </c>
      <c r="U9" s="3455" t="s">
        <v>3354</v>
      </c>
      <c r="V9" s="3455" t="s">
        <v>3354</v>
      </c>
      <c r="W9" s="3455">
        <v>0</v>
      </c>
      <c r="X9" s="3455">
        <v>0</v>
      </c>
      <c r="Y9" s="3455" t="s">
        <v>3378</v>
      </c>
      <c r="Z9" s="3455" t="s">
        <v>3379</v>
      </c>
      <c r="AA9" s="3455" t="s">
        <v>3380</v>
      </c>
      <c r="AB9" s="3455" t="s">
        <v>3380</v>
      </c>
      <c r="AC9" s="3455" t="s">
        <v>3410</v>
      </c>
      <c r="AD9" s="3455" t="s">
        <v>3324</v>
      </c>
      <c r="AE9" s="3455" t="s">
        <v>3400</v>
      </c>
      <c r="AF9" s="3455" t="s">
        <v>3320</v>
      </c>
      <c r="AG9" s="3455" t="s">
        <v>3411</v>
      </c>
      <c r="AH9" s="3455" t="s">
        <v>3412</v>
      </c>
      <c r="AI9" s="3455" t="s">
        <v>3386</v>
      </c>
      <c r="AJ9" s="3455" t="s">
        <v>3411</v>
      </c>
      <c r="AK9" s="3455" t="s">
        <v>3413</v>
      </c>
      <c r="AL9" s="3455" t="s">
        <v>3413</v>
      </c>
      <c r="AM9" s="3455" t="s">
        <v>3414</v>
      </c>
      <c r="AN9" s="3455" t="s">
        <v>3414</v>
      </c>
      <c r="AO9" s="3455" t="s">
        <v>3320</v>
      </c>
      <c r="AP9" s="3455" t="s">
        <v>3320</v>
      </c>
      <c r="AQ9" s="3455" t="s">
        <v>3354</v>
      </c>
      <c r="AR9" s="3455" t="s">
        <v>3333</v>
      </c>
      <c r="AS9" s="3455" t="s">
        <v>3317</v>
      </c>
      <c r="AT9" s="3455" t="s">
        <v>3317</v>
      </c>
      <c r="AU9" s="3455" t="s">
        <v>3320</v>
      </c>
      <c r="AV9" s="3455" t="s">
        <v>3320</v>
      </c>
      <c r="AW9" s="3455" t="s">
        <v>3320</v>
      </c>
    </row>
    <row r="10" spans="1:49">
      <c r="A10" s="3455" t="s">
        <v>3366</v>
      </c>
      <c r="B10" s="3455" t="s">
        <v>3309</v>
      </c>
      <c r="C10" s="3455" t="s">
        <v>3310</v>
      </c>
      <c r="D10" s="3455" t="s">
        <v>3415</v>
      </c>
      <c r="E10" s="3455" t="s">
        <v>3311</v>
      </c>
      <c r="F10" s="3455" t="s">
        <v>3368</v>
      </c>
      <c r="G10" s="3455" t="s">
        <v>3369</v>
      </c>
      <c r="H10" s="3455" t="s">
        <v>3370</v>
      </c>
      <c r="I10" s="3455" t="s">
        <v>3416</v>
      </c>
      <c r="J10" s="3455" t="s">
        <v>3417</v>
      </c>
      <c r="K10" s="3455" t="s">
        <v>3418</v>
      </c>
      <c r="L10" s="3455" t="s">
        <v>3314</v>
      </c>
      <c r="M10" s="3455" t="s">
        <v>3374</v>
      </c>
      <c r="N10" s="3455" t="s">
        <v>3316</v>
      </c>
      <c r="O10" s="3455" t="s">
        <v>3375</v>
      </c>
      <c r="P10" s="3455" t="s">
        <v>3376</v>
      </c>
      <c r="Q10" s="3455" t="s">
        <v>3419</v>
      </c>
      <c r="R10" s="3455" t="s">
        <v>3398</v>
      </c>
      <c r="S10" s="3455" t="s">
        <v>3398</v>
      </c>
      <c r="T10" s="3455" t="s">
        <v>3320</v>
      </c>
      <c r="U10" s="3455" t="s">
        <v>3354</v>
      </c>
      <c r="V10" s="3455" t="s">
        <v>3354</v>
      </c>
      <c r="W10" s="3455">
        <v>0</v>
      </c>
      <c r="X10" s="3455">
        <v>0</v>
      </c>
      <c r="Y10" s="3455" t="s">
        <v>3378</v>
      </c>
      <c r="Z10" s="3455" t="s">
        <v>3379</v>
      </c>
      <c r="AA10" s="3455" t="s">
        <v>3380</v>
      </c>
      <c r="AB10" s="3455" t="s">
        <v>3380</v>
      </c>
      <c r="AC10" s="3455" t="s">
        <v>3420</v>
      </c>
      <c r="AD10" s="3455" t="s">
        <v>3324</v>
      </c>
      <c r="AE10" s="3455" t="s">
        <v>3382</v>
      </c>
      <c r="AF10" s="3455" t="s">
        <v>3383</v>
      </c>
      <c r="AG10" s="3455" t="s">
        <v>3421</v>
      </c>
      <c r="AH10" s="3455" t="s">
        <v>3422</v>
      </c>
      <c r="AI10" s="3455" t="s">
        <v>3386</v>
      </c>
      <c r="AJ10" s="3455" t="s">
        <v>3421</v>
      </c>
      <c r="AK10" s="3455" t="s">
        <v>3423</v>
      </c>
      <c r="AL10" s="3455" t="s">
        <v>3423</v>
      </c>
      <c r="AM10" s="3455" t="s">
        <v>3388</v>
      </c>
      <c r="AN10" s="3455" t="s">
        <v>3388</v>
      </c>
      <c r="AO10" s="3455" t="s">
        <v>3320</v>
      </c>
      <c r="AP10" s="3455" t="s">
        <v>3320</v>
      </c>
      <c r="AQ10" s="3455" t="s">
        <v>3354</v>
      </c>
      <c r="AR10" s="3455" t="s">
        <v>3333</v>
      </c>
      <c r="AS10" s="3455" t="s">
        <v>3317</v>
      </c>
      <c r="AT10" s="3455" t="s">
        <v>3317</v>
      </c>
      <c r="AU10" s="3455" t="s">
        <v>3320</v>
      </c>
      <c r="AV10" s="3455" t="s">
        <v>3320</v>
      </c>
      <c r="AW10" s="3455" t="s">
        <v>3320</v>
      </c>
    </row>
    <row r="11" spans="1:49">
      <c r="A11" s="3455" t="s">
        <v>3424</v>
      </c>
      <c r="B11" s="3455" t="s">
        <v>3309</v>
      </c>
      <c r="C11" s="3455" t="s">
        <v>3310</v>
      </c>
      <c r="D11" s="3455" t="s">
        <v>3425</v>
      </c>
      <c r="E11" s="3455" t="s">
        <v>3311</v>
      </c>
      <c r="F11" s="3455" t="s">
        <v>3336</v>
      </c>
      <c r="G11" s="3455" t="s">
        <v>3426</v>
      </c>
      <c r="H11" s="3455" t="s">
        <v>3370</v>
      </c>
      <c r="I11" s="3455" t="s">
        <v>3427</v>
      </c>
      <c r="J11" s="3455" t="s">
        <v>3428</v>
      </c>
      <c r="K11" s="3455" t="s">
        <v>3340</v>
      </c>
      <c r="L11" s="3455" t="s">
        <v>3314</v>
      </c>
      <c r="M11" s="3455" t="s">
        <v>3429</v>
      </c>
      <c r="N11" s="3455" t="s">
        <v>3316</v>
      </c>
      <c r="O11" s="3455" t="s">
        <v>3430</v>
      </c>
      <c r="P11" s="3455" t="s">
        <v>3431</v>
      </c>
      <c r="Q11" s="3455" t="s">
        <v>3432</v>
      </c>
      <c r="R11" s="3455" t="s">
        <v>3320</v>
      </c>
      <c r="S11" s="3455" t="s">
        <v>3320</v>
      </c>
      <c r="T11" s="3455" t="s">
        <v>3320</v>
      </c>
      <c r="U11" s="3455" t="s">
        <v>3354</v>
      </c>
      <c r="V11" s="3455" t="s">
        <v>3354</v>
      </c>
      <c r="W11" s="3455">
        <v>0</v>
      </c>
      <c r="X11" s="3455">
        <v>0</v>
      </c>
      <c r="Y11" s="3455" t="s">
        <v>3433</v>
      </c>
      <c r="Z11" s="3455" t="s">
        <v>3434</v>
      </c>
      <c r="AA11" s="3455" t="s">
        <v>3435</v>
      </c>
      <c r="AB11" s="3455" t="s">
        <v>3435</v>
      </c>
      <c r="AC11" s="3455" t="s">
        <v>3436</v>
      </c>
      <c r="AD11" s="3455" t="s">
        <v>3324</v>
      </c>
      <c r="AE11" s="3455" t="s">
        <v>3437</v>
      </c>
      <c r="AF11" s="3455" t="s">
        <v>3438</v>
      </c>
      <c r="AG11" s="3455" t="s">
        <v>3439</v>
      </c>
      <c r="AH11" s="3455" t="s">
        <v>3440</v>
      </c>
      <c r="AI11" s="3455" t="s">
        <v>3441</v>
      </c>
      <c r="AJ11" s="3455" t="s">
        <v>3439</v>
      </c>
      <c r="AK11" s="3455" t="s">
        <v>3442</v>
      </c>
      <c r="AL11" s="3455" t="s">
        <v>3442</v>
      </c>
      <c r="AM11" s="3455" t="s">
        <v>3443</v>
      </c>
      <c r="AN11" s="3455" t="s">
        <v>3443</v>
      </c>
      <c r="AO11" s="3455" t="s">
        <v>3320</v>
      </c>
      <c r="AP11" s="3455" t="s">
        <v>3320</v>
      </c>
      <c r="AQ11" s="3455" t="s">
        <v>3354</v>
      </c>
      <c r="AR11" s="3455" t="s">
        <v>3444</v>
      </c>
      <c r="AS11" s="3455" t="s">
        <v>3317</v>
      </c>
      <c r="AT11" s="3455" t="s">
        <v>3317</v>
      </c>
      <c r="AU11" s="3455" t="s">
        <v>3320</v>
      </c>
      <c r="AV11" s="3455" t="s">
        <v>3320</v>
      </c>
      <c r="AW11" s="3455" t="s">
        <v>3320</v>
      </c>
    </row>
    <row r="12" spans="1:49">
      <c r="A12" s="3455" t="s">
        <v>3424</v>
      </c>
      <c r="B12" s="3455" t="s">
        <v>3309</v>
      </c>
      <c r="C12" s="3455" t="s">
        <v>3310</v>
      </c>
      <c r="D12" s="3455" t="s">
        <v>3445</v>
      </c>
      <c r="E12" s="3455" t="s">
        <v>3311</v>
      </c>
      <c r="F12" s="3455" t="s">
        <v>3336</v>
      </c>
      <c r="G12" s="3455" t="s">
        <v>3426</v>
      </c>
      <c r="H12" s="3455" t="s">
        <v>3370</v>
      </c>
      <c r="I12" s="3455" t="s">
        <v>3446</v>
      </c>
      <c r="J12" s="3455" t="s">
        <v>3447</v>
      </c>
      <c r="K12" s="3455" t="s">
        <v>3340</v>
      </c>
      <c r="L12" s="3455" t="s">
        <v>3314</v>
      </c>
      <c r="M12" s="3455" t="s">
        <v>3448</v>
      </c>
      <c r="N12" s="3455" t="s">
        <v>3316</v>
      </c>
      <c r="O12" s="3455" t="s">
        <v>3449</v>
      </c>
      <c r="P12" s="3455" t="s">
        <v>3431</v>
      </c>
      <c r="Q12" s="3455" t="s">
        <v>3432</v>
      </c>
      <c r="R12" s="3455" t="s">
        <v>3320</v>
      </c>
      <c r="S12" s="3455" t="s">
        <v>3320</v>
      </c>
      <c r="T12" s="3455" t="s">
        <v>3320</v>
      </c>
      <c r="U12" s="3455" t="s">
        <v>3354</v>
      </c>
      <c r="V12" s="3455" t="s">
        <v>3354</v>
      </c>
      <c r="W12" s="3455">
        <v>0</v>
      </c>
      <c r="X12" s="3455">
        <v>0</v>
      </c>
      <c r="Y12" s="3455" t="s">
        <v>3433</v>
      </c>
      <c r="Z12" s="3455" t="s">
        <v>3434</v>
      </c>
      <c r="AA12" s="3455" t="s">
        <v>3435</v>
      </c>
      <c r="AB12" s="3455" t="s">
        <v>3435</v>
      </c>
      <c r="AC12" s="3455" t="s">
        <v>3450</v>
      </c>
      <c r="AD12" s="3455" t="s">
        <v>3324</v>
      </c>
      <c r="AE12" s="3455" t="s">
        <v>3437</v>
      </c>
      <c r="AF12" s="3455" t="s">
        <v>3438</v>
      </c>
      <c r="AG12" s="3455" t="s">
        <v>3451</v>
      </c>
      <c r="AH12" s="3455" t="s">
        <v>3452</v>
      </c>
      <c r="AI12" s="3455" t="s">
        <v>3441</v>
      </c>
      <c r="AJ12" s="3455" t="s">
        <v>3451</v>
      </c>
      <c r="AK12" s="3455" t="s">
        <v>3453</v>
      </c>
      <c r="AL12" s="3455" t="s">
        <v>3453</v>
      </c>
      <c r="AM12" s="3455" t="s">
        <v>3454</v>
      </c>
      <c r="AN12" s="3455" t="s">
        <v>3454</v>
      </c>
      <c r="AO12" s="3455" t="s">
        <v>3320</v>
      </c>
      <c r="AP12" s="3455" t="s">
        <v>3320</v>
      </c>
      <c r="AQ12" s="3455" t="s">
        <v>3354</v>
      </c>
      <c r="AR12" s="3455" t="s">
        <v>3444</v>
      </c>
      <c r="AS12" s="3455" t="s">
        <v>3317</v>
      </c>
      <c r="AT12" s="3455" t="s">
        <v>3317</v>
      </c>
      <c r="AU12" s="3455" t="s">
        <v>3320</v>
      </c>
      <c r="AV12" s="3455" t="s">
        <v>3320</v>
      </c>
      <c r="AW12" s="3455" t="s">
        <v>3320</v>
      </c>
    </row>
    <row r="13" spans="1:49">
      <c r="A13" s="3455" t="s">
        <v>3455</v>
      </c>
      <c r="B13" s="3455" t="s">
        <v>3309</v>
      </c>
      <c r="C13" s="3455" t="s">
        <v>3310</v>
      </c>
      <c r="D13" s="3455" t="s">
        <v>3456</v>
      </c>
      <c r="E13" s="3455" t="s">
        <v>3311</v>
      </c>
      <c r="F13" s="3455" t="s">
        <v>3336</v>
      </c>
      <c r="G13" s="3455" t="s">
        <v>3457</v>
      </c>
      <c r="H13" s="3455" t="s">
        <v>3313</v>
      </c>
      <c r="I13" s="3455" t="s">
        <v>3458</v>
      </c>
      <c r="J13" s="3455" t="s">
        <v>3459</v>
      </c>
      <c r="K13" s="3455" t="s">
        <v>3418</v>
      </c>
      <c r="L13" s="3455" t="s">
        <v>3314</v>
      </c>
      <c r="M13" s="3455" t="s">
        <v>3315</v>
      </c>
      <c r="N13" s="3455" t="s">
        <v>3316</v>
      </c>
      <c r="O13" s="3455" t="s">
        <v>3460</v>
      </c>
      <c r="P13" s="3455" t="s">
        <v>3360</v>
      </c>
      <c r="Q13" s="3455" t="s">
        <v>3461</v>
      </c>
      <c r="R13" s="3455" t="s">
        <v>3462</v>
      </c>
      <c r="S13" s="3455" t="s">
        <v>3462</v>
      </c>
      <c r="T13" s="3455" t="s">
        <v>3463</v>
      </c>
      <c r="U13" s="3455" t="s">
        <v>3320</v>
      </c>
      <c r="V13" s="3455" t="s">
        <v>3354</v>
      </c>
      <c r="W13" s="3455">
        <v>0</v>
      </c>
      <c r="X13" s="3455">
        <v>0</v>
      </c>
      <c r="Y13" s="3455" t="s">
        <v>3464</v>
      </c>
      <c r="Z13" s="3455" t="s">
        <v>3465</v>
      </c>
      <c r="AA13" s="3455" t="s">
        <v>3433</v>
      </c>
      <c r="AB13" s="3455" t="s">
        <v>3433</v>
      </c>
      <c r="AC13" s="3455" t="s">
        <v>3466</v>
      </c>
      <c r="AD13" s="3455" t="s">
        <v>3324</v>
      </c>
      <c r="AE13" s="3455" t="s">
        <v>3467</v>
      </c>
      <c r="AF13" s="3455" t="s">
        <v>3320</v>
      </c>
      <c r="AG13" s="3455" t="s">
        <v>3468</v>
      </c>
      <c r="AH13" s="3455" t="s">
        <v>3469</v>
      </c>
      <c r="AI13" s="3455" t="s">
        <v>3470</v>
      </c>
      <c r="AJ13" s="3455" t="s">
        <v>3468</v>
      </c>
      <c r="AK13" s="3455" t="s">
        <v>3471</v>
      </c>
      <c r="AL13" s="3455" t="s">
        <v>3471</v>
      </c>
      <c r="AM13" s="3455" t="s">
        <v>3472</v>
      </c>
      <c r="AN13" s="3455" t="s">
        <v>3472</v>
      </c>
      <c r="AO13" s="3455" t="s">
        <v>3320</v>
      </c>
      <c r="AP13" s="3455" t="s">
        <v>3320</v>
      </c>
      <c r="AQ13" s="3455" t="s">
        <v>3354</v>
      </c>
      <c r="AR13" s="3455" t="s">
        <v>3333</v>
      </c>
      <c r="AS13" s="3455" t="s">
        <v>3317</v>
      </c>
      <c r="AT13" s="3455" t="s">
        <v>3317</v>
      </c>
      <c r="AU13" s="3455" t="s">
        <v>3320</v>
      </c>
      <c r="AV13" s="3455" t="s">
        <v>3320</v>
      </c>
      <c r="AW13" s="3455" t="s">
        <v>3320</v>
      </c>
    </row>
    <row r="14" spans="1:49">
      <c r="A14" s="3455" t="s">
        <v>3473</v>
      </c>
      <c r="B14" s="3455" t="s">
        <v>3309</v>
      </c>
      <c r="C14" s="3455" t="s">
        <v>3310</v>
      </c>
      <c r="D14" s="3455" t="s">
        <v>3474</v>
      </c>
      <c r="E14" s="3455" t="s">
        <v>3311</v>
      </c>
      <c r="F14" s="3455" t="s">
        <v>3336</v>
      </c>
      <c r="G14" s="3455" t="s">
        <v>3475</v>
      </c>
      <c r="H14" s="3455" t="s">
        <v>3313</v>
      </c>
      <c r="I14" s="3455" t="s">
        <v>3476</v>
      </c>
      <c r="J14" s="3455" t="s">
        <v>3477</v>
      </c>
      <c r="K14" s="3455" t="s">
        <v>3418</v>
      </c>
      <c r="L14" s="3455" t="s">
        <v>3314</v>
      </c>
      <c r="M14" s="3455" t="s">
        <v>3315</v>
      </c>
      <c r="N14" s="3455" t="s">
        <v>3316</v>
      </c>
      <c r="O14" s="3455" t="s">
        <v>3317</v>
      </c>
      <c r="P14" s="3455" t="s">
        <v>3360</v>
      </c>
      <c r="Q14" s="3455" t="s">
        <v>3461</v>
      </c>
      <c r="R14" s="3455" t="s">
        <v>3462</v>
      </c>
      <c r="S14" s="3455" t="s">
        <v>3462</v>
      </c>
      <c r="T14" s="3455" t="s">
        <v>3463</v>
      </c>
      <c r="U14" s="3455" t="s">
        <v>3320</v>
      </c>
      <c r="V14" s="3455" t="s">
        <v>3320</v>
      </c>
      <c r="W14" s="3455">
        <v>0</v>
      </c>
      <c r="X14" s="3455">
        <v>0</v>
      </c>
      <c r="Y14" s="3455" t="s">
        <v>3464</v>
      </c>
      <c r="Z14" s="3455" t="s">
        <v>3465</v>
      </c>
      <c r="AA14" s="3455" t="s">
        <v>3433</v>
      </c>
      <c r="AB14" s="3455" t="s">
        <v>3433</v>
      </c>
      <c r="AC14" s="3455" t="s">
        <v>3478</v>
      </c>
      <c r="AD14" s="3455" t="s">
        <v>3324</v>
      </c>
      <c r="AE14" s="3455" t="s">
        <v>3467</v>
      </c>
      <c r="AF14" s="3455" t="s">
        <v>3479</v>
      </c>
      <c r="AG14" s="3455" t="s">
        <v>3480</v>
      </c>
      <c r="AH14" s="3455" t="s">
        <v>3481</v>
      </c>
      <c r="AI14" s="3455" t="s">
        <v>3470</v>
      </c>
      <c r="AJ14" s="3455" t="s">
        <v>3480</v>
      </c>
      <c r="AK14" s="3455" t="s">
        <v>3482</v>
      </c>
      <c r="AL14" s="3455" t="s">
        <v>3482</v>
      </c>
      <c r="AM14" s="3455" t="s">
        <v>3483</v>
      </c>
      <c r="AN14" s="3455" t="s">
        <v>3483</v>
      </c>
      <c r="AO14" s="3455" t="s">
        <v>3320</v>
      </c>
      <c r="AP14" s="3455" t="s">
        <v>3320</v>
      </c>
      <c r="AQ14" s="3455" t="s">
        <v>3354</v>
      </c>
      <c r="AR14" s="3455" t="s">
        <v>3333</v>
      </c>
      <c r="AS14" s="3455" t="s">
        <v>3317</v>
      </c>
      <c r="AT14" s="3455" t="s">
        <v>3317</v>
      </c>
      <c r="AU14" s="3455" t="s">
        <v>3320</v>
      </c>
      <c r="AV14" s="3455" t="s">
        <v>3320</v>
      </c>
      <c r="AW14" s="3455" t="s">
        <v>3320</v>
      </c>
    </row>
    <row r="15" spans="1:49">
      <c r="A15" s="3455" t="s">
        <v>3484</v>
      </c>
      <c r="B15" s="3455" t="s">
        <v>3309</v>
      </c>
      <c r="C15" s="3455" t="s">
        <v>3310</v>
      </c>
      <c r="D15" s="3455" t="s">
        <v>3485</v>
      </c>
      <c r="E15" s="3455" t="s">
        <v>3311</v>
      </c>
      <c r="F15" s="3455" t="s">
        <v>3368</v>
      </c>
      <c r="G15" s="3455" t="s">
        <v>3486</v>
      </c>
      <c r="H15" s="3455" t="s">
        <v>3313</v>
      </c>
      <c r="I15" s="3455" t="s">
        <v>3487</v>
      </c>
      <c r="J15" s="3455" t="s">
        <v>3488</v>
      </c>
      <c r="K15" s="3455" t="s">
        <v>3489</v>
      </c>
      <c r="L15" s="3455" t="s">
        <v>3314</v>
      </c>
      <c r="M15" s="3455" t="s">
        <v>3315</v>
      </c>
      <c r="N15" s="3455" t="s">
        <v>3316</v>
      </c>
      <c r="O15" s="3455" t="s">
        <v>3460</v>
      </c>
      <c r="P15" s="3455" t="s">
        <v>3341</v>
      </c>
      <c r="Q15" s="3455" t="s">
        <v>3490</v>
      </c>
      <c r="R15" s="3455" t="s">
        <v>3462</v>
      </c>
      <c r="S15" s="3455" t="s">
        <v>3462</v>
      </c>
      <c r="T15" s="3455" t="s">
        <v>3320</v>
      </c>
      <c r="U15" s="3455" t="s">
        <v>3354</v>
      </c>
      <c r="V15" s="3455" t="s">
        <v>3354</v>
      </c>
      <c r="W15" s="3455">
        <v>0</v>
      </c>
      <c r="X15" s="3455">
        <v>0</v>
      </c>
      <c r="Y15" s="3455" t="s">
        <v>3491</v>
      </c>
      <c r="Z15" s="3455" t="s">
        <v>3492</v>
      </c>
      <c r="AA15" s="3455" t="s">
        <v>3493</v>
      </c>
      <c r="AB15" s="3455" t="s">
        <v>3493</v>
      </c>
      <c r="AC15" s="3455" t="s">
        <v>3494</v>
      </c>
      <c r="AD15" s="3455" t="s">
        <v>3324</v>
      </c>
      <c r="AE15" s="3455" t="s">
        <v>3495</v>
      </c>
      <c r="AF15" s="3455" t="s">
        <v>3496</v>
      </c>
      <c r="AG15" s="3455" t="s">
        <v>3497</v>
      </c>
      <c r="AH15" s="3455" t="s">
        <v>3498</v>
      </c>
      <c r="AI15" s="3455" t="s">
        <v>3499</v>
      </c>
      <c r="AJ15" s="3455" t="s">
        <v>3497</v>
      </c>
      <c r="AK15" s="3455" t="s">
        <v>3500</v>
      </c>
      <c r="AL15" s="3455" t="s">
        <v>3500</v>
      </c>
      <c r="AM15" s="3455" t="s">
        <v>3501</v>
      </c>
      <c r="AN15" s="3455" t="s">
        <v>3501</v>
      </c>
      <c r="AO15" s="3455" t="s">
        <v>3320</v>
      </c>
      <c r="AP15" s="3455" t="s">
        <v>3320</v>
      </c>
      <c r="AQ15" s="3455" t="s">
        <v>3354</v>
      </c>
      <c r="AR15" s="3455" t="s">
        <v>3333</v>
      </c>
      <c r="AS15" s="3455" t="s">
        <v>3317</v>
      </c>
      <c r="AT15" s="3455" t="s">
        <v>3317</v>
      </c>
      <c r="AU15" s="3455" t="s">
        <v>3320</v>
      </c>
      <c r="AV15" s="3455" t="s">
        <v>3320</v>
      </c>
      <c r="AW15" s="3455" t="s">
        <v>3502</v>
      </c>
    </row>
    <row r="16" spans="1:49">
      <c r="A16" s="3455" t="s">
        <v>3424</v>
      </c>
      <c r="B16" s="3455" t="s">
        <v>3309</v>
      </c>
      <c r="C16" s="3455" t="s">
        <v>3310</v>
      </c>
      <c r="D16" s="3455" t="s">
        <v>3503</v>
      </c>
      <c r="E16" s="3455" t="s">
        <v>3311</v>
      </c>
      <c r="F16" s="3455" t="s">
        <v>3368</v>
      </c>
      <c r="G16" s="3455" t="s">
        <v>3426</v>
      </c>
      <c r="H16" s="3455" t="s">
        <v>3313</v>
      </c>
      <c r="I16" s="3455" t="s">
        <v>3504</v>
      </c>
      <c r="J16" s="3455" t="s">
        <v>3505</v>
      </c>
      <c r="K16" s="3455" t="s">
        <v>3506</v>
      </c>
      <c r="L16" s="3455" t="s">
        <v>3314</v>
      </c>
      <c r="M16" s="3455" t="s">
        <v>3315</v>
      </c>
      <c r="N16" s="3455" t="s">
        <v>3316</v>
      </c>
      <c r="O16" s="3455" t="s">
        <v>3460</v>
      </c>
      <c r="P16" s="3455" t="s">
        <v>3318</v>
      </c>
      <c r="Q16" s="3455" t="s">
        <v>3490</v>
      </c>
      <c r="R16" s="3455" t="s">
        <v>3462</v>
      </c>
      <c r="S16" s="3455" t="s">
        <v>3462</v>
      </c>
      <c r="T16" s="3455" t="s">
        <v>3463</v>
      </c>
      <c r="U16" s="3455" t="s">
        <v>3354</v>
      </c>
      <c r="V16" s="3455" t="s">
        <v>3320</v>
      </c>
      <c r="W16" s="3455">
        <v>0</v>
      </c>
      <c r="X16" s="3455">
        <v>0</v>
      </c>
      <c r="Y16" s="3455" t="s">
        <v>3507</v>
      </c>
      <c r="Z16" s="3455" t="s">
        <v>3508</v>
      </c>
      <c r="AA16" s="3455" t="s">
        <v>3509</v>
      </c>
      <c r="AB16" s="3455" t="s">
        <v>3509</v>
      </c>
      <c r="AC16" s="3455" t="s">
        <v>3510</v>
      </c>
      <c r="AD16" s="3455" t="s">
        <v>3324</v>
      </c>
      <c r="AE16" s="3455" t="s">
        <v>3511</v>
      </c>
      <c r="AF16" s="3455" t="s">
        <v>3512</v>
      </c>
      <c r="AG16" s="3455" t="s">
        <v>3513</v>
      </c>
      <c r="AH16" s="3455" t="s">
        <v>3514</v>
      </c>
      <c r="AI16" s="3455" t="s">
        <v>3515</v>
      </c>
      <c r="AJ16" s="3455" t="s">
        <v>3513</v>
      </c>
      <c r="AK16" s="3455" t="s">
        <v>3516</v>
      </c>
      <c r="AL16" s="3455" t="s">
        <v>3516</v>
      </c>
      <c r="AM16" s="3455" t="s">
        <v>3517</v>
      </c>
      <c r="AN16" s="3455" t="s">
        <v>3517</v>
      </c>
      <c r="AO16" s="3455" t="s">
        <v>3320</v>
      </c>
      <c r="AP16" s="3455" t="s">
        <v>3320</v>
      </c>
      <c r="AQ16" s="3455" t="s">
        <v>3354</v>
      </c>
      <c r="AR16" s="3455" t="s">
        <v>3333</v>
      </c>
      <c r="AS16" s="3455" t="s">
        <v>3317</v>
      </c>
      <c r="AT16" s="3455" t="s">
        <v>3317</v>
      </c>
      <c r="AU16" s="3455" t="s">
        <v>3320</v>
      </c>
      <c r="AV16" s="3455" t="s">
        <v>3320</v>
      </c>
      <c r="AW16" s="3455" t="s">
        <v>3518</v>
      </c>
    </row>
    <row r="17" spans="1:49">
      <c r="A17" s="3455" t="s">
        <v>3519</v>
      </c>
      <c r="B17" s="3455" t="s">
        <v>3309</v>
      </c>
      <c r="C17" s="3455" t="s">
        <v>3310</v>
      </c>
      <c r="D17" s="3455" t="s">
        <v>3520</v>
      </c>
      <c r="E17" s="3455" t="s">
        <v>3311</v>
      </c>
      <c r="F17" s="3455" t="s">
        <v>3368</v>
      </c>
      <c r="G17" s="3455" t="s">
        <v>3521</v>
      </c>
      <c r="H17" s="3455" t="s">
        <v>3313</v>
      </c>
      <c r="I17" s="3455" t="s">
        <v>3522</v>
      </c>
      <c r="J17" s="3455" t="s">
        <v>3523</v>
      </c>
      <c r="K17" s="3455" t="s">
        <v>3524</v>
      </c>
      <c r="L17" s="3455" t="s">
        <v>3314</v>
      </c>
      <c r="M17" s="3455" t="s">
        <v>3315</v>
      </c>
      <c r="N17" s="3455" t="s">
        <v>3316</v>
      </c>
      <c r="O17" s="3455" t="s">
        <v>3460</v>
      </c>
      <c r="P17" s="3455" t="s">
        <v>3431</v>
      </c>
      <c r="Q17" s="3455" t="s">
        <v>3490</v>
      </c>
      <c r="R17" s="3455" t="s">
        <v>3462</v>
      </c>
      <c r="S17" s="3455" t="s">
        <v>3462</v>
      </c>
      <c r="T17" s="3455" t="s">
        <v>3320</v>
      </c>
      <c r="U17" s="3455" t="s">
        <v>3354</v>
      </c>
      <c r="V17" s="3455" t="s">
        <v>3320</v>
      </c>
      <c r="W17" s="3455">
        <v>0</v>
      </c>
      <c r="X17" s="3455">
        <v>0</v>
      </c>
      <c r="Y17" s="3455" t="s">
        <v>3525</v>
      </c>
      <c r="Z17" s="3455" t="s">
        <v>3526</v>
      </c>
      <c r="AA17" s="3455" t="s">
        <v>3527</v>
      </c>
      <c r="AB17" s="3455" t="s">
        <v>3527</v>
      </c>
      <c r="AC17" s="3455" t="s">
        <v>3528</v>
      </c>
      <c r="AD17" s="3455" t="s">
        <v>3324</v>
      </c>
      <c r="AE17" s="3455" t="s">
        <v>3495</v>
      </c>
      <c r="AF17" s="3455" t="s">
        <v>3496</v>
      </c>
      <c r="AG17" s="3455" t="s">
        <v>3529</v>
      </c>
      <c r="AH17" s="3455" t="s">
        <v>3530</v>
      </c>
      <c r="AI17" s="3455" t="s">
        <v>3531</v>
      </c>
      <c r="AJ17" s="3455" t="s">
        <v>3529</v>
      </c>
      <c r="AK17" s="3455" t="s">
        <v>3532</v>
      </c>
      <c r="AL17" s="3455" t="s">
        <v>3532</v>
      </c>
      <c r="AM17" s="3455" t="s">
        <v>3501</v>
      </c>
      <c r="AN17" s="3455" t="s">
        <v>3501</v>
      </c>
      <c r="AO17" s="3455" t="s">
        <v>3320</v>
      </c>
      <c r="AP17" s="3455" t="s">
        <v>3320</v>
      </c>
      <c r="AQ17" s="3455" t="s">
        <v>3354</v>
      </c>
      <c r="AR17" s="3455" t="s">
        <v>3333</v>
      </c>
      <c r="AS17" s="3455" t="s">
        <v>3317</v>
      </c>
      <c r="AT17" s="3455" t="s">
        <v>3317</v>
      </c>
      <c r="AU17" s="3455" t="s">
        <v>3320</v>
      </c>
      <c r="AV17" s="3455" t="s">
        <v>3320</v>
      </c>
      <c r="AW17" s="3455" t="s">
        <v>3502</v>
      </c>
    </row>
    <row r="18" spans="1:49">
      <c r="A18" s="3455" t="s">
        <v>3533</v>
      </c>
      <c r="B18" s="3455" t="s">
        <v>3309</v>
      </c>
      <c r="C18" s="3455" t="s">
        <v>3310</v>
      </c>
      <c r="D18" s="3455" t="s">
        <v>3534</v>
      </c>
      <c r="E18" s="3455" t="s">
        <v>3311</v>
      </c>
      <c r="F18" s="3455" t="s">
        <v>3368</v>
      </c>
      <c r="G18" s="3455" t="s">
        <v>3535</v>
      </c>
      <c r="H18" s="3455" t="s">
        <v>3313</v>
      </c>
      <c r="I18" s="3455" t="s">
        <v>3536</v>
      </c>
      <c r="J18" s="3455" t="s">
        <v>3537</v>
      </c>
      <c r="K18" s="3455" t="s">
        <v>3538</v>
      </c>
      <c r="L18" s="3455" t="s">
        <v>3314</v>
      </c>
      <c r="M18" s="3455" t="s">
        <v>3539</v>
      </c>
      <c r="N18" s="3455" t="s">
        <v>3316</v>
      </c>
      <c r="O18" s="3455" t="s">
        <v>3540</v>
      </c>
      <c r="P18" s="3455" t="s">
        <v>3541</v>
      </c>
      <c r="Q18" s="3455" t="s">
        <v>3461</v>
      </c>
      <c r="R18" s="3455" t="s">
        <v>3398</v>
      </c>
      <c r="S18" s="3455" t="s">
        <v>3398</v>
      </c>
      <c r="T18" s="3455" t="s">
        <v>3320</v>
      </c>
      <c r="U18" s="3455" t="s">
        <v>3354</v>
      </c>
      <c r="V18" s="3455" t="s">
        <v>3354</v>
      </c>
      <c r="W18" s="3455">
        <v>0</v>
      </c>
      <c r="X18" s="3455">
        <v>0</v>
      </c>
      <c r="Y18" s="3455" t="s">
        <v>3542</v>
      </c>
      <c r="Z18" s="3455" t="s">
        <v>3543</v>
      </c>
      <c r="AA18" s="3455" t="s">
        <v>3544</v>
      </c>
      <c r="AB18" s="3455" t="s">
        <v>3544</v>
      </c>
      <c r="AC18" s="3455" t="s">
        <v>3545</v>
      </c>
      <c r="AD18" s="3455" t="s">
        <v>3324</v>
      </c>
      <c r="AE18" s="3455" t="s">
        <v>3546</v>
      </c>
      <c r="AF18" s="3455" t="s">
        <v>3320</v>
      </c>
      <c r="AG18" s="3455" t="s">
        <v>3547</v>
      </c>
      <c r="AH18" s="3455" t="s">
        <v>3548</v>
      </c>
      <c r="AI18" s="3455" t="s">
        <v>3549</v>
      </c>
      <c r="AJ18" s="3455" t="s">
        <v>3547</v>
      </c>
      <c r="AK18" s="3455" t="s">
        <v>3550</v>
      </c>
      <c r="AL18" s="3455" t="s">
        <v>3550</v>
      </c>
      <c r="AM18" s="3455" t="s">
        <v>3551</v>
      </c>
      <c r="AN18" s="3455" t="s">
        <v>3551</v>
      </c>
      <c r="AO18" s="3455" t="s">
        <v>3320</v>
      </c>
      <c r="AP18" s="3455" t="s">
        <v>3320</v>
      </c>
      <c r="AQ18" s="3455" t="s">
        <v>3354</v>
      </c>
      <c r="AR18" s="3455" t="s">
        <v>3552</v>
      </c>
      <c r="AS18" s="3455" t="s">
        <v>3317</v>
      </c>
      <c r="AT18" s="3455" t="s">
        <v>3317</v>
      </c>
      <c r="AU18" s="3455" t="s">
        <v>3320</v>
      </c>
      <c r="AV18" s="3455" t="s">
        <v>3320</v>
      </c>
      <c r="AW18" s="3455" t="s">
        <v>3553</v>
      </c>
    </row>
    <row r="19" spans="1:49">
      <c r="A19" s="3455" t="s">
        <v>3554</v>
      </c>
      <c r="B19" s="3455" t="s">
        <v>3309</v>
      </c>
      <c r="C19" s="3455" t="s">
        <v>3310</v>
      </c>
      <c r="D19" s="3455" t="s">
        <v>3555</v>
      </c>
      <c r="E19" s="3455" t="s">
        <v>3311</v>
      </c>
      <c r="F19" s="3455" t="s">
        <v>3336</v>
      </c>
      <c r="G19" s="3455" t="s">
        <v>3556</v>
      </c>
      <c r="H19" s="3455" t="s">
        <v>3313</v>
      </c>
      <c r="I19" s="3455" t="s">
        <v>3557</v>
      </c>
      <c r="J19" s="3455" t="s">
        <v>3558</v>
      </c>
      <c r="K19" s="3455" t="s">
        <v>3340</v>
      </c>
      <c r="L19" s="3455" t="s">
        <v>3314</v>
      </c>
      <c r="M19" s="3455" t="s">
        <v>3559</v>
      </c>
      <c r="N19" s="3455" t="s">
        <v>3316</v>
      </c>
      <c r="O19" s="3455" t="s">
        <v>3560</v>
      </c>
      <c r="P19" s="3455" t="s">
        <v>3318</v>
      </c>
      <c r="Q19" s="3455" t="s">
        <v>3376</v>
      </c>
      <c r="R19" s="3455" t="s">
        <v>3320</v>
      </c>
      <c r="S19" s="3455" t="s">
        <v>3320</v>
      </c>
      <c r="T19" s="3455" t="s">
        <v>3320</v>
      </c>
      <c r="U19" s="3455" t="s">
        <v>3354</v>
      </c>
      <c r="V19" s="3455" t="s">
        <v>3354</v>
      </c>
      <c r="W19" s="3455">
        <v>0</v>
      </c>
      <c r="X19" s="3455">
        <v>0</v>
      </c>
      <c r="Y19" s="3455" t="s">
        <v>3561</v>
      </c>
      <c r="Z19" s="3455" t="s">
        <v>3562</v>
      </c>
      <c r="AA19" s="3455" t="s">
        <v>3563</v>
      </c>
      <c r="AB19" s="3455" t="s">
        <v>3563</v>
      </c>
      <c r="AC19" s="3455" t="s">
        <v>3564</v>
      </c>
      <c r="AD19" s="3455" t="s">
        <v>3324</v>
      </c>
      <c r="AE19" s="3455" t="s">
        <v>3565</v>
      </c>
      <c r="AF19" s="3455" t="s">
        <v>3566</v>
      </c>
      <c r="AG19" s="3455" t="s">
        <v>3567</v>
      </c>
      <c r="AH19" s="3455" t="s">
        <v>3568</v>
      </c>
      <c r="AI19" s="3455" t="s">
        <v>3569</v>
      </c>
      <c r="AJ19" s="3455" t="s">
        <v>3570</v>
      </c>
      <c r="AK19" s="3455" t="s">
        <v>3571</v>
      </c>
      <c r="AL19" s="3455" t="s">
        <v>3572</v>
      </c>
      <c r="AM19" s="3455" t="s">
        <v>3573</v>
      </c>
      <c r="AN19" s="3455" t="s">
        <v>3574</v>
      </c>
      <c r="AO19" s="3455" t="s">
        <v>3320</v>
      </c>
      <c r="AP19" s="3455" t="s">
        <v>3320</v>
      </c>
      <c r="AQ19" s="3455" t="s">
        <v>3575</v>
      </c>
      <c r="AR19" s="3455" t="s">
        <v>3333</v>
      </c>
      <c r="AS19" s="3455" t="s">
        <v>3317</v>
      </c>
      <c r="AT19" s="3455" t="s">
        <v>3317</v>
      </c>
      <c r="AU19" s="3455" t="s">
        <v>3320</v>
      </c>
      <c r="AV19" s="3455" t="s">
        <v>3320</v>
      </c>
      <c r="AW19" s="3455" t="s">
        <v>3320</v>
      </c>
    </row>
    <row r="20" spans="1:49">
      <c r="A20" s="3455" t="s">
        <v>3576</v>
      </c>
      <c r="B20" s="3455" t="s">
        <v>3309</v>
      </c>
      <c r="C20" s="3455" t="s">
        <v>3310</v>
      </c>
      <c r="D20" s="3455" t="s">
        <v>3577</v>
      </c>
      <c r="E20" s="3455" t="s">
        <v>3311</v>
      </c>
      <c r="F20" s="3455" t="s">
        <v>3578</v>
      </c>
      <c r="G20" s="3455" t="s">
        <v>3579</v>
      </c>
      <c r="H20" s="3455" t="s">
        <v>3370</v>
      </c>
      <c r="I20" s="3455" t="s">
        <v>3580</v>
      </c>
      <c r="J20" s="3455" t="s">
        <v>3581</v>
      </c>
      <c r="K20" s="3455" t="s">
        <v>3582</v>
      </c>
      <c r="L20" s="3455" t="s">
        <v>3314</v>
      </c>
      <c r="M20" s="3455" t="s">
        <v>3583</v>
      </c>
      <c r="N20" s="3455" t="s">
        <v>3316</v>
      </c>
      <c r="O20" s="3455" t="s">
        <v>3584</v>
      </c>
      <c r="P20" s="3455" t="s">
        <v>3585</v>
      </c>
      <c r="Q20" s="3455" t="s">
        <v>3586</v>
      </c>
      <c r="R20" s="3455" t="s">
        <v>3320</v>
      </c>
      <c r="S20" s="3455" t="s">
        <v>3320</v>
      </c>
      <c r="T20" s="3455" t="s">
        <v>3320</v>
      </c>
      <c r="U20" s="3455" t="s">
        <v>3354</v>
      </c>
      <c r="V20" s="3455" t="s">
        <v>3354</v>
      </c>
      <c r="W20" s="3455">
        <v>0</v>
      </c>
      <c r="X20" s="3455">
        <v>0</v>
      </c>
      <c r="Y20" s="3455" t="s">
        <v>3587</v>
      </c>
      <c r="Z20" s="3455" t="s">
        <v>3588</v>
      </c>
      <c r="AA20" s="3455" t="s">
        <v>3589</v>
      </c>
      <c r="AB20" s="3455" t="s">
        <v>3590</v>
      </c>
      <c r="AC20" s="3455" t="s">
        <v>3591</v>
      </c>
      <c r="AD20" s="3455" t="s">
        <v>3324</v>
      </c>
      <c r="AE20" s="3455" t="s">
        <v>3592</v>
      </c>
      <c r="AF20" s="3455" t="s">
        <v>3593</v>
      </c>
      <c r="AG20" s="3455" t="s">
        <v>3594</v>
      </c>
      <c r="AH20" s="3455" t="s">
        <v>3595</v>
      </c>
      <c r="AI20" s="3455" t="s">
        <v>3596</v>
      </c>
      <c r="AJ20" s="3455" t="s">
        <v>3594</v>
      </c>
      <c r="AK20" s="3455" t="s">
        <v>3597</v>
      </c>
      <c r="AL20" s="3455" t="s">
        <v>3597</v>
      </c>
      <c r="AM20" s="3455" t="s">
        <v>3598</v>
      </c>
      <c r="AN20" s="3455" t="s">
        <v>3598</v>
      </c>
      <c r="AO20" s="3455" t="s">
        <v>3320</v>
      </c>
      <c r="AP20" s="3455" t="s">
        <v>3320</v>
      </c>
      <c r="AQ20" s="3455" t="s">
        <v>3354</v>
      </c>
      <c r="AR20" s="3455" t="s">
        <v>3599</v>
      </c>
      <c r="AS20" s="3455" t="s">
        <v>3317</v>
      </c>
      <c r="AT20" s="3455" t="s">
        <v>3317</v>
      </c>
      <c r="AU20" s="3455" t="s">
        <v>3320</v>
      </c>
      <c r="AV20" s="3455" t="s">
        <v>3320</v>
      </c>
      <c r="AW20" s="3455" t="s">
        <v>3600</v>
      </c>
    </row>
    <row r="21" spans="1:49">
      <c r="A21" s="3455" t="s">
        <v>3601</v>
      </c>
      <c r="B21" s="3455" t="s">
        <v>3309</v>
      </c>
      <c r="C21" s="3455" t="s">
        <v>3310</v>
      </c>
      <c r="D21" s="3455" t="s">
        <v>3602</v>
      </c>
      <c r="E21" s="3455" t="s">
        <v>3311</v>
      </c>
      <c r="F21" s="3455" t="s">
        <v>3603</v>
      </c>
      <c r="G21" s="3455" t="s">
        <v>3604</v>
      </c>
      <c r="H21" s="3455" t="s">
        <v>3370</v>
      </c>
      <c r="I21" s="3455" t="s">
        <v>3605</v>
      </c>
      <c r="J21" s="3455" t="s">
        <v>3606</v>
      </c>
      <c r="K21" s="3455" t="s">
        <v>3607</v>
      </c>
      <c r="L21" s="3455" t="s">
        <v>3314</v>
      </c>
      <c r="M21" s="3455" t="s">
        <v>3608</v>
      </c>
      <c r="N21" s="3455" t="s">
        <v>3316</v>
      </c>
      <c r="O21" s="3455" t="s">
        <v>3609</v>
      </c>
      <c r="P21" s="3455" t="s">
        <v>3431</v>
      </c>
      <c r="Q21" s="3455" t="s">
        <v>3610</v>
      </c>
      <c r="R21" s="3455" t="s">
        <v>3320</v>
      </c>
      <c r="S21" s="3455" t="s">
        <v>3320</v>
      </c>
      <c r="T21" s="3455" t="s">
        <v>3320</v>
      </c>
      <c r="U21" s="3455" t="s">
        <v>3354</v>
      </c>
      <c r="V21" s="3455" t="s">
        <v>3354</v>
      </c>
      <c r="W21" s="3455">
        <v>0</v>
      </c>
      <c r="X21" s="3455">
        <v>0</v>
      </c>
      <c r="Y21" s="3455" t="s">
        <v>3611</v>
      </c>
      <c r="Z21" s="3455" t="s">
        <v>3612</v>
      </c>
      <c r="AA21" s="3455" t="s">
        <v>3613</v>
      </c>
      <c r="AB21" s="3455" t="s">
        <v>3613</v>
      </c>
      <c r="AC21" s="3455" t="s">
        <v>3614</v>
      </c>
      <c r="AD21" s="3455" t="s">
        <v>3324</v>
      </c>
      <c r="AE21" s="3455" t="s">
        <v>3592</v>
      </c>
      <c r="AF21" s="3455" t="s">
        <v>3593</v>
      </c>
      <c r="AG21" s="3455" t="s">
        <v>3615</v>
      </c>
      <c r="AH21" s="3455" t="s">
        <v>3616</v>
      </c>
      <c r="AI21" s="3455" t="s">
        <v>3617</v>
      </c>
      <c r="AJ21" s="3455" t="s">
        <v>3615</v>
      </c>
      <c r="AK21" s="3455" t="s">
        <v>3618</v>
      </c>
      <c r="AL21" s="3455" t="s">
        <v>3618</v>
      </c>
      <c r="AM21" s="3455" t="s">
        <v>3619</v>
      </c>
      <c r="AN21" s="3455" t="s">
        <v>3619</v>
      </c>
      <c r="AO21" s="3455" t="s">
        <v>3320</v>
      </c>
      <c r="AP21" s="3455" t="s">
        <v>3320</v>
      </c>
      <c r="AQ21" s="3455" t="s">
        <v>3354</v>
      </c>
      <c r="AR21" s="3455" t="s">
        <v>3620</v>
      </c>
      <c r="AS21" s="3455" t="s">
        <v>3317</v>
      </c>
      <c r="AT21" s="3455" t="s">
        <v>3317</v>
      </c>
      <c r="AU21" s="3455" t="s">
        <v>3320</v>
      </c>
      <c r="AV21" s="3455" t="s">
        <v>3320</v>
      </c>
      <c r="AW21" s="3455" t="s">
        <v>3320</v>
      </c>
    </row>
    <row r="22" spans="1:49">
      <c r="A22" s="3455" t="s">
        <v>3621</v>
      </c>
      <c r="B22" s="3455" t="s">
        <v>3309</v>
      </c>
      <c r="C22" s="3455" t="s">
        <v>3310</v>
      </c>
      <c r="D22" s="3455" t="s">
        <v>3622</v>
      </c>
      <c r="E22" s="3455" t="s">
        <v>3311</v>
      </c>
      <c r="F22" s="3455" t="s">
        <v>3623</v>
      </c>
      <c r="G22" s="3455" t="s">
        <v>3624</v>
      </c>
      <c r="H22" s="3455" t="s">
        <v>3370</v>
      </c>
      <c r="I22" s="3455" t="s">
        <v>3625</v>
      </c>
      <c r="J22" s="3455" t="s">
        <v>3626</v>
      </c>
      <c r="K22" s="3455" t="s">
        <v>3418</v>
      </c>
      <c r="L22" s="3455" t="s">
        <v>3314</v>
      </c>
      <c r="M22" s="3455" t="s">
        <v>3627</v>
      </c>
      <c r="N22" s="3455" t="s">
        <v>3316</v>
      </c>
      <c r="O22" s="3455" t="s">
        <v>3317</v>
      </c>
      <c r="P22" s="3455" t="s">
        <v>3341</v>
      </c>
      <c r="Q22" s="3455" t="s">
        <v>3320</v>
      </c>
      <c r="R22" s="3455" t="s">
        <v>3320</v>
      </c>
      <c r="S22" s="3455" t="s">
        <v>3320</v>
      </c>
      <c r="T22" s="3455" t="s">
        <v>3320</v>
      </c>
      <c r="U22" s="3455" t="s">
        <v>3354</v>
      </c>
      <c r="V22" s="3455" t="s">
        <v>3354</v>
      </c>
      <c r="W22" s="3455">
        <v>0</v>
      </c>
      <c r="X22" s="3455">
        <v>0</v>
      </c>
      <c r="Y22" s="3455" t="s">
        <v>3628</v>
      </c>
      <c r="Z22" s="3455" t="s">
        <v>3629</v>
      </c>
      <c r="AA22" s="3455" t="s">
        <v>3630</v>
      </c>
      <c r="AB22" s="3455" t="s">
        <v>3630</v>
      </c>
      <c r="AC22" s="3455" t="s">
        <v>3631</v>
      </c>
      <c r="AD22" s="3455" t="s">
        <v>3324</v>
      </c>
      <c r="AE22" s="3455" t="s">
        <v>3632</v>
      </c>
      <c r="AF22" s="3455" t="s">
        <v>3633</v>
      </c>
      <c r="AG22" s="3455" t="s">
        <v>3634</v>
      </c>
      <c r="AH22" s="3455" t="s">
        <v>3635</v>
      </c>
      <c r="AI22" s="3455" t="s">
        <v>3636</v>
      </c>
      <c r="AJ22" s="3455" t="s">
        <v>3637</v>
      </c>
      <c r="AK22" s="3455" t="s">
        <v>3638</v>
      </c>
      <c r="AL22" s="3455" t="s">
        <v>3639</v>
      </c>
      <c r="AM22" s="3455" t="s">
        <v>3640</v>
      </c>
      <c r="AN22" s="3455" t="s">
        <v>3641</v>
      </c>
      <c r="AO22" s="3455" t="s">
        <v>3320</v>
      </c>
      <c r="AP22" s="3455" t="s">
        <v>3320</v>
      </c>
      <c r="AQ22" s="3455" t="s">
        <v>3642</v>
      </c>
      <c r="AR22" s="3455" t="s">
        <v>3643</v>
      </c>
      <c r="AS22" s="3455" t="s">
        <v>3317</v>
      </c>
      <c r="AT22" s="3455" t="s">
        <v>3317</v>
      </c>
      <c r="AU22" s="3455" t="s">
        <v>3320</v>
      </c>
      <c r="AV22" s="3455" t="s">
        <v>3320</v>
      </c>
      <c r="AW22" s="3455" t="s">
        <v>3320</v>
      </c>
    </row>
    <row r="23" spans="1:49">
      <c r="A23" s="3455" t="s">
        <v>3644</v>
      </c>
      <c r="B23" s="3455" t="s">
        <v>3309</v>
      </c>
      <c r="C23" s="3455" t="s">
        <v>3310</v>
      </c>
      <c r="D23" s="3455" t="s">
        <v>3645</v>
      </c>
      <c r="E23" s="3455" t="s">
        <v>3311</v>
      </c>
      <c r="F23" s="3455" t="s">
        <v>3623</v>
      </c>
      <c r="G23" s="3455" t="s">
        <v>3646</v>
      </c>
      <c r="H23" s="3455" t="s">
        <v>3370</v>
      </c>
      <c r="I23" s="3455" t="s">
        <v>3647</v>
      </c>
      <c r="J23" s="3455" t="s">
        <v>3648</v>
      </c>
      <c r="K23" s="3455" t="s">
        <v>3649</v>
      </c>
      <c r="L23" s="3455" t="s">
        <v>3314</v>
      </c>
      <c r="M23" s="3455" t="s">
        <v>3627</v>
      </c>
      <c r="N23" s="3455" t="s">
        <v>3316</v>
      </c>
      <c r="O23" s="3455" t="s">
        <v>3317</v>
      </c>
      <c r="P23" s="3455" t="s">
        <v>3341</v>
      </c>
      <c r="Q23" s="3455" t="s">
        <v>3320</v>
      </c>
      <c r="R23" s="3455" t="s">
        <v>3320</v>
      </c>
      <c r="S23" s="3455" t="s">
        <v>3320</v>
      </c>
      <c r="T23" s="3455" t="s">
        <v>3320</v>
      </c>
      <c r="U23" s="3455" t="s">
        <v>3354</v>
      </c>
      <c r="V23" s="3455" t="s">
        <v>3354</v>
      </c>
      <c r="W23" s="3455">
        <v>0</v>
      </c>
      <c r="X23" s="3455">
        <v>0</v>
      </c>
      <c r="Y23" s="3455" t="s">
        <v>3628</v>
      </c>
      <c r="Z23" s="3455" t="s">
        <v>3629</v>
      </c>
      <c r="AA23" s="3455" t="s">
        <v>3630</v>
      </c>
      <c r="AB23" s="3455" t="s">
        <v>3630</v>
      </c>
      <c r="AC23" s="3455" t="s">
        <v>3631</v>
      </c>
      <c r="AD23" s="3455" t="s">
        <v>3324</v>
      </c>
      <c r="AE23" s="3455" t="s">
        <v>3632</v>
      </c>
      <c r="AF23" s="3455" t="s">
        <v>3633</v>
      </c>
      <c r="AG23" s="3455" t="s">
        <v>3650</v>
      </c>
      <c r="AH23" s="3455" t="s">
        <v>3651</v>
      </c>
      <c r="AI23" s="3455" t="s">
        <v>3636</v>
      </c>
      <c r="AJ23" s="3455" t="s">
        <v>3652</v>
      </c>
      <c r="AK23" s="3455" t="s">
        <v>3653</v>
      </c>
      <c r="AL23" s="3455" t="s">
        <v>3654</v>
      </c>
      <c r="AM23" s="3455" t="s">
        <v>3655</v>
      </c>
      <c r="AN23" s="3455" t="s">
        <v>3656</v>
      </c>
      <c r="AO23" s="3455" t="s">
        <v>3320</v>
      </c>
      <c r="AP23" s="3455" t="s">
        <v>3320</v>
      </c>
      <c r="AQ23" s="3455" t="s">
        <v>3657</v>
      </c>
      <c r="AR23" s="3455" t="s">
        <v>3643</v>
      </c>
      <c r="AS23" s="3455" t="s">
        <v>3317</v>
      </c>
      <c r="AT23" s="3455" t="s">
        <v>3317</v>
      </c>
      <c r="AU23" s="3455" t="s">
        <v>3320</v>
      </c>
      <c r="AV23" s="3455" t="s">
        <v>3320</v>
      </c>
      <c r="AW23" s="3455" t="s">
        <v>3320</v>
      </c>
    </row>
    <row r="24" spans="1:49">
      <c r="A24" s="3455" t="s">
        <v>3621</v>
      </c>
      <c r="B24" s="3455" t="s">
        <v>3309</v>
      </c>
      <c r="C24" s="3455" t="s">
        <v>3310</v>
      </c>
      <c r="D24" s="3455" t="s">
        <v>3658</v>
      </c>
      <c r="E24" s="3455" t="s">
        <v>3311</v>
      </c>
      <c r="F24" s="3455" t="s">
        <v>3623</v>
      </c>
      <c r="G24" s="3455" t="s">
        <v>3624</v>
      </c>
      <c r="H24" s="3455" t="s">
        <v>3370</v>
      </c>
      <c r="I24" s="3455" t="s">
        <v>3659</v>
      </c>
      <c r="J24" s="3455" t="s">
        <v>3660</v>
      </c>
      <c r="K24" s="3455" t="s">
        <v>3418</v>
      </c>
      <c r="L24" s="3455" t="s">
        <v>3314</v>
      </c>
      <c r="M24" s="3455" t="s">
        <v>3627</v>
      </c>
      <c r="N24" s="3455" t="s">
        <v>3316</v>
      </c>
      <c r="O24" s="3455" t="s">
        <v>3317</v>
      </c>
      <c r="P24" s="3455" t="s">
        <v>3341</v>
      </c>
      <c r="Q24" s="3455" t="s">
        <v>3320</v>
      </c>
      <c r="R24" s="3455" t="s">
        <v>3320</v>
      </c>
      <c r="S24" s="3455" t="s">
        <v>3320</v>
      </c>
      <c r="T24" s="3455" t="s">
        <v>3320</v>
      </c>
      <c r="U24" s="3455" t="s">
        <v>3354</v>
      </c>
      <c r="V24" s="3455" t="s">
        <v>3354</v>
      </c>
      <c r="W24" s="3455">
        <v>0</v>
      </c>
      <c r="X24" s="3455">
        <v>0</v>
      </c>
      <c r="Y24" s="3455" t="s">
        <v>3628</v>
      </c>
      <c r="Z24" s="3455" t="s">
        <v>3629</v>
      </c>
      <c r="AA24" s="3455" t="s">
        <v>3630</v>
      </c>
      <c r="AB24" s="3455" t="s">
        <v>3630</v>
      </c>
      <c r="AC24" s="3455" t="s">
        <v>3631</v>
      </c>
      <c r="AD24" s="3455" t="s">
        <v>3324</v>
      </c>
      <c r="AE24" s="3455" t="s">
        <v>3632</v>
      </c>
      <c r="AF24" s="3455" t="s">
        <v>3633</v>
      </c>
      <c r="AG24" s="3455" t="s">
        <v>3661</v>
      </c>
      <c r="AH24" s="3455" t="s">
        <v>3662</v>
      </c>
      <c r="AI24" s="3455" t="s">
        <v>3636</v>
      </c>
      <c r="AJ24" s="3455" t="s">
        <v>3663</v>
      </c>
      <c r="AK24" s="3455" t="s">
        <v>3664</v>
      </c>
      <c r="AL24" s="3455" t="s">
        <v>3665</v>
      </c>
      <c r="AM24" s="3455" t="s">
        <v>3666</v>
      </c>
      <c r="AN24" s="3455" t="s">
        <v>3667</v>
      </c>
      <c r="AO24" s="3455" t="s">
        <v>3320</v>
      </c>
      <c r="AP24" s="3455" t="s">
        <v>3320</v>
      </c>
      <c r="AQ24" s="3455" t="s">
        <v>3642</v>
      </c>
      <c r="AR24" s="3455" t="s">
        <v>3643</v>
      </c>
      <c r="AS24" s="3455" t="s">
        <v>3317</v>
      </c>
      <c r="AT24" s="3455" t="s">
        <v>3317</v>
      </c>
      <c r="AU24" s="3455" t="s">
        <v>3320</v>
      </c>
      <c r="AV24" s="3455" t="s">
        <v>3320</v>
      </c>
      <c r="AW24" s="3455" t="s">
        <v>3320</v>
      </c>
    </row>
    <row r="25" spans="1:49">
      <c r="A25" s="3455" t="s">
        <v>3668</v>
      </c>
      <c r="B25" s="3455" t="s">
        <v>3309</v>
      </c>
      <c r="C25" s="3455" t="s">
        <v>3310</v>
      </c>
      <c r="D25" s="3455" t="s">
        <v>3669</v>
      </c>
      <c r="E25" s="3455" t="s">
        <v>3311</v>
      </c>
      <c r="F25" s="3455" t="s">
        <v>3368</v>
      </c>
      <c r="G25" s="3455" t="s">
        <v>3670</v>
      </c>
      <c r="H25" s="3455" t="s">
        <v>3370</v>
      </c>
      <c r="I25" s="3455" t="s">
        <v>3671</v>
      </c>
      <c r="J25" s="3455" t="s">
        <v>3672</v>
      </c>
      <c r="K25" s="3455" t="s">
        <v>3673</v>
      </c>
      <c r="L25" s="3455" t="s">
        <v>3314</v>
      </c>
      <c r="M25" s="3455" t="s">
        <v>3674</v>
      </c>
      <c r="N25" s="3455" t="s">
        <v>3316</v>
      </c>
      <c r="O25" s="3455" t="s">
        <v>3675</v>
      </c>
      <c r="P25" s="3455" t="s">
        <v>3676</v>
      </c>
      <c r="Q25" s="3455" t="s">
        <v>3677</v>
      </c>
      <c r="R25" s="3455" t="s">
        <v>3320</v>
      </c>
      <c r="S25" s="3455" t="s">
        <v>3320</v>
      </c>
      <c r="T25" s="3455" t="s">
        <v>3320</v>
      </c>
      <c r="U25" s="3455" t="s">
        <v>3354</v>
      </c>
      <c r="V25" s="3455" t="s">
        <v>3354</v>
      </c>
      <c r="W25" s="3455">
        <v>0</v>
      </c>
      <c r="X25" s="3455">
        <v>0</v>
      </c>
      <c r="Y25" s="3455" t="s">
        <v>3678</v>
      </c>
      <c r="Z25" s="3455" t="s">
        <v>3679</v>
      </c>
      <c r="AA25" s="3455" t="s">
        <v>3680</v>
      </c>
      <c r="AB25" s="3455" t="s">
        <v>3680</v>
      </c>
      <c r="AC25" s="3455" t="s">
        <v>3681</v>
      </c>
      <c r="AD25" s="3455" t="s">
        <v>3324</v>
      </c>
      <c r="AE25" s="3455" t="s">
        <v>3682</v>
      </c>
      <c r="AF25" s="3455" t="s">
        <v>3320</v>
      </c>
      <c r="AG25" s="3455" t="s">
        <v>3683</v>
      </c>
      <c r="AH25" s="3455" t="s">
        <v>3684</v>
      </c>
      <c r="AI25" s="3455" t="s">
        <v>3320</v>
      </c>
      <c r="AJ25" s="3455" t="s">
        <v>3683</v>
      </c>
      <c r="AK25" s="3455" t="s">
        <v>3685</v>
      </c>
      <c r="AL25" s="3455" t="s">
        <v>3685</v>
      </c>
      <c r="AM25" s="3455" t="s">
        <v>3686</v>
      </c>
      <c r="AN25" s="3455" t="s">
        <v>3686</v>
      </c>
      <c r="AO25" s="3455" t="s">
        <v>3320</v>
      </c>
      <c r="AP25" s="3455" t="s">
        <v>3320</v>
      </c>
      <c r="AQ25" s="3455" t="s">
        <v>3354</v>
      </c>
      <c r="AR25" s="3455" t="s">
        <v>3620</v>
      </c>
      <c r="AS25" s="3455" t="s">
        <v>3317</v>
      </c>
      <c r="AT25" s="3455" t="s">
        <v>3317</v>
      </c>
      <c r="AU25" s="3455" t="s">
        <v>3320</v>
      </c>
      <c r="AV25" s="3455" t="s">
        <v>3320</v>
      </c>
      <c r="AW25" s="3455" t="s">
        <v>3320</v>
      </c>
    </row>
    <row r="26" spans="1:49">
      <c r="A26" s="3455" t="s">
        <v>3687</v>
      </c>
      <c r="B26" s="3455" t="s">
        <v>3309</v>
      </c>
      <c r="C26" s="3455" t="s">
        <v>3310</v>
      </c>
      <c r="D26" s="3455" t="s">
        <v>3688</v>
      </c>
      <c r="E26" s="3455" t="s">
        <v>3311</v>
      </c>
      <c r="F26" s="3455" t="s">
        <v>3368</v>
      </c>
      <c r="G26" s="3455" t="s">
        <v>3689</v>
      </c>
      <c r="H26" s="3455" t="s">
        <v>3370</v>
      </c>
      <c r="I26" s="3455" t="s">
        <v>3690</v>
      </c>
      <c r="J26" s="3455" t="s">
        <v>3691</v>
      </c>
      <c r="K26" s="3455" t="s">
        <v>3692</v>
      </c>
      <c r="L26" s="3455" t="s">
        <v>3314</v>
      </c>
      <c r="M26" s="3455" t="s">
        <v>3674</v>
      </c>
      <c r="N26" s="3455" t="s">
        <v>3316</v>
      </c>
      <c r="O26" s="3455" t="s">
        <v>3693</v>
      </c>
      <c r="P26" s="3455" t="s">
        <v>3676</v>
      </c>
      <c r="Q26" s="3455" t="s">
        <v>3694</v>
      </c>
      <c r="R26" s="3455" t="s">
        <v>3320</v>
      </c>
      <c r="S26" s="3455" t="s">
        <v>3320</v>
      </c>
      <c r="T26" s="3455" t="s">
        <v>3320</v>
      </c>
      <c r="U26" s="3455" t="s">
        <v>3320</v>
      </c>
      <c r="V26" s="3455" t="s">
        <v>3320</v>
      </c>
      <c r="W26" s="3455">
        <v>0</v>
      </c>
      <c r="X26" s="3455">
        <v>0</v>
      </c>
      <c r="Y26" s="3455" t="s">
        <v>3678</v>
      </c>
      <c r="Z26" s="3455" t="s">
        <v>3679</v>
      </c>
      <c r="AA26" s="3455" t="s">
        <v>3680</v>
      </c>
      <c r="AB26" s="3455" t="s">
        <v>3680</v>
      </c>
      <c r="AC26" s="3455" t="s">
        <v>3695</v>
      </c>
      <c r="AD26" s="3455" t="s">
        <v>3324</v>
      </c>
      <c r="AE26" s="3455" t="s">
        <v>3696</v>
      </c>
      <c r="AF26" s="3455" t="s">
        <v>3697</v>
      </c>
      <c r="AG26" s="3455" t="s">
        <v>3698</v>
      </c>
      <c r="AH26" s="3455" t="s">
        <v>3699</v>
      </c>
      <c r="AI26" s="3455" t="s">
        <v>3320</v>
      </c>
      <c r="AJ26" s="3455" t="s">
        <v>3698</v>
      </c>
      <c r="AK26" s="3455" t="s">
        <v>3700</v>
      </c>
      <c r="AL26" s="3455" t="s">
        <v>3700</v>
      </c>
      <c r="AM26" s="3455" t="s">
        <v>3701</v>
      </c>
      <c r="AN26" s="3455" t="s">
        <v>3701</v>
      </c>
      <c r="AO26" s="3455" t="s">
        <v>3320</v>
      </c>
      <c r="AP26" s="3455" t="s">
        <v>3320</v>
      </c>
      <c r="AQ26" s="3455" t="s">
        <v>3354</v>
      </c>
      <c r="AR26" s="3455" t="s">
        <v>3620</v>
      </c>
      <c r="AS26" s="3455" t="s">
        <v>3317</v>
      </c>
      <c r="AT26" s="3455" t="s">
        <v>3317</v>
      </c>
      <c r="AU26" s="3455" t="s">
        <v>3320</v>
      </c>
      <c r="AV26" s="3455" t="s">
        <v>3320</v>
      </c>
      <c r="AW26" s="3455" t="s">
        <v>3320</v>
      </c>
    </row>
    <row r="27" spans="1:49">
      <c r="A27" s="3455" t="s">
        <v>3702</v>
      </c>
      <c r="B27" s="3455" t="s">
        <v>3309</v>
      </c>
      <c r="C27" s="3455" t="s">
        <v>3310</v>
      </c>
      <c r="D27" s="3455" t="s">
        <v>3703</v>
      </c>
      <c r="E27" s="3455" t="s">
        <v>3311</v>
      </c>
      <c r="F27" s="3455" t="s">
        <v>3368</v>
      </c>
      <c r="G27" s="3455" t="s">
        <v>3704</v>
      </c>
      <c r="H27" s="3455" t="s">
        <v>3370</v>
      </c>
      <c r="I27" s="3455" t="s">
        <v>3705</v>
      </c>
      <c r="J27" s="3455" t="s">
        <v>3706</v>
      </c>
      <c r="K27" s="3455" t="s">
        <v>3692</v>
      </c>
      <c r="L27" s="3455" t="s">
        <v>3314</v>
      </c>
      <c r="M27" s="3455" t="s">
        <v>3674</v>
      </c>
      <c r="N27" s="3455" t="s">
        <v>3316</v>
      </c>
      <c r="O27" s="3455" t="s">
        <v>3675</v>
      </c>
      <c r="P27" s="3455" t="s">
        <v>3676</v>
      </c>
      <c r="Q27" s="3455" t="s">
        <v>3677</v>
      </c>
      <c r="R27" s="3455" t="s">
        <v>3320</v>
      </c>
      <c r="S27" s="3455" t="s">
        <v>3320</v>
      </c>
      <c r="T27" s="3455" t="s">
        <v>3320</v>
      </c>
      <c r="U27" s="3455" t="s">
        <v>3320</v>
      </c>
      <c r="V27" s="3455" t="s">
        <v>3320</v>
      </c>
      <c r="W27" s="3455">
        <v>0</v>
      </c>
      <c r="X27" s="3455">
        <v>0</v>
      </c>
      <c r="Y27" s="3455" t="s">
        <v>3678</v>
      </c>
      <c r="Z27" s="3455" t="s">
        <v>3679</v>
      </c>
      <c r="AA27" s="3455" t="s">
        <v>3680</v>
      </c>
      <c r="AB27" s="3455" t="s">
        <v>3680</v>
      </c>
      <c r="AC27" s="3455" t="s">
        <v>3707</v>
      </c>
      <c r="AD27" s="3455" t="s">
        <v>3324</v>
      </c>
      <c r="AE27" s="3455" t="s">
        <v>3682</v>
      </c>
      <c r="AF27" s="3455" t="s">
        <v>3320</v>
      </c>
      <c r="AG27" s="3455" t="s">
        <v>3708</v>
      </c>
      <c r="AH27" s="3455" t="s">
        <v>3709</v>
      </c>
      <c r="AI27" s="3455" t="s">
        <v>3320</v>
      </c>
      <c r="AJ27" s="3455" t="s">
        <v>3708</v>
      </c>
      <c r="AK27" s="3455" t="s">
        <v>3710</v>
      </c>
      <c r="AL27" s="3455" t="s">
        <v>3710</v>
      </c>
      <c r="AM27" s="3455" t="s">
        <v>3711</v>
      </c>
      <c r="AN27" s="3455" t="s">
        <v>3711</v>
      </c>
      <c r="AO27" s="3455" t="s">
        <v>3320</v>
      </c>
      <c r="AP27" s="3455" t="s">
        <v>3320</v>
      </c>
      <c r="AQ27" s="3455" t="s">
        <v>3354</v>
      </c>
      <c r="AR27" s="3455" t="s">
        <v>3620</v>
      </c>
      <c r="AS27" s="3455" t="s">
        <v>3317</v>
      </c>
      <c r="AT27" s="3455" t="s">
        <v>3317</v>
      </c>
      <c r="AU27" s="3455" t="s">
        <v>3320</v>
      </c>
      <c r="AV27" s="3455" t="s">
        <v>3320</v>
      </c>
      <c r="AW27" s="3455" t="s">
        <v>3320</v>
      </c>
    </row>
    <row r="28" spans="1:49">
      <c r="A28" s="3455" t="s">
        <v>3712</v>
      </c>
      <c r="B28" s="3455" t="s">
        <v>3309</v>
      </c>
      <c r="C28" s="3455" t="s">
        <v>3310</v>
      </c>
      <c r="D28" s="3455" t="s">
        <v>3713</v>
      </c>
      <c r="E28" s="3455" t="s">
        <v>3311</v>
      </c>
      <c r="F28" s="3455" t="s">
        <v>3714</v>
      </c>
      <c r="G28" s="3455" t="s">
        <v>3715</v>
      </c>
      <c r="H28" s="3455" t="s">
        <v>3370</v>
      </c>
      <c r="I28" s="3455" t="s">
        <v>3716</v>
      </c>
      <c r="J28" s="3455" t="s">
        <v>3717</v>
      </c>
      <c r="K28" s="3455" t="s">
        <v>3524</v>
      </c>
      <c r="L28" s="3455" t="s">
        <v>3314</v>
      </c>
      <c r="M28" s="3455" t="s">
        <v>3718</v>
      </c>
      <c r="N28" s="3455" t="s">
        <v>3316</v>
      </c>
      <c r="O28" s="3455" t="s">
        <v>3540</v>
      </c>
      <c r="P28" s="3455" t="s">
        <v>3719</v>
      </c>
      <c r="Q28" s="3455" t="s">
        <v>3320</v>
      </c>
      <c r="R28" s="3455" t="s">
        <v>3320</v>
      </c>
      <c r="S28" s="3455" t="s">
        <v>3320</v>
      </c>
      <c r="T28" s="3455" t="s">
        <v>3320</v>
      </c>
      <c r="U28" s="3455" t="s">
        <v>3354</v>
      </c>
      <c r="V28" s="3455" t="s">
        <v>3354</v>
      </c>
      <c r="W28" s="3455">
        <v>0</v>
      </c>
      <c r="X28" s="3455">
        <v>0</v>
      </c>
      <c r="Y28" s="3455" t="s">
        <v>3720</v>
      </c>
      <c r="Z28" s="3455" t="s">
        <v>3721</v>
      </c>
      <c r="AA28" s="3455" t="s">
        <v>3722</v>
      </c>
      <c r="AB28" s="3455" t="s">
        <v>3722</v>
      </c>
      <c r="AC28" s="3455" t="s">
        <v>3723</v>
      </c>
      <c r="AD28" s="3455" t="s">
        <v>3324</v>
      </c>
      <c r="AE28" s="3455" t="s">
        <v>3724</v>
      </c>
      <c r="AF28" s="3455" t="s">
        <v>3593</v>
      </c>
      <c r="AG28" s="3455" t="s">
        <v>3725</v>
      </c>
      <c r="AH28" s="3455" t="s">
        <v>3726</v>
      </c>
      <c r="AI28" s="3455" t="s">
        <v>3727</v>
      </c>
      <c r="AJ28" s="3455" t="s">
        <v>3728</v>
      </c>
      <c r="AK28" s="3455" t="s">
        <v>3729</v>
      </c>
      <c r="AL28" s="3455" t="s">
        <v>3730</v>
      </c>
      <c r="AM28" s="3455" t="s">
        <v>3731</v>
      </c>
      <c r="AN28" s="3455" t="s">
        <v>3732</v>
      </c>
      <c r="AO28" s="3455" t="s">
        <v>3320</v>
      </c>
      <c r="AP28" s="3455" t="s">
        <v>3320</v>
      </c>
      <c r="AQ28" s="3455" t="s">
        <v>3733</v>
      </c>
      <c r="AR28" s="3455" t="s">
        <v>3620</v>
      </c>
      <c r="AS28" s="3455" t="s">
        <v>3317</v>
      </c>
      <c r="AT28" s="3455" t="s">
        <v>3317</v>
      </c>
      <c r="AU28" s="3455" t="s">
        <v>3320</v>
      </c>
      <c r="AV28" s="3455" t="s">
        <v>3320</v>
      </c>
      <c r="AW28" s="3455" t="s">
        <v>3320</v>
      </c>
    </row>
    <row r="29" spans="1:49">
      <c r="A29" s="3455" t="s">
        <v>3734</v>
      </c>
      <c r="B29" s="3455" t="s">
        <v>3309</v>
      </c>
      <c r="C29" s="3455" t="s">
        <v>3310</v>
      </c>
      <c r="D29" s="3455" t="s">
        <v>3735</v>
      </c>
      <c r="E29" s="3455" t="s">
        <v>3311</v>
      </c>
      <c r="F29" s="3455" t="s">
        <v>3368</v>
      </c>
      <c r="G29" s="3455" t="s">
        <v>3736</v>
      </c>
      <c r="H29" s="3455" t="s">
        <v>3370</v>
      </c>
      <c r="I29" s="3455" t="s">
        <v>3737</v>
      </c>
      <c r="J29" s="3455" t="s">
        <v>3738</v>
      </c>
      <c r="K29" s="3455" t="s">
        <v>3739</v>
      </c>
      <c r="L29" s="3455" t="s">
        <v>3314</v>
      </c>
      <c r="M29" s="3455" t="s">
        <v>3740</v>
      </c>
      <c r="N29" s="3455" t="s">
        <v>3316</v>
      </c>
      <c r="O29" s="3455" t="s">
        <v>3741</v>
      </c>
      <c r="P29" s="3455" t="s">
        <v>3742</v>
      </c>
      <c r="Q29" s="3455" t="s">
        <v>3743</v>
      </c>
      <c r="R29" s="3455" t="s">
        <v>3320</v>
      </c>
      <c r="S29" s="3455" t="s">
        <v>3320</v>
      </c>
      <c r="T29" s="3455" t="s">
        <v>3320</v>
      </c>
      <c r="U29" s="3455" t="s">
        <v>3354</v>
      </c>
      <c r="V29" s="3455" t="s">
        <v>3354</v>
      </c>
      <c r="W29" s="3455">
        <v>0</v>
      </c>
      <c r="X29" s="3455">
        <v>0</v>
      </c>
      <c r="Y29" s="3455" t="s">
        <v>3744</v>
      </c>
      <c r="Z29" s="3455" t="s">
        <v>3745</v>
      </c>
      <c r="AA29" s="3455" t="s">
        <v>3746</v>
      </c>
      <c r="AB29" s="3455" t="s">
        <v>3746</v>
      </c>
      <c r="AC29" s="3455" t="s">
        <v>3747</v>
      </c>
      <c r="AD29" s="3455" t="s">
        <v>3324</v>
      </c>
      <c r="AE29" s="3455" t="s">
        <v>3748</v>
      </c>
      <c r="AF29" s="3455" t="s">
        <v>3320</v>
      </c>
      <c r="AG29" s="3455" t="s">
        <v>3749</v>
      </c>
      <c r="AH29" s="3455" t="s">
        <v>3750</v>
      </c>
      <c r="AI29" s="3455" t="s">
        <v>3751</v>
      </c>
      <c r="AJ29" s="3455" t="s">
        <v>3749</v>
      </c>
      <c r="AK29" s="3455" t="s">
        <v>3752</v>
      </c>
      <c r="AL29" s="3455" t="s">
        <v>3752</v>
      </c>
      <c r="AM29" s="3455" t="s">
        <v>3753</v>
      </c>
      <c r="AN29" s="3455" t="s">
        <v>3753</v>
      </c>
      <c r="AO29" s="3455" t="s">
        <v>3320</v>
      </c>
      <c r="AP29" s="3455" t="s">
        <v>3320</v>
      </c>
      <c r="AQ29" s="3455" t="s">
        <v>3354</v>
      </c>
      <c r="AR29" s="3455" t="s">
        <v>3754</v>
      </c>
      <c r="AS29" s="3455" t="s">
        <v>3317</v>
      </c>
      <c r="AT29" s="3455" t="s">
        <v>3317</v>
      </c>
      <c r="AU29" s="3455" t="s">
        <v>3320</v>
      </c>
      <c r="AV29" s="3455" t="s">
        <v>3320</v>
      </c>
      <c r="AW29" s="3455" t="s">
        <v>3320</v>
      </c>
    </row>
    <row r="30" spans="1:49" s="3458" customFormat="1">
      <c r="A30" s="3457" t="s">
        <v>3755</v>
      </c>
      <c r="B30" s="3457" t="s">
        <v>3309</v>
      </c>
      <c r="C30" s="3457" t="s">
        <v>3310</v>
      </c>
      <c r="D30" s="3457" t="s">
        <v>3756</v>
      </c>
      <c r="E30" s="3457" t="s">
        <v>3311</v>
      </c>
      <c r="F30" s="3457" t="s">
        <v>3757</v>
      </c>
      <c r="G30" s="3457" t="s">
        <v>3758</v>
      </c>
      <c r="H30" s="3457" t="s">
        <v>3313</v>
      </c>
      <c r="I30" s="3457" t="s">
        <v>3759</v>
      </c>
      <c r="J30" s="3457" t="s">
        <v>3760</v>
      </c>
      <c r="K30" s="3457" t="s">
        <v>3761</v>
      </c>
      <c r="L30" s="3457" t="s">
        <v>3314</v>
      </c>
      <c r="M30" s="3457" t="s">
        <v>3762</v>
      </c>
      <c r="N30" s="3457" t="s">
        <v>3316</v>
      </c>
      <c r="O30" s="3457" t="s">
        <v>3317</v>
      </c>
      <c r="P30" s="3457" t="s">
        <v>3763</v>
      </c>
      <c r="Q30" s="3457" t="s">
        <v>3764</v>
      </c>
      <c r="R30" s="3457" t="s">
        <v>3320</v>
      </c>
      <c r="S30" s="3457" t="s">
        <v>3320</v>
      </c>
      <c r="T30" s="3457" t="s">
        <v>3320</v>
      </c>
      <c r="U30" s="3457" t="s">
        <v>3354</v>
      </c>
      <c r="V30" s="3457" t="s">
        <v>3354</v>
      </c>
      <c r="W30" s="3457">
        <v>0</v>
      </c>
      <c r="X30" s="3457">
        <v>0</v>
      </c>
      <c r="Y30" s="3457" t="s">
        <v>3765</v>
      </c>
      <c r="Z30" s="3457" t="s">
        <v>3766</v>
      </c>
      <c r="AA30" s="3457" t="s">
        <v>3767</v>
      </c>
      <c r="AB30" s="3457" t="s">
        <v>3767</v>
      </c>
      <c r="AC30" s="3457" t="s">
        <v>3768</v>
      </c>
      <c r="AD30" s="3457" t="s">
        <v>3324</v>
      </c>
      <c r="AE30" s="3457" t="s">
        <v>3769</v>
      </c>
      <c r="AF30" s="3457" t="s">
        <v>3320</v>
      </c>
      <c r="AG30" s="3457" t="s">
        <v>3770</v>
      </c>
      <c r="AH30" s="3457" t="s">
        <v>3771</v>
      </c>
      <c r="AI30" s="3457" t="s">
        <v>3320</v>
      </c>
      <c r="AJ30" s="3457" t="s">
        <v>3770</v>
      </c>
      <c r="AK30" s="3457" t="s">
        <v>3772</v>
      </c>
      <c r="AL30" s="3457" t="s">
        <v>3772</v>
      </c>
      <c r="AM30" s="3457" t="s">
        <v>3773</v>
      </c>
      <c r="AN30" s="3457" t="s">
        <v>3773</v>
      </c>
      <c r="AO30" s="3457" t="s">
        <v>3320</v>
      </c>
      <c r="AP30" s="3457" t="s">
        <v>3320</v>
      </c>
      <c r="AQ30" s="3457" t="s">
        <v>3354</v>
      </c>
      <c r="AR30" s="3457" t="s">
        <v>3333</v>
      </c>
      <c r="AS30" s="3457" t="s">
        <v>3317</v>
      </c>
      <c r="AT30" s="3457" t="s">
        <v>3317</v>
      </c>
      <c r="AU30" s="3457" t="s">
        <v>3320</v>
      </c>
      <c r="AV30" s="3457" t="s">
        <v>3320</v>
      </c>
      <c r="AW30" s="3457" t="s">
        <v>3320</v>
      </c>
    </row>
    <row r="31" spans="1:49">
      <c r="A31" s="3455" t="s">
        <v>3774</v>
      </c>
      <c r="B31" s="3455" t="s">
        <v>3309</v>
      </c>
      <c r="C31" s="3455" t="s">
        <v>3310</v>
      </c>
      <c r="D31" s="3455" t="s">
        <v>3775</v>
      </c>
      <c r="E31" s="3455" t="s">
        <v>3311</v>
      </c>
      <c r="F31" s="3455" t="s">
        <v>3757</v>
      </c>
      <c r="G31" s="3455" t="s">
        <v>3776</v>
      </c>
      <c r="H31" s="3455" t="s">
        <v>3370</v>
      </c>
      <c r="I31" s="3455" t="s">
        <v>3777</v>
      </c>
      <c r="J31" s="3455" t="s">
        <v>3778</v>
      </c>
      <c r="K31" s="3455" t="s">
        <v>3779</v>
      </c>
      <c r="L31" s="3455" t="s">
        <v>3314</v>
      </c>
      <c r="M31" s="3455" t="s">
        <v>3780</v>
      </c>
      <c r="N31" s="3455" t="s">
        <v>3316</v>
      </c>
      <c r="O31" s="3455" t="s">
        <v>3317</v>
      </c>
      <c r="P31" s="3455" t="s">
        <v>3781</v>
      </c>
      <c r="Q31" s="3455" t="s">
        <v>3320</v>
      </c>
      <c r="R31" s="3455" t="s">
        <v>3320</v>
      </c>
      <c r="S31" s="3455" t="s">
        <v>3320</v>
      </c>
      <c r="T31" s="3455" t="s">
        <v>3320</v>
      </c>
      <c r="U31" s="3455" t="s">
        <v>3354</v>
      </c>
      <c r="V31" s="3455" t="s">
        <v>3354</v>
      </c>
      <c r="W31" s="3455">
        <v>0</v>
      </c>
      <c r="X31" s="3455">
        <v>0</v>
      </c>
      <c r="Y31" s="3455" t="s">
        <v>3782</v>
      </c>
      <c r="Z31" s="3455" t="s">
        <v>3783</v>
      </c>
      <c r="AA31" s="3455" t="s">
        <v>3784</v>
      </c>
      <c r="AB31" s="3455" t="s">
        <v>3784</v>
      </c>
      <c r="AC31" s="3455" t="s">
        <v>3785</v>
      </c>
      <c r="AD31" s="3455" t="s">
        <v>3324</v>
      </c>
      <c r="AE31" s="3455" t="s">
        <v>3748</v>
      </c>
      <c r="AF31" s="3455" t="s">
        <v>3786</v>
      </c>
      <c r="AG31" s="3455" t="s">
        <v>3787</v>
      </c>
      <c r="AH31" s="3455" t="s">
        <v>3788</v>
      </c>
      <c r="AI31" s="3455" t="s">
        <v>3320</v>
      </c>
      <c r="AJ31" s="3455" t="s">
        <v>3789</v>
      </c>
      <c r="AK31" s="3455" t="s">
        <v>3790</v>
      </c>
      <c r="AL31" s="3455" t="s">
        <v>3791</v>
      </c>
      <c r="AM31" s="3455" t="s">
        <v>3792</v>
      </c>
      <c r="AN31" s="3455" t="s">
        <v>3793</v>
      </c>
      <c r="AO31" s="3455" t="s">
        <v>3320</v>
      </c>
      <c r="AP31" s="3455" t="s">
        <v>3320</v>
      </c>
      <c r="AQ31" s="3455" t="s">
        <v>3794</v>
      </c>
      <c r="AR31" s="3455" t="s">
        <v>3795</v>
      </c>
      <c r="AS31" s="3455" t="s">
        <v>3317</v>
      </c>
      <c r="AT31" s="3455" t="s">
        <v>3317</v>
      </c>
      <c r="AU31" s="3455" t="s">
        <v>3320</v>
      </c>
      <c r="AV31" s="3455" t="s">
        <v>3320</v>
      </c>
      <c r="AW31" s="3455" t="s">
        <v>3320</v>
      </c>
    </row>
    <row r="32" spans="1:49">
      <c r="A32" s="3455" t="s">
        <v>3796</v>
      </c>
      <c r="B32" s="3455" t="s">
        <v>3309</v>
      </c>
      <c r="C32" s="3455" t="s">
        <v>3310</v>
      </c>
      <c r="D32" s="3455" t="s">
        <v>3797</v>
      </c>
      <c r="E32" s="3455" t="s">
        <v>3311</v>
      </c>
      <c r="F32" s="3455" t="s">
        <v>3798</v>
      </c>
      <c r="G32" s="3455" t="s">
        <v>3799</v>
      </c>
      <c r="H32" s="3455" t="s">
        <v>3370</v>
      </c>
      <c r="I32" s="3455" t="s">
        <v>3800</v>
      </c>
      <c r="J32" s="3455" t="s">
        <v>3801</v>
      </c>
      <c r="K32" s="3455" t="s">
        <v>3802</v>
      </c>
      <c r="L32" s="3455" t="s">
        <v>3314</v>
      </c>
      <c r="M32" s="3455" t="s">
        <v>3803</v>
      </c>
      <c r="N32" s="3455" t="s">
        <v>3316</v>
      </c>
      <c r="O32" s="3455" t="s">
        <v>3317</v>
      </c>
      <c r="P32" s="3455" t="s">
        <v>3781</v>
      </c>
      <c r="Q32" s="3455" t="s">
        <v>3804</v>
      </c>
      <c r="R32" s="3455" t="s">
        <v>3320</v>
      </c>
      <c r="S32" s="3455" t="s">
        <v>3320</v>
      </c>
      <c r="T32" s="3455" t="s">
        <v>3320</v>
      </c>
      <c r="U32" s="3455" t="s">
        <v>3354</v>
      </c>
      <c r="V32" s="3455" t="s">
        <v>3354</v>
      </c>
      <c r="W32" s="3455">
        <v>0</v>
      </c>
      <c r="X32" s="3455">
        <v>0</v>
      </c>
      <c r="Y32" s="3455" t="s">
        <v>3805</v>
      </c>
      <c r="Z32" s="3455" t="s">
        <v>3782</v>
      </c>
      <c r="AA32" s="3455" t="s">
        <v>3806</v>
      </c>
      <c r="AB32" s="3455" t="s">
        <v>3806</v>
      </c>
      <c r="AC32" s="3455" t="s">
        <v>3807</v>
      </c>
      <c r="AD32" s="3455" t="s">
        <v>3324</v>
      </c>
      <c r="AE32" s="3455" t="s">
        <v>3808</v>
      </c>
      <c r="AF32" s="3455" t="s">
        <v>3809</v>
      </c>
      <c r="AG32" s="3455" t="s">
        <v>3810</v>
      </c>
      <c r="AH32" s="3455" t="s">
        <v>3811</v>
      </c>
      <c r="AI32" s="3455" t="s">
        <v>3320</v>
      </c>
      <c r="AJ32" s="3455" t="s">
        <v>3812</v>
      </c>
      <c r="AK32" s="3455" t="s">
        <v>3813</v>
      </c>
      <c r="AL32" s="3455" t="s">
        <v>3814</v>
      </c>
      <c r="AM32" s="3455" t="s">
        <v>3815</v>
      </c>
      <c r="AN32" s="3455" t="s">
        <v>3816</v>
      </c>
      <c r="AO32" s="3455" t="s">
        <v>3320</v>
      </c>
      <c r="AP32" s="3455" t="s">
        <v>3320</v>
      </c>
      <c r="AQ32" s="3455" t="s">
        <v>3817</v>
      </c>
      <c r="AR32" s="3455" t="s">
        <v>3818</v>
      </c>
      <c r="AS32" s="3455" t="s">
        <v>3317</v>
      </c>
      <c r="AT32" s="3455" t="s">
        <v>3317</v>
      </c>
      <c r="AU32" s="3455" t="s">
        <v>3320</v>
      </c>
      <c r="AV32" s="3455" t="s">
        <v>3320</v>
      </c>
      <c r="AW32" s="3455" t="s">
        <v>3320</v>
      </c>
    </row>
    <row r="33" spans="1:49" s="3458" customFormat="1">
      <c r="A33" s="3457" t="s">
        <v>3819</v>
      </c>
      <c r="B33" s="3457" t="s">
        <v>3309</v>
      </c>
      <c r="C33" s="3457" t="s">
        <v>3310</v>
      </c>
      <c r="D33" s="3457" t="s">
        <v>3820</v>
      </c>
      <c r="E33" s="3457" t="s">
        <v>3311</v>
      </c>
      <c r="F33" s="3457" t="s">
        <v>3757</v>
      </c>
      <c r="G33" s="3457" t="s">
        <v>3821</v>
      </c>
      <c r="H33" s="3457" t="s">
        <v>3370</v>
      </c>
      <c r="I33" s="3457" t="s">
        <v>3822</v>
      </c>
      <c r="J33" s="3457" t="s">
        <v>3823</v>
      </c>
      <c r="K33" s="3457" t="s">
        <v>3824</v>
      </c>
      <c r="L33" s="3457" t="s">
        <v>3314</v>
      </c>
      <c r="M33" s="3457" t="s">
        <v>3825</v>
      </c>
      <c r="N33" s="3457" t="s">
        <v>3316</v>
      </c>
      <c r="O33" s="3457" t="s">
        <v>3317</v>
      </c>
      <c r="P33" s="3457" t="s">
        <v>3781</v>
      </c>
      <c r="Q33" s="3457" t="s">
        <v>3804</v>
      </c>
      <c r="R33" s="3457" t="s">
        <v>3320</v>
      </c>
      <c r="S33" s="3457" t="s">
        <v>3320</v>
      </c>
      <c r="T33" s="3457" t="s">
        <v>3320</v>
      </c>
      <c r="U33" s="3457" t="s">
        <v>3354</v>
      </c>
      <c r="V33" s="3457" t="s">
        <v>3354</v>
      </c>
      <c r="W33" s="3457">
        <v>0</v>
      </c>
      <c r="X33" s="3457">
        <v>0</v>
      </c>
      <c r="Y33" s="3457" t="s">
        <v>3805</v>
      </c>
      <c r="Z33" s="3457" t="s">
        <v>3782</v>
      </c>
      <c r="AA33" s="3457" t="s">
        <v>3806</v>
      </c>
      <c r="AB33" s="3457" t="s">
        <v>3806</v>
      </c>
      <c r="AC33" s="3457" t="s">
        <v>3826</v>
      </c>
      <c r="AD33" s="3457" t="s">
        <v>3324</v>
      </c>
      <c r="AE33" s="3457" t="s">
        <v>3748</v>
      </c>
      <c r="AF33" s="3457" t="s">
        <v>3786</v>
      </c>
      <c r="AG33" s="3457" t="s">
        <v>3827</v>
      </c>
      <c r="AH33" s="3457" t="s">
        <v>3828</v>
      </c>
      <c r="AI33" s="3457" t="s">
        <v>3320</v>
      </c>
      <c r="AJ33" s="3457" t="s">
        <v>3829</v>
      </c>
      <c r="AK33" s="3457" t="s">
        <v>3830</v>
      </c>
      <c r="AL33" s="3457" t="s">
        <v>3831</v>
      </c>
      <c r="AM33" s="3457" t="s">
        <v>3832</v>
      </c>
      <c r="AN33" s="3457" t="s">
        <v>3833</v>
      </c>
      <c r="AO33" s="3457" t="s">
        <v>3320</v>
      </c>
      <c r="AP33" s="3457" t="s">
        <v>3320</v>
      </c>
      <c r="AQ33" s="3457" t="s">
        <v>3834</v>
      </c>
      <c r="AR33" s="3457" t="s">
        <v>3818</v>
      </c>
      <c r="AS33" s="3457" t="s">
        <v>3317</v>
      </c>
      <c r="AT33" s="3457" t="s">
        <v>3317</v>
      </c>
      <c r="AU33" s="3457" t="s">
        <v>3320</v>
      </c>
      <c r="AV33" s="3457" t="s">
        <v>3320</v>
      </c>
      <c r="AW33" s="3457" t="s">
        <v>3320</v>
      </c>
    </row>
    <row r="34" spans="1:49">
      <c r="A34" s="3455" t="s">
        <v>3796</v>
      </c>
      <c r="B34" s="3455" t="s">
        <v>3309</v>
      </c>
      <c r="C34" s="3455" t="s">
        <v>3310</v>
      </c>
      <c r="D34" s="3455" t="s">
        <v>3835</v>
      </c>
      <c r="E34" s="3455" t="s">
        <v>3311</v>
      </c>
      <c r="F34" s="3455" t="s">
        <v>3836</v>
      </c>
      <c r="G34" s="3455" t="s">
        <v>3799</v>
      </c>
      <c r="H34" s="3455" t="s">
        <v>3370</v>
      </c>
      <c r="I34" s="3455" t="s">
        <v>3837</v>
      </c>
      <c r="J34" s="3455" t="s">
        <v>3838</v>
      </c>
      <c r="K34" s="3455" t="s">
        <v>3839</v>
      </c>
      <c r="L34" s="3455" t="s">
        <v>3314</v>
      </c>
      <c r="M34" s="3455" t="s">
        <v>3803</v>
      </c>
      <c r="N34" s="3455" t="s">
        <v>3316</v>
      </c>
      <c r="O34" s="3455" t="s">
        <v>3317</v>
      </c>
      <c r="P34" s="3455" t="s">
        <v>3781</v>
      </c>
      <c r="Q34" s="3455" t="s">
        <v>3804</v>
      </c>
      <c r="R34" s="3455" t="s">
        <v>3320</v>
      </c>
      <c r="S34" s="3455" t="s">
        <v>3320</v>
      </c>
      <c r="T34" s="3455" t="s">
        <v>3320</v>
      </c>
      <c r="U34" s="3455" t="s">
        <v>3354</v>
      </c>
      <c r="V34" s="3455" t="s">
        <v>3354</v>
      </c>
      <c r="W34" s="3455">
        <v>0</v>
      </c>
      <c r="X34" s="3455">
        <v>0</v>
      </c>
      <c r="Y34" s="3455" t="s">
        <v>3805</v>
      </c>
      <c r="Z34" s="3455" t="s">
        <v>3782</v>
      </c>
      <c r="AA34" s="3455" t="s">
        <v>3806</v>
      </c>
      <c r="AB34" s="3455" t="s">
        <v>3806</v>
      </c>
      <c r="AC34" s="3455" t="s">
        <v>3840</v>
      </c>
      <c r="AD34" s="3455" t="s">
        <v>3324</v>
      </c>
      <c r="AE34" s="3455" t="s">
        <v>3632</v>
      </c>
      <c r="AF34" s="3455" t="s">
        <v>3633</v>
      </c>
      <c r="AG34" s="3455" t="s">
        <v>3841</v>
      </c>
      <c r="AH34" s="3455" t="s">
        <v>3842</v>
      </c>
      <c r="AI34" s="3455" t="s">
        <v>3320</v>
      </c>
      <c r="AJ34" s="3455" t="s">
        <v>3843</v>
      </c>
      <c r="AK34" s="3455" t="s">
        <v>3844</v>
      </c>
      <c r="AL34" s="3455" t="s">
        <v>3845</v>
      </c>
      <c r="AM34" s="3455" t="s">
        <v>3846</v>
      </c>
      <c r="AN34" s="3455" t="s">
        <v>3847</v>
      </c>
      <c r="AO34" s="3455" t="s">
        <v>3320</v>
      </c>
      <c r="AP34" s="3455" t="s">
        <v>3320</v>
      </c>
      <c r="AQ34" s="3455" t="s">
        <v>3848</v>
      </c>
      <c r="AR34" s="3455" t="s">
        <v>3818</v>
      </c>
      <c r="AS34" s="3455" t="s">
        <v>3317</v>
      </c>
      <c r="AT34" s="3455" t="s">
        <v>3317</v>
      </c>
      <c r="AU34" s="3455" t="s">
        <v>3320</v>
      </c>
      <c r="AV34" s="3455" t="s">
        <v>3320</v>
      </c>
      <c r="AW34" s="3455" t="s">
        <v>3320</v>
      </c>
    </row>
    <row r="35" spans="1:49">
      <c r="A35" s="3455" t="s">
        <v>3849</v>
      </c>
      <c r="B35" s="3455" t="s">
        <v>3309</v>
      </c>
      <c r="C35" s="3455" t="s">
        <v>3310</v>
      </c>
      <c r="D35" s="3455" t="s">
        <v>3850</v>
      </c>
      <c r="E35" s="3455" t="s">
        <v>3311</v>
      </c>
      <c r="F35" s="3455" t="s">
        <v>3714</v>
      </c>
      <c r="G35" s="3455" t="s">
        <v>3851</v>
      </c>
      <c r="H35" s="3455" t="s">
        <v>3313</v>
      </c>
      <c r="I35" s="3455" t="s">
        <v>3852</v>
      </c>
      <c r="J35" s="3455" t="s">
        <v>3853</v>
      </c>
      <c r="K35" s="3455" t="s">
        <v>3854</v>
      </c>
      <c r="L35" s="3455" t="s">
        <v>3855</v>
      </c>
      <c r="M35" s="3455" t="s">
        <v>3780</v>
      </c>
      <c r="N35" s="3455" t="s">
        <v>3316</v>
      </c>
      <c r="O35" s="3455" t="s">
        <v>3317</v>
      </c>
      <c r="P35" s="3455" t="s">
        <v>3856</v>
      </c>
      <c r="Q35" s="3455" t="s">
        <v>3804</v>
      </c>
      <c r="R35" s="3455" t="s">
        <v>3320</v>
      </c>
      <c r="S35" s="3455" t="s">
        <v>3320</v>
      </c>
      <c r="T35" s="3455" t="s">
        <v>3320</v>
      </c>
      <c r="U35" s="3455" t="s">
        <v>3354</v>
      </c>
      <c r="V35" s="3455" t="s">
        <v>3354</v>
      </c>
      <c r="W35" s="3455">
        <v>0</v>
      </c>
      <c r="X35" s="3455">
        <v>0</v>
      </c>
      <c r="Y35" s="3455" t="s">
        <v>3857</v>
      </c>
      <c r="Z35" s="3455" t="s">
        <v>3858</v>
      </c>
      <c r="AA35" s="3455" t="s">
        <v>3858</v>
      </c>
      <c r="AB35" s="3455" t="s">
        <v>3858</v>
      </c>
      <c r="AC35" s="3455" t="s">
        <v>3859</v>
      </c>
      <c r="AD35" s="3455" t="s">
        <v>3324</v>
      </c>
      <c r="AE35" s="3455" t="s">
        <v>3495</v>
      </c>
      <c r="AF35" s="3455" t="s">
        <v>3320</v>
      </c>
      <c r="AG35" s="3455" t="s">
        <v>3860</v>
      </c>
      <c r="AH35" s="3455" t="s">
        <v>3861</v>
      </c>
      <c r="AI35" s="3455" t="s">
        <v>3320</v>
      </c>
      <c r="AJ35" s="3455" t="s">
        <v>3862</v>
      </c>
      <c r="AK35" s="3455" t="s">
        <v>3863</v>
      </c>
      <c r="AL35" s="3455" t="s">
        <v>3864</v>
      </c>
      <c r="AM35" s="3455" t="s">
        <v>3865</v>
      </c>
      <c r="AN35" s="3455" t="s">
        <v>3866</v>
      </c>
      <c r="AO35" s="3455" t="s">
        <v>3320</v>
      </c>
      <c r="AP35" s="3455" t="s">
        <v>3320</v>
      </c>
      <c r="AQ35" s="3455" t="s">
        <v>3867</v>
      </c>
      <c r="AR35" s="3455" t="s">
        <v>3333</v>
      </c>
      <c r="AS35" s="3455" t="s">
        <v>3317</v>
      </c>
      <c r="AT35" s="3455" t="s">
        <v>3317</v>
      </c>
      <c r="AU35" s="3455" t="s">
        <v>3320</v>
      </c>
      <c r="AV35" s="3455" t="s">
        <v>3320</v>
      </c>
      <c r="AW35" s="3455" t="s">
        <v>3320</v>
      </c>
    </row>
    <row r="36" spans="1:49">
      <c r="A36" s="3455" t="s">
        <v>3868</v>
      </c>
      <c r="B36" s="3455" t="s">
        <v>3309</v>
      </c>
      <c r="C36" s="3455" t="s">
        <v>3310</v>
      </c>
      <c r="D36" s="3455" t="s">
        <v>3869</v>
      </c>
      <c r="E36" s="3455" t="s">
        <v>3311</v>
      </c>
      <c r="F36" s="3455" t="s">
        <v>3714</v>
      </c>
      <c r="G36" s="3455" t="s">
        <v>3870</v>
      </c>
      <c r="H36" s="3455" t="s">
        <v>3313</v>
      </c>
      <c r="I36" s="3455" t="s">
        <v>3871</v>
      </c>
      <c r="J36" s="3455" t="s">
        <v>3872</v>
      </c>
      <c r="K36" s="3455" t="s">
        <v>3873</v>
      </c>
      <c r="L36" s="3455" t="s">
        <v>3855</v>
      </c>
      <c r="M36" s="3455" t="s">
        <v>3780</v>
      </c>
      <c r="N36" s="3455" t="s">
        <v>3316</v>
      </c>
      <c r="O36" s="3455" t="s">
        <v>3317</v>
      </c>
      <c r="P36" s="3455" t="s">
        <v>3874</v>
      </c>
      <c r="Q36" s="3455" t="s">
        <v>3875</v>
      </c>
      <c r="R36" s="3455" t="s">
        <v>3320</v>
      </c>
      <c r="S36" s="3455" t="s">
        <v>3320</v>
      </c>
      <c r="T36" s="3455" t="s">
        <v>3320</v>
      </c>
      <c r="U36" s="3455" t="s">
        <v>3354</v>
      </c>
      <c r="V36" s="3455" t="s">
        <v>3354</v>
      </c>
      <c r="W36" s="3455">
        <v>0</v>
      </c>
      <c r="X36" s="3455">
        <v>0</v>
      </c>
      <c r="Y36" s="3455" t="s">
        <v>3857</v>
      </c>
      <c r="Z36" s="3455" t="s">
        <v>3858</v>
      </c>
      <c r="AA36" s="3455" t="s">
        <v>3858</v>
      </c>
      <c r="AB36" s="3455" t="s">
        <v>3858</v>
      </c>
      <c r="AC36" s="3455" t="s">
        <v>3876</v>
      </c>
      <c r="AD36" s="3455" t="s">
        <v>3324</v>
      </c>
      <c r="AE36" s="3455" t="s">
        <v>3495</v>
      </c>
      <c r="AF36" s="3455" t="s">
        <v>3320</v>
      </c>
      <c r="AG36" s="3455" t="s">
        <v>3320</v>
      </c>
      <c r="AH36" s="3455" t="s">
        <v>3877</v>
      </c>
      <c r="AI36" s="3455" t="s">
        <v>3320</v>
      </c>
      <c r="AJ36" s="3455" t="s">
        <v>3878</v>
      </c>
      <c r="AK36" s="3455" t="s">
        <v>3320</v>
      </c>
      <c r="AL36" s="3455" t="s">
        <v>3879</v>
      </c>
      <c r="AM36" s="3455" t="s">
        <v>3320</v>
      </c>
      <c r="AN36" s="3455" t="s">
        <v>3880</v>
      </c>
      <c r="AO36" s="3455" t="s">
        <v>3320</v>
      </c>
      <c r="AP36" s="3455" t="s">
        <v>3320</v>
      </c>
      <c r="AQ36" s="3455" t="s">
        <v>3354</v>
      </c>
      <c r="AR36" s="3455" t="s">
        <v>3333</v>
      </c>
      <c r="AS36" s="3455" t="s">
        <v>3317</v>
      </c>
      <c r="AT36" s="3455" t="s">
        <v>3317</v>
      </c>
      <c r="AU36" s="3455" t="s">
        <v>3320</v>
      </c>
      <c r="AV36" s="3455" t="s">
        <v>3320</v>
      </c>
      <c r="AW36" s="3455" t="s">
        <v>3320</v>
      </c>
    </row>
    <row r="37" spans="1:49">
      <c r="A37" s="3455" t="s">
        <v>3881</v>
      </c>
      <c r="B37" s="3455" t="s">
        <v>3309</v>
      </c>
      <c r="C37" s="3455" t="s">
        <v>3310</v>
      </c>
      <c r="D37" s="3455" t="s">
        <v>3882</v>
      </c>
      <c r="E37" s="3455" t="s">
        <v>3311</v>
      </c>
      <c r="F37" s="3455" t="s">
        <v>3714</v>
      </c>
      <c r="G37" s="3455" t="s">
        <v>3883</v>
      </c>
      <c r="H37" s="3455" t="s">
        <v>3313</v>
      </c>
      <c r="I37" s="3455" t="s">
        <v>3884</v>
      </c>
      <c r="J37" s="3455" t="s">
        <v>3885</v>
      </c>
      <c r="K37" s="3455" t="s">
        <v>3873</v>
      </c>
      <c r="L37" s="3455" t="s">
        <v>3855</v>
      </c>
      <c r="M37" s="3455" t="s">
        <v>3780</v>
      </c>
      <c r="N37" s="3455" t="s">
        <v>3316</v>
      </c>
      <c r="O37" s="3455" t="s">
        <v>3317</v>
      </c>
      <c r="P37" s="3455" t="s">
        <v>3874</v>
      </c>
      <c r="Q37" s="3455" t="s">
        <v>3764</v>
      </c>
      <c r="R37" s="3455" t="s">
        <v>3320</v>
      </c>
      <c r="S37" s="3455" t="s">
        <v>3320</v>
      </c>
      <c r="T37" s="3455" t="s">
        <v>3320</v>
      </c>
      <c r="U37" s="3455" t="s">
        <v>3354</v>
      </c>
      <c r="V37" s="3455" t="s">
        <v>3354</v>
      </c>
      <c r="W37" s="3455">
        <v>0</v>
      </c>
      <c r="X37" s="3455">
        <v>0</v>
      </c>
      <c r="Y37" s="3455" t="s">
        <v>3857</v>
      </c>
      <c r="Z37" s="3455" t="s">
        <v>3858</v>
      </c>
      <c r="AA37" s="3455" t="s">
        <v>3858</v>
      </c>
      <c r="AB37" s="3455" t="s">
        <v>3858</v>
      </c>
      <c r="AC37" s="3455" t="s">
        <v>3886</v>
      </c>
      <c r="AD37" s="3455" t="s">
        <v>3324</v>
      </c>
      <c r="AE37" s="3455" t="s">
        <v>3495</v>
      </c>
      <c r="AF37" s="3455" t="s">
        <v>3320</v>
      </c>
      <c r="AG37" s="3455" t="s">
        <v>3320</v>
      </c>
      <c r="AH37" s="3455" t="s">
        <v>3887</v>
      </c>
      <c r="AI37" s="3455" t="s">
        <v>3320</v>
      </c>
      <c r="AJ37" s="3455" t="s">
        <v>3888</v>
      </c>
      <c r="AK37" s="3455" t="s">
        <v>3320</v>
      </c>
      <c r="AL37" s="3455" t="s">
        <v>3889</v>
      </c>
      <c r="AM37" s="3455" t="s">
        <v>3320</v>
      </c>
      <c r="AN37" s="3455" t="s">
        <v>3890</v>
      </c>
      <c r="AO37" s="3455" t="s">
        <v>3320</v>
      </c>
      <c r="AP37" s="3455" t="s">
        <v>3320</v>
      </c>
      <c r="AQ37" s="3455" t="s">
        <v>3354</v>
      </c>
      <c r="AR37" s="3455" t="s">
        <v>3333</v>
      </c>
      <c r="AS37" s="3455" t="s">
        <v>3317</v>
      </c>
      <c r="AT37" s="3455" t="s">
        <v>3317</v>
      </c>
      <c r="AU37" s="3455" t="s">
        <v>3320</v>
      </c>
      <c r="AV37" s="3455" t="s">
        <v>3320</v>
      </c>
      <c r="AW37" s="3455" t="s">
        <v>3320</v>
      </c>
    </row>
    <row r="38" spans="1:49">
      <c r="A38" s="3455" t="s">
        <v>3891</v>
      </c>
      <c r="B38" s="3455" t="s">
        <v>3309</v>
      </c>
      <c r="C38" s="3455" t="s">
        <v>3310</v>
      </c>
      <c r="D38" s="3455" t="s">
        <v>3892</v>
      </c>
      <c r="E38" s="3455" t="s">
        <v>3311</v>
      </c>
      <c r="F38" s="3455" t="s">
        <v>3714</v>
      </c>
      <c r="G38" s="3455" t="s">
        <v>3893</v>
      </c>
      <c r="H38" s="3455" t="s">
        <v>3313</v>
      </c>
      <c r="I38" s="3455" t="s">
        <v>3894</v>
      </c>
      <c r="J38" s="3455" t="s">
        <v>3895</v>
      </c>
      <c r="K38" s="3455" t="s">
        <v>3896</v>
      </c>
      <c r="L38" s="3455" t="s">
        <v>3855</v>
      </c>
      <c r="M38" s="3455" t="s">
        <v>3762</v>
      </c>
      <c r="N38" s="3455" t="s">
        <v>3316</v>
      </c>
      <c r="O38" s="3455" t="s">
        <v>3317</v>
      </c>
      <c r="P38" s="3455" t="s">
        <v>3897</v>
      </c>
      <c r="Q38" s="3455" t="s">
        <v>3898</v>
      </c>
      <c r="R38" s="3455" t="s">
        <v>3320</v>
      </c>
      <c r="S38" s="3455" t="s">
        <v>3320</v>
      </c>
      <c r="T38" s="3455" t="s">
        <v>3320</v>
      </c>
      <c r="U38" s="3455" t="s">
        <v>3354</v>
      </c>
      <c r="V38" s="3455" t="s">
        <v>3354</v>
      </c>
      <c r="W38" s="3455">
        <v>0</v>
      </c>
      <c r="X38" s="3455">
        <v>0</v>
      </c>
      <c r="Y38" s="3455" t="s">
        <v>3899</v>
      </c>
      <c r="Z38" s="3455" t="s">
        <v>3900</v>
      </c>
      <c r="AA38" s="3455" t="s">
        <v>3900</v>
      </c>
      <c r="AB38" s="3455" t="s">
        <v>3900</v>
      </c>
      <c r="AC38" s="3455" t="s">
        <v>3901</v>
      </c>
      <c r="AD38" s="3455" t="s">
        <v>3324</v>
      </c>
      <c r="AE38" s="3455" t="s">
        <v>3495</v>
      </c>
      <c r="AF38" s="3455" t="s">
        <v>3320</v>
      </c>
      <c r="AG38" s="3455" t="s">
        <v>3902</v>
      </c>
      <c r="AH38" s="3455" t="s">
        <v>3903</v>
      </c>
      <c r="AI38" s="3455" t="s">
        <v>3320</v>
      </c>
      <c r="AJ38" s="3455" t="s">
        <v>3904</v>
      </c>
      <c r="AK38" s="3455" t="s">
        <v>3905</v>
      </c>
      <c r="AL38" s="3455" t="s">
        <v>3906</v>
      </c>
      <c r="AM38" s="3455" t="s">
        <v>3907</v>
      </c>
      <c r="AN38" s="3455" t="s">
        <v>3908</v>
      </c>
      <c r="AO38" s="3455" t="s">
        <v>3320</v>
      </c>
      <c r="AP38" s="3455" t="s">
        <v>3320</v>
      </c>
      <c r="AQ38" s="3455" t="s">
        <v>3909</v>
      </c>
      <c r="AR38" s="3455" t="s">
        <v>3333</v>
      </c>
      <c r="AS38" s="3455" t="s">
        <v>3317</v>
      </c>
      <c r="AT38" s="3455" t="s">
        <v>3317</v>
      </c>
      <c r="AU38" s="3455" t="s">
        <v>3320</v>
      </c>
      <c r="AV38" s="3455" t="s">
        <v>3320</v>
      </c>
      <c r="AW38" s="3455" t="s">
        <v>3320</v>
      </c>
    </row>
    <row r="39" spans="1:49">
      <c r="A39" s="3455" t="s">
        <v>3910</v>
      </c>
      <c r="B39" s="3455" t="s">
        <v>3309</v>
      </c>
      <c r="C39" s="3455" t="s">
        <v>3310</v>
      </c>
      <c r="D39" s="3455" t="s">
        <v>3911</v>
      </c>
      <c r="E39" s="3455" t="s">
        <v>3311</v>
      </c>
      <c r="F39" s="3455" t="s">
        <v>3578</v>
      </c>
      <c r="G39" s="3455" t="s">
        <v>3912</v>
      </c>
      <c r="H39" s="3455" t="s">
        <v>3370</v>
      </c>
      <c r="I39" s="3455" t="s">
        <v>3913</v>
      </c>
      <c r="J39" s="3455" t="s">
        <v>3914</v>
      </c>
      <c r="K39" s="3455" t="s">
        <v>3915</v>
      </c>
      <c r="L39" s="3455" t="s">
        <v>3855</v>
      </c>
      <c r="M39" s="3455" t="s">
        <v>3825</v>
      </c>
      <c r="N39" s="3455" t="s">
        <v>3316</v>
      </c>
      <c r="O39" s="3455" t="s">
        <v>3317</v>
      </c>
      <c r="P39" s="3455" t="s">
        <v>3916</v>
      </c>
      <c r="Q39" s="3455" t="s">
        <v>3917</v>
      </c>
      <c r="R39" s="3455" t="s">
        <v>3320</v>
      </c>
      <c r="S39" s="3455" t="s">
        <v>3320</v>
      </c>
      <c r="T39" s="3455" t="s">
        <v>3320</v>
      </c>
      <c r="U39" s="3455" t="s">
        <v>3354</v>
      </c>
      <c r="V39" s="3455" t="s">
        <v>3354</v>
      </c>
      <c r="W39" s="3455">
        <v>0</v>
      </c>
      <c r="X39" s="3455">
        <v>0</v>
      </c>
      <c r="Y39" s="3455" t="s">
        <v>3918</v>
      </c>
      <c r="Z39" s="3455" t="s">
        <v>3919</v>
      </c>
      <c r="AA39" s="3455" t="s">
        <v>3919</v>
      </c>
      <c r="AB39" s="3455" t="s">
        <v>3919</v>
      </c>
      <c r="AC39" s="3455" t="s">
        <v>3920</v>
      </c>
      <c r="AD39" s="3455" t="s">
        <v>3324</v>
      </c>
      <c r="AE39" s="3455" t="s">
        <v>3921</v>
      </c>
      <c r="AF39" s="3455" t="s">
        <v>3633</v>
      </c>
      <c r="AG39" s="3455" t="s">
        <v>3922</v>
      </c>
      <c r="AH39" s="3455" t="s">
        <v>3923</v>
      </c>
      <c r="AI39" s="3455" t="s">
        <v>3320</v>
      </c>
      <c r="AJ39" s="3455" t="s">
        <v>3924</v>
      </c>
      <c r="AK39" s="3455" t="s">
        <v>3925</v>
      </c>
      <c r="AL39" s="3455" t="s">
        <v>3926</v>
      </c>
      <c r="AM39" s="3455" t="s">
        <v>3927</v>
      </c>
      <c r="AN39" s="3455" t="s">
        <v>3928</v>
      </c>
      <c r="AO39" s="3455" t="s">
        <v>3320</v>
      </c>
      <c r="AP39" s="3455" t="s">
        <v>3320</v>
      </c>
      <c r="AQ39" s="3455" t="s">
        <v>3929</v>
      </c>
      <c r="AR39" s="3455" t="s">
        <v>3930</v>
      </c>
      <c r="AS39" s="3455" t="s">
        <v>3317</v>
      </c>
      <c r="AT39" s="3455" t="s">
        <v>3317</v>
      </c>
      <c r="AU39" s="3455" t="s">
        <v>3320</v>
      </c>
      <c r="AV39" s="3455" t="s">
        <v>3320</v>
      </c>
      <c r="AW39" s="3455" t="s">
        <v>3320</v>
      </c>
    </row>
    <row r="40" spans="1:49">
      <c r="A40" s="3455" t="s">
        <v>3910</v>
      </c>
      <c r="B40" s="3455" t="s">
        <v>3309</v>
      </c>
      <c r="C40" s="3455" t="s">
        <v>3310</v>
      </c>
      <c r="D40" s="3455" t="s">
        <v>3931</v>
      </c>
      <c r="E40" s="3455" t="s">
        <v>3311</v>
      </c>
      <c r="F40" s="3455" t="s">
        <v>3714</v>
      </c>
      <c r="G40" s="3455" t="s">
        <v>3912</v>
      </c>
      <c r="H40" s="3455" t="s">
        <v>3370</v>
      </c>
      <c r="I40" s="3455" t="s">
        <v>3932</v>
      </c>
      <c r="J40" s="3455" t="s">
        <v>3933</v>
      </c>
      <c r="K40" s="3455" t="s">
        <v>3915</v>
      </c>
      <c r="L40" s="3455" t="s">
        <v>3855</v>
      </c>
      <c r="M40" s="3455" t="s">
        <v>3825</v>
      </c>
      <c r="N40" s="3455" t="s">
        <v>3316</v>
      </c>
      <c r="O40" s="3455" t="s">
        <v>3317</v>
      </c>
      <c r="P40" s="3455" t="s">
        <v>3916</v>
      </c>
      <c r="Q40" s="3455" t="s">
        <v>3917</v>
      </c>
      <c r="R40" s="3455" t="s">
        <v>3320</v>
      </c>
      <c r="S40" s="3455" t="s">
        <v>3320</v>
      </c>
      <c r="T40" s="3455" t="s">
        <v>3320</v>
      </c>
      <c r="U40" s="3455" t="s">
        <v>3354</v>
      </c>
      <c r="V40" s="3455" t="s">
        <v>3354</v>
      </c>
      <c r="W40" s="3455">
        <v>0</v>
      </c>
      <c r="X40" s="3455">
        <v>0</v>
      </c>
      <c r="Y40" s="3455" t="s">
        <v>3918</v>
      </c>
      <c r="Z40" s="3455" t="s">
        <v>3919</v>
      </c>
      <c r="AA40" s="3455" t="s">
        <v>3919</v>
      </c>
      <c r="AB40" s="3455" t="s">
        <v>3919</v>
      </c>
      <c r="AC40" s="3455" t="s">
        <v>3934</v>
      </c>
      <c r="AD40" s="3455" t="s">
        <v>3324</v>
      </c>
      <c r="AE40" s="3455" t="s">
        <v>3921</v>
      </c>
      <c r="AF40" s="3455" t="s">
        <v>3633</v>
      </c>
      <c r="AG40" s="3455" t="s">
        <v>3935</v>
      </c>
      <c r="AH40" s="3455" t="s">
        <v>3936</v>
      </c>
      <c r="AI40" s="3455" t="s">
        <v>3320</v>
      </c>
      <c r="AJ40" s="3455" t="s">
        <v>3937</v>
      </c>
      <c r="AK40" s="3455" t="s">
        <v>3938</v>
      </c>
      <c r="AL40" s="3455" t="s">
        <v>3939</v>
      </c>
      <c r="AM40" s="3455" t="s">
        <v>3940</v>
      </c>
      <c r="AN40" s="3455" t="s">
        <v>3941</v>
      </c>
      <c r="AO40" s="3455" t="s">
        <v>3320</v>
      </c>
      <c r="AP40" s="3455" t="s">
        <v>3320</v>
      </c>
      <c r="AQ40" s="3455" t="s">
        <v>3942</v>
      </c>
      <c r="AR40" s="3455" t="s">
        <v>3930</v>
      </c>
      <c r="AS40" s="3455" t="s">
        <v>3317</v>
      </c>
      <c r="AT40" s="3455" t="s">
        <v>3317</v>
      </c>
      <c r="AU40" s="3455" t="s">
        <v>3320</v>
      </c>
      <c r="AV40" s="3455" t="s">
        <v>3320</v>
      </c>
      <c r="AW40" s="3455" t="s">
        <v>3320</v>
      </c>
    </row>
    <row r="41" spans="1:49">
      <c r="A41" s="3455" t="s">
        <v>3910</v>
      </c>
      <c r="B41" s="3455" t="s">
        <v>3309</v>
      </c>
      <c r="C41" s="3455" t="s">
        <v>3310</v>
      </c>
      <c r="D41" s="3455" t="s">
        <v>3943</v>
      </c>
      <c r="E41" s="3455" t="s">
        <v>3311</v>
      </c>
      <c r="F41" s="3455" t="s">
        <v>3578</v>
      </c>
      <c r="G41" s="3455" t="s">
        <v>3912</v>
      </c>
      <c r="H41" s="3455" t="s">
        <v>3370</v>
      </c>
      <c r="I41" s="3455" t="s">
        <v>3944</v>
      </c>
      <c r="J41" s="3455" t="s">
        <v>3945</v>
      </c>
      <c r="K41" s="3455" t="s">
        <v>3915</v>
      </c>
      <c r="L41" s="3455" t="s">
        <v>3855</v>
      </c>
      <c r="M41" s="3455" t="s">
        <v>3825</v>
      </c>
      <c r="N41" s="3455" t="s">
        <v>3316</v>
      </c>
      <c r="O41" s="3455" t="s">
        <v>3317</v>
      </c>
      <c r="P41" s="3455" t="s">
        <v>3916</v>
      </c>
      <c r="Q41" s="3455" t="s">
        <v>3917</v>
      </c>
      <c r="R41" s="3455" t="s">
        <v>3320</v>
      </c>
      <c r="S41" s="3455" t="s">
        <v>3320</v>
      </c>
      <c r="T41" s="3455" t="s">
        <v>3320</v>
      </c>
      <c r="U41" s="3455" t="s">
        <v>3354</v>
      </c>
      <c r="V41" s="3455" t="s">
        <v>3354</v>
      </c>
      <c r="W41" s="3455">
        <v>0</v>
      </c>
      <c r="X41" s="3455">
        <v>0</v>
      </c>
      <c r="Y41" s="3455" t="s">
        <v>3918</v>
      </c>
      <c r="Z41" s="3455" t="s">
        <v>3919</v>
      </c>
      <c r="AA41" s="3455" t="s">
        <v>3919</v>
      </c>
      <c r="AB41" s="3455" t="s">
        <v>3919</v>
      </c>
      <c r="AC41" s="3455" t="s">
        <v>3946</v>
      </c>
      <c r="AD41" s="3455" t="s">
        <v>3324</v>
      </c>
      <c r="AE41" s="3455" t="s">
        <v>3921</v>
      </c>
      <c r="AF41" s="3455" t="s">
        <v>3633</v>
      </c>
      <c r="AG41" s="3455" t="s">
        <v>3947</v>
      </c>
      <c r="AH41" s="3455" t="s">
        <v>3948</v>
      </c>
      <c r="AI41" s="3455" t="s">
        <v>3320</v>
      </c>
      <c r="AJ41" s="3455" t="s">
        <v>3949</v>
      </c>
      <c r="AK41" s="3455" t="s">
        <v>3950</v>
      </c>
      <c r="AL41" s="3455" t="s">
        <v>3951</v>
      </c>
      <c r="AM41" s="3455" t="s">
        <v>3940</v>
      </c>
      <c r="AN41" s="3455" t="s">
        <v>3952</v>
      </c>
      <c r="AO41" s="3455" t="s">
        <v>3320</v>
      </c>
      <c r="AP41" s="3455" t="s">
        <v>3320</v>
      </c>
      <c r="AQ41" s="3455" t="s">
        <v>3929</v>
      </c>
      <c r="AR41" s="3455" t="s">
        <v>3930</v>
      </c>
      <c r="AS41" s="3455" t="s">
        <v>3317</v>
      </c>
      <c r="AT41" s="3455" t="s">
        <v>3317</v>
      </c>
      <c r="AU41" s="3455" t="s">
        <v>3320</v>
      </c>
      <c r="AV41" s="3455" t="s">
        <v>3320</v>
      </c>
      <c r="AW41" s="3455" t="s">
        <v>3320</v>
      </c>
    </row>
    <row r="42" spans="1:49">
      <c r="A42" s="3455" t="s">
        <v>3953</v>
      </c>
      <c r="B42" s="3455" t="s">
        <v>3309</v>
      </c>
      <c r="C42" s="3455" t="s">
        <v>3310</v>
      </c>
      <c r="D42" s="3455" t="s">
        <v>3954</v>
      </c>
      <c r="E42" s="3455" t="s">
        <v>3311</v>
      </c>
      <c r="F42" s="3455" t="s">
        <v>3578</v>
      </c>
      <c r="G42" s="3455" t="s">
        <v>3955</v>
      </c>
      <c r="H42" s="3455" t="s">
        <v>3370</v>
      </c>
      <c r="I42" s="3455" t="s">
        <v>3956</v>
      </c>
      <c r="J42" s="3455" t="s">
        <v>3957</v>
      </c>
      <c r="K42" s="3455" t="s">
        <v>3915</v>
      </c>
      <c r="L42" s="3455" t="s">
        <v>3855</v>
      </c>
      <c r="M42" s="3455" t="s">
        <v>3958</v>
      </c>
      <c r="N42" s="3455" t="s">
        <v>3316</v>
      </c>
      <c r="O42" s="3455" t="s">
        <v>3540</v>
      </c>
      <c r="P42" s="3455" t="s">
        <v>3916</v>
      </c>
      <c r="Q42" s="3455" t="s">
        <v>3917</v>
      </c>
      <c r="R42" s="3455" t="s">
        <v>3320</v>
      </c>
      <c r="S42" s="3455" t="s">
        <v>3320</v>
      </c>
      <c r="T42" s="3455" t="s">
        <v>3320</v>
      </c>
      <c r="U42" s="3455" t="s">
        <v>3354</v>
      </c>
      <c r="V42" s="3455" t="s">
        <v>3354</v>
      </c>
      <c r="W42" s="3455">
        <v>0</v>
      </c>
      <c r="X42" s="3455">
        <v>0</v>
      </c>
      <c r="Y42" s="3455" t="s">
        <v>3918</v>
      </c>
      <c r="Z42" s="3455" t="s">
        <v>3959</v>
      </c>
      <c r="AA42" s="3455" t="s">
        <v>3959</v>
      </c>
      <c r="AB42" s="3455" t="s">
        <v>3959</v>
      </c>
      <c r="AC42" s="3455" t="s">
        <v>3960</v>
      </c>
      <c r="AD42" s="3455" t="s">
        <v>3324</v>
      </c>
      <c r="AE42" s="3455" t="s">
        <v>3921</v>
      </c>
      <c r="AF42" s="3455" t="s">
        <v>3633</v>
      </c>
      <c r="AG42" s="3455" t="s">
        <v>3961</v>
      </c>
      <c r="AH42" s="3455" t="s">
        <v>3962</v>
      </c>
      <c r="AI42" s="3455" t="s">
        <v>3320</v>
      </c>
      <c r="AJ42" s="3455" t="s">
        <v>3963</v>
      </c>
      <c r="AK42" s="3455" t="s">
        <v>3964</v>
      </c>
      <c r="AL42" s="3455" t="s">
        <v>3965</v>
      </c>
      <c r="AM42" s="3455" t="s">
        <v>3966</v>
      </c>
      <c r="AN42" s="3455" t="s">
        <v>3967</v>
      </c>
      <c r="AO42" s="3455" t="s">
        <v>3320</v>
      </c>
      <c r="AP42" s="3455" t="s">
        <v>3320</v>
      </c>
      <c r="AQ42" s="3455" t="s">
        <v>3968</v>
      </c>
      <c r="AR42" s="3455" t="s">
        <v>3969</v>
      </c>
      <c r="AS42" s="3455" t="s">
        <v>3317</v>
      </c>
      <c r="AT42" s="3455" t="s">
        <v>3317</v>
      </c>
      <c r="AU42" s="3455" t="s">
        <v>3320</v>
      </c>
      <c r="AV42" s="3455" t="s">
        <v>3320</v>
      </c>
      <c r="AW42" s="3455" t="s">
        <v>3320</v>
      </c>
    </row>
    <row r="43" spans="1:49">
      <c r="A43" s="3455" t="s">
        <v>3953</v>
      </c>
      <c r="B43" s="3455" t="s">
        <v>3309</v>
      </c>
      <c r="C43" s="3455" t="s">
        <v>3310</v>
      </c>
      <c r="D43" s="3455" t="s">
        <v>3970</v>
      </c>
      <c r="E43" s="3455" t="s">
        <v>3311</v>
      </c>
      <c r="F43" s="3455" t="s">
        <v>3336</v>
      </c>
      <c r="G43" s="3455" t="s">
        <v>3955</v>
      </c>
      <c r="H43" s="3455" t="s">
        <v>3313</v>
      </c>
      <c r="I43" s="3455" t="s">
        <v>3971</v>
      </c>
      <c r="J43" s="3455" t="s">
        <v>3972</v>
      </c>
      <c r="K43" s="3455" t="s">
        <v>3915</v>
      </c>
      <c r="L43" s="3455" t="s">
        <v>3855</v>
      </c>
      <c r="M43" s="3455" t="s">
        <v>3762</v>
      </c>
      <c r="N43" s="3455" t="s">
        <v>3316</v>
      </c>
      <c r="O43" s="3455" t="s">
        <v>3317</v>
      </c>
      <c r="P43" s="3455" t="s">
        <v>3973</v>
      </c>
      <c r="Q43" s="3455" t="s">
        <v>3917</v>
      </c>
      <c r="R43" s="3455" t="s">
        <v>3320</v>
      </c>
      <c r="S43" s="3455" t="s">
        <v>3320</v>
      </c>
      <c r="T43" s="3455" t="s">
        <v>3320</v>
      </c>
      <c r="U43" s="3455" t="s">
        <v>3354</v>
      </c>
      <c r="V43" s="3455" t="s">
        <v>3354</v>
      </c>
      <c r="W43" s="3455">
        <v>0</v>
      </c>
      <c r="X43" s="3455">
        <v>0</v>
      </c>
      <c r="Y43" s="3455" t="s">
        <v>3918</v>
      </c>
      <c r="Z43" s="3455" t="s">
        <v>3959</v>
      </c>
      <c r="AA43" s="3455" t="s">
        <v>3959</v>
      </c>
      <c r="AB43" s="3455" t="s">
        <v>3959</v>
      </c>
      <c r="AC43" s="3455" t="s">
        <v>3974</v>
      </c>
      <c r="AD43" s="3455" t="s">
        <v>3324</v>
      </c>
      <c r="AE43" s="3455" t="s">
        <v>3921</v>
      </c>
      <c r="AF43" s="3455" t="s">
        <v>3633</v>
      </c>
      <c r="AG43" s="3455" t="s">
        <v>3975</v>
      </c>
      <c r="AH43" s="3455" t="s">
        <v>3976</v>
      </c>
      <c r="AI43" s="3455" t="s">
        <v>3320</v>
      </c>
      <c r="AJ43" s="3455" t="s">
        <v>3977</v>
      </c>
      <c r="AK43" s="3455" t="s">
        <v>3978</v>
      </c>
      <c r="AL43" s="3455" t="s">
        <v>3979</v>
      </c>
      <c r="AM43" s="3455" t="s">
        <v>3980</v>
      </c>
      <c r="AN43" s="3455" t="s">
        <v>3981</v>
      </c>
      <c r="AO43" s="3455" t="s">
        <v>3320</v>
      </c>
      <c r="AP43" s="3455" t="s">
        <v>3320</v>
      </c>
      <c r="AQ43" s="3455" t="s">
        <v>3968</v>
      </c>
      <c r="AR43" s="3455" t="s">
        <v>3333</v>
      </c>
      <c r="AS43" s="3455" t="s">
        <v>3317</v>
      </c>
      <c r="AT43" s="3455" t="s">
        <v>3317</v>
      </c>
      <c r="AU43" s="3455" t="s">
        <v>3320</v>
      </c>
      <c r="AV43" s="3455" t="s">
        <v>3320</v>
      </c>
      <c r="AW43" s="3455" t="s">
        <v>3320</v>
      </c>
    </row>
    <row r="44" spans="1:49">
      <c r="A44" s="3455" t="s">
        <v>3982</v>
      </c>
      <c r="B44" s="3455" t="s">
        <v>3309</v>
      </c>
      <c r="C44" s="3455" t="s">
        <v>3310</v>
      </c>
      <c r="D44" s="3455" t="s">
        <v>3983</v>
      </c>
      <c r="E44" s="3455" t="s">
        <v>3311</v>
      </c>
      <c r="F44" s="3455" t="s">
        <v>3984</v>
      </c>
      <c r="G44" s="3455" t="s">
        <v>3985</v>
      </c>
      <c r="H44" s="3455" t="s">
        <v>3313</v>
      </c>
      <c r="I44" s="3455" t="s">
        <v>3986</v>
      </c>
      <c r="J44" s="3455" t="s">
        <v>3987</v>
      </c>
      <c r="K44" s="3455" t="s">
        <v>3988</v>
      </c>
      <c r="L44" s="3455" t="s">
        <v>3855</v>
      </c>
      <c r="M44" s="3455" t="s">
        <v>3762</v>
      </c>
      <c r="N44" s="3455" t="s">
        <v>3316</v>
      </c>
      <c r="O44" s="3455" t="s">
        <v>3317</v>
      </c>
      <c r="P44" s="3455" t="s">
        <v>3989</v>
      </c>
      <c r="Q44" s="3455" t="s">
        <v>3990</v>
      </c>
      <c r="R44" s="3455" t="s">
        <v>3320</v>
      </c>
      <c r="S44" s="3455" t="s">
        <v>3320</v>
      </c>
      <c r="T44" s="3455" t="s">
        <v>3320</v>
      </c>
      <c r="U44" s="3455" t="s">
        <v>3354</v>
      </c>
      <c r="V44" s="3455" t="s">
        <v>3354</v>
      </c>
      <c r="W44" s="3455">
        <v>0</v>
      </c>
      <c r="X44" s="3455">
        <v>0</v>
      </c>
      <c r="Y44" s="3455" t="s">
        <v>3991</v>
      </c>
      <c r="Z44" s="3455" t="s">
        <v>3992</v>
      </c>
      <c r="AA44" s="3455" t="s">
        <v>3992</v>
      </c>
      <c r="AB44" s="3455" t="s">
        <v>3992</v>
      </c>
      <c r="AC44" s="3455" t="s">
        <v>3993</v>
      </c>
      <c r="AD44" s="3455" t="s">
        <v>3324</v>
      </c>
      <c r="AE44" s="3455" t="s">
        <v>3748</v>
      </c>
      <c r="AF44" s="3455" t="s">
        <v>3320</v>
      </c>
      <c r="AG44" s="3455" t="s">
        <v>3994</v>
      </c>
      <c r="AH44" s="3455" t="s">
        <v>3995</v>
      </c>
      <c r="AI44" s="3455" t="s">
        <v>3320</v>
      </c>
      <c r="AJ44" s="3455" t="s">
        <v>3996</v>
      </c>
      <c r="AK44" s="3455" t="s">
        <v>3997</v>
      </c>
      <c r="AL44" s="3455" t="s">
        <v>3998</v>
      </c>
      <c r="AM44" s="3455" t="s">
        <v>3999</v>
      </c>
      <c r="AN44" s="3455" t="s">
        <v>4000</v>
      </c>
      <c r="AO44" s="3455" t="s">
        <v>3320</v>
      </c>
      <c r="AP44" s="3455" t="s">
        <v>3320</v>
      </c>
      <c r="AQ44" s="3455" t="s">
        <v>4001</v>
      </c>
      <c r="AR44" s="3455" t="s">
        <v>3333</v>
      </c>
      <c r="AS44" s="3455" t="s">
        <v>3317</v>
      </c>
      <c r="AT44" s="3455" t="s">
        <v>3317</v>
      </c>
      <c r="AU44" s="3455" t="s">
        <v>3320</v>
      </c>
      <c r="AV44" s="3455" t="s">
        <v>3320</v>
      </c>
      <c r="AW44" s="3455" t="s">
        <v>3320</v>
      </c>
    </row>
    <row r="45" spans="1:49" s="3458" customFormat="1">
      <c r="A45" s="3457" t="s">
        <v>4002</v>
      </c>
      <c r="B45" s="3457" t="s">
        <v>3309</v>
      </c>
      <c r="C45" s="3457" t="s">
        <v>3310</v>
      </c>
      <c r="D45" s="3457" t="s">
        <v>4003</v>
      </c>
      <c r="E45" s="3457" t="s">
        <v>3311</v>
      </c>
      <c r="F45" s="3457" t="s">
        <v>4004</v>
      </c>
      <c r="G45" s="3457" t="s">
        <v>4005</v>
      </c>
      <c r="H45" s="3457" t="s">
        <v>3370</v>
      </c>
      <c r="I45" s="3457" t="s">
        <v>4006</v>
      </c>
      <c r="J45" s="3457" t="s">
        <v>4007</v>
      </c>
      <c r="K45" s="3457" t="s">
        <v>3915</v>
      </c>
      <c r="L45" s="3457" t="s">
        <v>3855</v>
      </c>
      <c r="M45" s="3457" t="s">
        <v>4008</v>
      </c>
      <c r="N45" s="3457" t="s">
        <v>3316</v>
      </c>
      <c r="O45" s="3457" t="s">
        <v>4009</v>
      </c>
      <c r="P45" s="3457" t="s">
        <v>3916</v>
      </c>
      <c r="Q45" s="3457" t="s">
        <v>4010</v>
      </c>
      <c r="R45" s="3457" t="s">
        <v>3320</v>
      </c>
      <c r="S45" s="3457" t="s">
        <v>3320</v>
      </c>
      <c r="T45" s="3457" t="s">
        <v>3320</v>
      </c>
      <c r="U45" s="3457" t="s">
        <v>3354</v>
      </c>
      <c r="V45" s="3457" t="s">
        <v>3354</v>
      </c>
      <c r="W45" s="3457">
        <v>0</v>
      </c>
      <c r="X45" s="3457">
        <v>0</v>
      </c>
      <c r="Y45" s="3457" t="s">
        <v>4011</v>
      </c>
      <c r="Z45" s="3457" t="s">
        <v>4012</v>
      </c>
      <c r="AA45" s="3457" t="s">
        <v>4012</v>
      </c>
      <c r="AB45" s="3457" t="s">
        <v>4012</v>
      </c>
      <c r="AC45" s="3457" t="s">
        <v>4013</v>
      </c>
      <c r="AD45" s="3457" t="s">
        <v>3324</v>
      </c>
      <c r="AE45" s="3457" t="s">
        <v>4014</v>
      </c>
      <c r="AF45" s="3457" t="s">
        <v>3320</v>
      </c>
      <c r="AG45" s="3457" t="s">
        <v>4015</v>
      </c>
      <c r="AH45" s="3457" t="s">
        <v>4016</v>
      </c>
      <c r="AI45" s="3457" t="s">
        <v>3320</v>
      </c>
      <c r="AJ45" s="3457" t="s">
        <v>4017</v>
      </c>
      <c r="AK45" s="3457" t="s">
        <v>4018</v>
      </c>
      <c r="AL45" s="3457" t="s">
        <v>4019</v>
      </c>
      <c r="AM45" s="3457" t="s">
        <v>4020</v>
      </c>
      <c r="AN45" s="3457" t="s">
        <v>4021</v>
      </c>
      <c r="AO45" s="3457" t="s">
        <v>3320</v>
      </c>
      <c r="AP45" s="3457" t="s">
        <v>3320</v>
      </c>
      <c r="AQ45" s="3457" t="s">
        <v>4022</v>
      </c>
      <c r="AR45" s="3457" t="s">
        <v>3930</v>
      </c>
      <c r="AS45" s="3457" t="s">
        <v>3317</v>
      </c>
      <c r="AT45" s="3457" t="s">
        <v>3317</v>
      </c>
      <c r="AU45" s="3457" t="s">
        <v>3320</v>
      </c>
      <c r="AV45" s="3457" t="s">
        <v>3320</v>
      </c>
      <c r="AW45" s="3457" t="s">
        <v>3320</v>
      </c>
    </row>
    <row r="46" spans="1:49" s="3458" customFormat="1">
      <c r="A46" s="3457" t="s">
        <v>4023</v>
      </c>
      <c r="B46" s="3457" t="s">
        <v>3309</v>
      </c>
      <c r="C46" s="3457" t="s">
        <v>3310</v>
      </c>
      <c r="D46" s="3457" t="s">
        <v>3835</v>
      </c>
      <c r="E46" s="3457" t="s">
        <v>3311</v>
      </c>
      <c r="F46" s="3457" t="s">
        <v>3312</v>
      </c>
      <c r="G46" s="3457" t="s">
        <v>4024</v>
      </c>
      <c r="H46" s="3457" t="s">
        <v>3313</v>
      </c>
      <c r="I46" s="3457" t="s">
        <v>4025</v>
      </c>
      <c r="J46" s="3457" t="s">
        <v>4026</v>
      </c>
      <c r="K46" s="3457" t="s">
        <v>4027</v>
      </c>
      <c r="L46" s="3457" t="s">
        <v>3855</v>
      </c>
      <c r="M46" s="3457" t="s">
        <v>3780</v>
      </c>
      <c r="N46" s="3457" t="s">
        <v>3316</v>
      </c>
      <c r="O46" s="3457" t="s">
        <v>3317</v>
      </c>
      <c r="P46" s="3457" t="s">
        <v>3320</v>
      </c>
      <c r="Q46" s="3457" t="s">
        <v>3320</v>
      </c>
      <c r="R46" s="3457" t="s">
        <v>3320</v>
      </c>
      <c r="S46" s="3457" t="s">
        <v>3320</v>
      </c>
      <c r="T46" s="3457" t="s">
        <v>3320</v>
      </c>
      <c r="U46" s="3457" t="s">
        <v>3354</v>
      </c>
      <c r="V46" s="3457" t="s">
        <v>3354</v>
      </c>
      <c r="W46" s="3457">
        <v>0</v>
      </c>
      <c r="X46" s="3457">
        <v>0</v>
      </c>
      <c r="Y46" s="3457" t="s">
        <v>4028</v>
      </c>
      <c r="Z46" s="3457" t="s">
        <v>4029</v>
      </c>
      <c r="AA46" s="3457" t="s">
        <v>4029</v>
      </c>
      <c r="AB46" s="3457" t="s">
        <v>4029</v>
      </c>
      <c r="AC46" s="3457" t="s">
        <v>4030</v>
      </c>
      <c r="AD46" s="3457" t="s">
        <v>3324</v>
      </c>
      <c r="AE46" s="3457" t="s">
        <v>4031</v>
      </c>
      <c r="AF46" s="3457" t="s">
        <v>3320</v>
      </c>
      <c r="AG46" s="3457" t="s">
        <v>4032</v>
      </c>
      <c r="AH46" s="3457" t="s">
        <v>4033</v>
      </c>
      <c r="AI46" s="3457" t="s">
        <v>3320</v>
      </c>
      <c r="AJ46" s="3457" t="s">
        <v>4034</v>
      </c>
      <c r="AK46" s="3457" t="s">
        <v>4035</v>
      </c>
      <c r="AL46" s="3457" t="s">
        <v>4036</v>
      </c>
      <c r="AM46" s="3457" t="s">
        <v>4037</v>
      </c>
      <c r="AN46" s="3457" t="s">
        <v>4037</v>
      </c>
      <c r="AO46" s="3457" t="s">
        <v>3320</v>
      </c>
      <c r="AP46" s="3457" t="s">
        <v>3320</v>
      </c>
      <c r="AQ46" s="3457" t="s">
        <v>4038</v>
      </c>
      <c r="AR46" s="3457" t="s">
        <v>3333</v>
      </c>
      <c r="AS46" s="3457" t="s">
        <v>3317</v>
      </c>
      <c r="AT46" s="3457" t="s">
        <v>3317</v>
      </c>
      <c r="AU46" s="3457" t="s">
        <v>3320</v>
      </c>
      <c r="AV46" s="3457" t="s">
        <v>3320</v>
      </c>
      <c r="AW46" s="3457" t="s">
        <v>3320</v>
      </c>
    </row>
    <row r="47" spans="1:49">
      <c r="A47" s="3455" t="s">
        <v>4039</v>
      </c>
      <c r="B47" s="3455" t="s">
        <v>3309</v>
      </c>
      <c r="C47" s="3455" t="s">
        <v>3310</v>
      </c>
      <c r="D47" s="3455" t="s">
        <v>3882</v>
      </c>
      <c r="E47" s="3455" t="s">
        <v>3311</v>
      </c>
      <c r="F47" s="3455" t="s">
        <v>3757</v>
      </c>
      <c r="G47" s="3455" t="s">
        <v>4040</v>
      </c>
      <c r="H47" s="3455" t="s">
        <v>3370</v>
      </c>
      <c r="I47" s="3455" t="s">
        <v>4041</v>
      </c>
      <c r="J47" s="3455" t="s">
        <v>4042</v>
      </c>
      <c r="K47" s="3455" t="s">
        <v>4043</v>
      </c>
      <c r="L47" s="3455" t="s">
        <v>3855</v>
      </c>
      <c r="M47" s="3455" t="s">
        <v>4044</v>
      </c>
      <c r="N47" s="3455" t="s">
        <v>3316</v>
      </c>
      <c r="O47" s="3455" t="s">
        <v>3317</v>
      </c>
      <c r="P47" s="3455" t="s">
        <v>4045</v>
      </c>
      <c r="Q47" s="3455" t="s">
        <v>3990</v>
      </c>
      <c r="R47" s="3455" t="s">
        <v>3320</v>
      </c>
      <c r="S47" s="3455" t="s">
        <v>3320</v>
      </c>
      <c r="T47" s="3455" t="s">
        <v>3320</v>
      </c>
      <c r="U47" s="3455" t="s">
        <v>3354</v>
      </c>
      <c r="V47" s="3455" t="s">
        <v>3354</v>
      </c>
      <c r="W47" s="3455">
        <v>0</v>
      </c>
      <c r="X47" s="3455">
        <v>0</v>
      </c>
      <c r="Y47" s="3455" t="s">
        <v>4046</v>
      </c>
      <c r="Z47" s="3455" t="s">
        <v>4047</v>
      </c>
      <c r="AA47" s="3455" t="s">
        <v>4047</v>
      </c>
      <c r="AB47" s="3455" t="s">
        <v>4047</v>
      </c>
      <c r="AC47" s="3455" t="s">
        <v>4048</v>
      </c>
      <c r="AD47" s="3455" t="s">
        <v>3324</v>
      </c>
      <c r="AE47" s="3455" t="s">
        <v>4049</v>
      </c>
      <c r="AF47" s="3455" t="s">
        <v>3320</v>
      </c>
      <c r="AG47" s="3455" t="s">
        <v>4050</v>
      </c>
      <c r="AH47" s="3455" t="s">
        <v>4051</v>
      </c>
      <c r="AI47" s="3455" t="s">
        <v>3320</v>
      </c>
      <c r="AJ47" s="3455" t="s">
        <v>4052</v>
      </c>
      <c r="AK47" s="3455" t="s">
        <v>4053</v>
      </c>
      <c r="AL47" s="3455" t="s">
        <v>4054</v>
      </c>
      <c r="AM47" s="3455" t="s">
        <v>4055</v>
      </c>
      <c r="AN47" s="3455" t="s">
        <v>4056</v>
      </c>
      <c r="AO47" s="3455" t="s">
        <v>3320</v>
      </c>
      <c r="AP47" s="3455" t="s">
        <v>3320</v>
      </c>
      <c r="AQ47" s="3455" t="s">
        <v>4057</v>
      </c>
      <c r="AR47" s="3455" t="s">
        <v>3930</v>
      </c>
      <c r="AS47" s="3455" t="s">
        <v>3317</v>
      </c>
      <c r="AT47" s="3455" t="s">
        <v>3317</v>
      </c>
      <c r="AU47" s="3455" t="s">
        <v>3320</v>
      </c>
      <c r="AV47" s="3455" t="s">
        <v>3320</v>
      </c>
      <c r="AW47" s="3455" t="s">
        <v>3320</v>
      </c>
    </row>
    <row r="48" spans="1:49">
      <c r="A48" s="3455" t="s">
        <v>3891</v>
      </c>
      <c r="B48" s="3455" t="s">
        <v>3309</v>
      </c>
      <c r="C48" s="3455" t="s">
        <v>3310</v>
      </c>
      <c r="D48" s="3455" t="s">
        <v>3703</v>
      </c>
      <c r="E48" s="3455" t="s">
        <v>3311</v>
      </c>
      <c r="F48" s="3455" t="s">
        <v>3336</v>
      </c>
      <c r="G48" s="3455" t="s">
        <v>3893</v>
      </c>
      <c r="H48" s="3455" t="s">
        <v>3313</v>
      </c>
      <c r="I48" s="3455" t="s">
        <v>4058</v>
      </c>
      <c r="J48" s="3455" t="s">
        <v>4059</v>
      </c>
      <c r="K48" s="3455" t="s">
        <v>4060</v>
      </c>
      <c r="L48" s="3455" t="s">
        <v>3855</v>
      </c>
      <c r="M48" s="3455" t="s">
        <v>4061</v>
      </c>
      <c r="N48" s="3455" t="s">
        <v>3316</v>
      </c>
      <c r="O48" s="3455" t="s">
        <v>3317</v>
      </c>
      <c r="P48" s="3455" t="s">
        <v>4062</v>
      </c>
      <c r="Q48" s="3455" t="s">
        <v>4063</v>
      </c>
      <c r="R48" s="3455" t="s">
        <v>3320</v>
      </c>
      <c r="S48" s="3455" t="s">
        <v>3320</v>
      </c>
      <c r="T48" s="3455" t="s">
        <v>3320</v>
      </c>
      <c r="U48" s="3455" t="s">
        <v>3354</v>
      </c>
      <c r="V48" s="3455" t="s">
        <v>3354</v>
      </c>
      <c r="W48" s="3455">
        <v>0</v>
      </c>
      <c r="X48" s="3455">
        <v>0</v>
      </c>
      <c r="Y48" s="3455" t="s">
        <v>4064</v>
      </c>
      <c r="Z48" s="3455" t="s">
        <v>4065</v>
      </c>
      <c r="AA48" s="3455" t="s">
        <v>4065</v>
      </c>
      <c r="AB48" s="3455" t="s">
        <v>4065</v>
      </c>
      <c r="AC48" s="3455" t="s">
        <v>4066</v>
      </c>
      <c r="AD48" s="3455" t="s">
        <v>3324</v>
      </c>
      <c r="AE48" s="3455" t="s">
        <v>3769</v>
      </c>
      <c r="AF48" s="3455" t="s">
        <v>3320</v>
      </c>
      <c r="AG48" s="3455" t="s">
        <v>4067</v>
      </c>
      <c r="AH48" s="3455" t="s">
        <v>4068</v>
      </c>
      <c r="AI48" s="3455" t="s">
        <v>3320</v>
      </c>
      <c r="AJ48" s="3455" t="s">
        <v>4069</v>
      </c>
      <c r="AK48" s="3455" t="s">
        <v>4070</v>
      </c>
      <c r="AL48" s="3455" t="s">
        <v>4071</v>
      </c>
      <c r="AM48" s="3455" t="s">
        <v>4072</v>
      </c>
      <c r="AN48" s="3455" t="s">
        <v>4073</v>
      </c>
      <c r="AO48" s="3455" t="s">
        <v>3320</v>
      </c>
      <c r="AP48" s="3455" t="s">
        <v>3320</v>
      </c>
      <c r="AQ48" s="3455" t="s">
        <v>4074</v>
      </c>
      <c r="AR48" s="3455" t="s">
        <v>3333</v>
      </c>
      <c r="AS48" s="3455" t="s">
        <v>3317</v>
      </c>
      <c r="AT48" s="3455" t="s">
        <v>3317</v>
      </c>
      <c r="AU48" s="3455" t="s">
        <v>3320</v>
      </c>
      <c r="AV48" s="3455" t="s">
        <v>3320</v>
      </c>
      <c r="AW48" s="3455" t="s">
        <v>3320</v>
      </c>
    </row>
    <row r="49" spans="1:49">
      <c r="A49" s="3455" t="s">
        <v>3891</v>
      </c>
      <c r="B49" s="3455" t="s">
        <v>3309</v>
      </c>
      <c r="C49" s="3455" t="s">
        <v>3310</v>
      </c>
      <c r="D49" s="3455" t="s">
        <v>3669</v>
      </c>
      <c r="E49" s="3455" t="s">
        <v>3311</v>
      </c>
      <c r="F49" s="3455" t="s">
        <v>3757</v>
      </c>
      <c r="G49" s="3455" t="s">
        <v>3893</v>
      </c>
      <c r="H49" s="3455" t="s">
        <v>3370</v>
      </c>
      <c r="I49" s="3455" t="s">
        <v>4075</v>
      </c>
      <c r="J49" s="3455" t="s">
        <v>4076</v>
      </c>
      <c r="K49" s="3455" t="s">
        <v>4077</v>
      </c>
      <c r="L49" s="3455" t="s">
        <v>3855</v>
      </c>
      <c r="M49" s="3455" t="s">
        <v>4078</v>
      </c>
      <c r="N49" s="3455" t="s">
        <v>3316</v>
      </c>
      <c r="O49" s="3455" t="s">
        <v>3540</v>
      </c>
      <c r="P49" s="3455" t="s">
        <v>3973</v>
      </c>
      <c r="Q49" s="3455" t="s">
        <v>4063</v>
      </c>
      <c r="R49" s="3455" t="s">
        <v>3320</v>
      </c>
      <c r="S49" s="3455" t="s">
        <v>3320</v>
      </c>
      <c r="T49" s="3455" t="s">
        <v>3320</v>
      </c>
      <c r="U49" s="3455" t="s">
        <v>3354</v>
      </c>
      <c r="V49" s="3455" t="s">
        <v>3354</v>
      </c>
      <c r="W49" s="3455">
        <v>0</v>
      </c>
      <c r="X49" s="3455">
        <v>0</v>
      </c>
      <c r="Y49" s="3455" t="s">
        <v>4064</v>
      </c>
      <c r="Z49" s="3455" t="s">
        <v>4065</v>
      </c>
      <c r="AA49" s="3455" t="s">
        <v>4065</v>
      </c>
      <c r="AB49" s="3455" t="s">
        <v>4065</v>
      </c>
      <c r="AC49" s="3455" t="s">
        <v>4079</v>
      </c>
      <c r="AD49" s="3455" t="s">
        <v>3324</v>
      </c>
      <c r="AE49" s="3455" t="s">
        <v>3769</v>
      </c>
      <c r="AF49" s="3455" t="s">
        <v>3320</v>
      </c>
      <c r="AG49" s="3455" t="s">
        <v>4080</v>
      </c>
      <c r="AH49" s="3455" t="s">
        <v>4081</v>
      </c>
      <c r="AI49" s="3455" t="s">
        <v>3320</v>
      </c>
      <c r="AJ49" s="3455" t="s">
        <v>4082</v>
      </c>
      <c r="AK49" s="3455" t="s">
        <v>4083</v>
      </c>
      <c r="AL49" s="3455" t="s">
        <v>4084</v>
      </c>
      <c r="AM49" s="3455" t="s">
        <v>4085</v>
      </c>
      <c r="AN49" s="3455" t="s">
        <v>4085</v>
      </c>
      <c r="AO49" s="3455" t="s">
        <v>3320</v>
      </c>
      <c r="AP49" s="3455" t="s">
        <v>3320</v>
      </c>
      <c r="AQ49" s="3455" t="s">
        <v>4086</v>
      </c>
      <c r="AR49" s="3455" t="s">
        <v>3930</v>
      </c>
      <c r="AS49" s="3455" t="s">
        <v>3317</v>
      </c>
      <c r="AT49" s="3455" t="s">
        <v>3317</v>
      </c>
      <c r="AU49" s="3455" t="s">
        <v>3320</v>
      </c>
      <c r="AV49" s="3455" t="s">
        <v>3320</v>
      </c>
      <c r="AW49" s="3455" t="s">
        <v>3320</v>
      </c>
    </row>
    <row r="50" spans="1:49">
      <c r="A50" s="3455" t="s">
        <v>4087</v>
      </c>
      <c r="B50" s="3455" t="s">
        <v>3309</v>
      </c>
      <c r="C50" s="3455" t="s">
        <v>3310</v>
      </c>
      <c r="D50" s="3455" t="s">
        <v>4088</v>
      </c>
      <c r="E50" s="3455" t="s">
        <v>3311</v>
      </c>
      <c r="F50" s="3455" t="s">
        <v>3623</v>
      </c>
      <c r="G50" s="3455" t="s">
        <v>4089</v>
      </c>
      <c r="H50" s="3455" t="s">
        <v>3370</v>
      </c>
      <c r="I50" s="3455" t="s">
        <v>4090</v>
      </c>
      <c r="J50" s="3455" t="s">
        <v>4091</v>
      </c>
      <c r="K50" s="3455" t="s">
        <v>4092</v>
      </c>
      <c r="L50" s="3455" t="s">
        <v>3855</v>
      </c>
      <c r="M50" s="3455" t="s">
        <v>4093</v>
      </c>
      <c r="N50" s="3455" t="s">
        <v>3316</v>
      </c>
      <c r="O50" s="3455" t="s">
        <v>4094</v>
      </c>
      <c r="P50" s="3455" t="s">
        <v>4095</v>
      </c>
      <c r="Q50" s="3455" t="s">
        <v>4096</v>
      </c>
      <c r="R50" s="3455" t="s">
        <v>3320</v>
      </c>
      <c r="S50" s="3455" t="s">
        <v>3320</v>
      </c>
      <c r="T50" s="3455" t="s">
        <v>3320</v>
      </c>
      <c r="U50" s="3455" t="s">
        <v>3354</v>
      </c>
      <c r="V50" s="3455" t="s">
        <v>3354</v>
      </c>
      <c r="W50" s="3455">
        <v>0</v>
      </c>
      <c r="X50" s="3455">
        <v>0</v>
      </c>
      <c r="Y50" s="3455" t="s">
        <v>4097</v>
      </c>
      <c r="Z50" s="3455" t="s">
        <v>4098</v>
      </c>
      <c r="AA50" s="3455" t="s">
        <v>4098</v>
      </c>
      <c r="AB50" s="3455" t="s">
        <v>4098</v>
      </c>
      <c r="AC50" s="3455" t="s">
        <v>4099</v>
      </c>
      <c r="AD50" s="3455" t="s">
        <v>3324</v>
      </c>
      <c r="AE50" s="3455" t="s">
        <v>3921</v>
      </c>
      <c r="AF50" s="3455" t="s">
        <v>3633</v>
      </c>
      <c r="AG50" s="3455" t="s">
        <v>4100</v>
      </c>
      <c r="AH50" s="3455" t="s">
        <v>4101</v>
      </c>
      <c r="AI50" s="3455" t="s">
        <v>3320</v>
      </c>
      <c r="AJ50" s="3455" t="s">
        <v>4102</v>
      </c>
      <c r="AK50" s="3455" t="s">
        <v>4103</v>
      </c>
      <c r="AL50" s="3455" t="s">
        <v>4104</v>
      </c>
      <c r="AM50" s="3455" t="s">
        <v>4105</v>
      </c>
      <c r="AN50" s="3455" t="s">
        <v>4106</v>
      </c>
      <c r="AO50" s="3455" t="s">
        <v>3320</v>
      </c>
      <c r="AP50" s="3455" t="s">
        <v>3320</v>
      </c>
      <c r="AQ50" s="3455" t="s">
        <v>4107</v>
      </c>
      <c r="AR50" s="3455" t="s">
        <v>3930</v>
      </c>
      <c r="AS50" s="3455" t="s">
        <v>3317</v>
      </c>
      <c r="AT50" s="3455" t="s">
        <v>3317</v>
      </c>
      <c r="AU50" s="3455" t="s">
        <v>3320</v>
      </c>
      <c r="AV50" s="3455" t="s">
        <v>3320</v>
      </c>
      <c r="AW50" s="3455" t="s">
        <v>3320</v>
      </c>
    </row>
    <row r="51" spans="1:49">
      <c r="A51" s="3455" t="s">
        <v>4087</v>
      </c>
      <c r="B51" s="3455" t="s">
        <v>3309</v>
      </c>
      <c r="C51" s="3455" t="s">
        <v>3310</v>
      </c>
      <c r="D51" s="3455" t="s">
        <v>4108</v>
      </c>
      <c r="E51" s="3455" t="s">
        <v>3311</v>
      </c>
      <c r="F51" s="3455" t="s">
        <v>3623</v>
      </c>
      <c r="G51" s="3455" t="s">
        <v>4089</v>
      </c>
      <c r="H51" s="3455" t="s">
        <v>3313</v>
      </c>
      <c r="I51" s="3455" t="s">
        <v>4109</v>
      </c>
      <c r="J51" s="3455" t="s">
        <v>4110</v>
      </c>
      <c r="K51" s="3455" t="s">
        <v>4111</v>
      </c>
      <c r="L51" s="3455" t="s">
        <v>3855</v>
      </c>
      <c r="M51" s="3455" t="s">
        <v>4112</v>
      </c>
      <c r="N51" s="3455" t="s">
        <v>3316</v>
      </c>
      <c r="O51" s="3455" t="s">
        <v>3540</v>
      </c>
      <c r="P51" s="3455" t="s">
        <v>3916</v>
      </c>
      <c r="Q51" s="3455" t="s">
        <v>3917</v>
      </c>
      <c r="R51" s="3455" t="s">
        <v>3320</v>
      </c>
      <c r="S51" s="3455" t="s">
        <v>3320</v>
      </c>
      <c r="T51" s="3455" t="s">
        <v>3320</v>
      </c>
      <c r="U51" s="3455" t="s">
        <v>3354</v>
      </c>
      <c r="V51" s="3455" t="s">
        <v>3354</v>
      </c>
      <c r="W51" s="3455">
        <v>0</v>
      </c>
      <c r="X51" s="3455">
        <v>0</v>
      </c>
      <c r="Y51" s="3455" t="s">
        <v>4097</v>
      </c>
      <c r="Z51" s="3455" t="s">
        <v>4113</v>
      </c>
      <c r="AA51" s="3455" t="s">
        <v>4113</v>
      </c>
      <c r="AB51" s="3455" t="s">
        <v>4113</v>
      </c>
      <c r="AC51" s="3455" t="s">
        <v>4114</v>
      </c>
      <c r="AD51" s="3455" t="s">
        <v>3324</v>
      </c>
      <c r="AE51" s="3455" t="s">
        <v>3921</v>
      </c>
      <c r="AF51" s="3455" t="s">
        <v>3633</v>
      </c>
      <c r="AG51" s="3455" t="s">
        <v>4115</v>
      </c>
      <c r="AH51" s="3455" t="s">
        <v>4116</v>
      </c>
      <c r="AI51" s="3455" t="s">
        <v>3320</v>
      </c>
      <c r="AJ51" s="3455" t="s">
        <v>4115</v>
      </c>
      <c r="AK51" s="3455" t="s">
        <v>4117</v>
      </c>
      <c r="AL51" s="3455" t="s">
        <v>4117</v>
      </c>
      <c r="AM51" s="3455" t="s">
        <v>4118</v>
      </c>
      <c r="AN51" s="3455" t="s">
        <v>4118</v>
      </c>
      <c r="AO51" s="3455" t="s">
        <v>3320</v>
      </c>
      <c r="AP51" s="3455" t="s">
        <v>3320</v>
      </c>
      <c r="AQ51" s="3455" t="s">
        <v>3354</v>
      </c>
      <c r="AR51" s="3455" t="s">
        <v>3333</v>
      </c>
      <c r="AS51" s="3455" t="s">
        <v>3317</v>
      </c>
      <c r="AT51" s="3455" t="s">
        <v>3317</v>
      </c>
      <c r="AU51" s="3455" t="s">
        <v>3320</v>
      </c>
      <c r="AV51" s="3455" t="s">
        <v>3320</v>
      </c>
      <c r="AW51" s="3455" t="s">
        <v>3320</v>
      </c>
    </row>
    <row r="52" spans="1:49">
      <c r="A52" s="3455" t="s">
        <v>4119</v>
      </c>
      <c r="B52" s="3455" t="s">
        <v>3309</v>
      </c>
      <c r="C52" s="3455" t="s">
        <v>3310</v>
      </c>
      <c r="D52" s="3455" t="s">
        <v>4120</v>
      </c>
      <c r="E52" s="3455" t="s">
        <v>3311</v>
      </c>
      <c r="F52" s="3455" t="s">
        <v>3623</v>
      </c>
      <c r="G52" s="3455" t="s">
        <v>4121</v>
      </c>
      <c r="H52" s="3455" t="s">
        <v>3313</v>
      </c>
      <c r="I52" s="3455" t="s">
        <v>4122</v>
      </c>
      <c r="J52" s="3455" t="s">
        <v>4123</v>
      </c>
      <c r="K52" s="3455" t="s">
        <v>4124</v>
      </c>
      <c r="L52" s="3455" t="s">
        <v>3314</v>
      </c>
      <c r="M52" s="3455" t="s">
        <v>3762</v>
      </c>
      <c r="N52" s="3455" t="s">
        <v>3316</v>
      </c>
      <c r="O52" s="3455" t="s">
        <v>3317</v>
      </c>
      <c r="P52" s="3455" t="s">
        <v>4062</v>
      </c>
      <c r="Q52" s="3455" t="s">
        <v>4125</v>
      </c>
      <c r="R52" s="3455" t="s">
        <v>3320</v>
      </c>
      <c r="S52" s="3455" t="s">
        <v>3320</v>
      </c>
      <c r="T52" s="3455" t="s">
        <v>3320</v>
      </c>
      <c r="U52" s="3455" t="s">
        <v>3354</v>
      </c>
      <c r="V52" s="3455" t="s">
        <v>3354</v>
      </c>
      <c r="W52" s="3455">
        <v>0</v>
      </c>
      <c r="X52" s="3455">
        <v>0</v>
      </c>
      <c r="Y52" s="3455" t="s">
        <v>4126</v>
      </c>
      <c r="Z52" s="3455" t="s">
        <v>4127</v>
      </c>
      <c r="AA52" s="3455" t="s">
        <v>4128</v>
      </c>
      <c r="AB52" s="3455" t="s">
        <v>4128</v>
      </c>
      <c r="AC52" s="3455" t="s">
        <v>4129</v>
      </c>
      <c r="AD52" s="3455" t="s">
        <v>3324</v>
      </c>
      <c r="AE52" s="3455" t="s">
        <v>4130</v>
      </c>
      <c r="AF52" s="3455" t="s">
        <v>3320</v>
      </c>
      <c r="AG52" s="3455" t="s">
        <v>4131</v>
      </c>
      <c r="AH52" s="3455" t="s">
        <v>4132</v>
      </c>
      <c r="AI52" s="3455" t="s">
        <v>3320</v>
      </c>
      <c r="AJ52" s="3455" t="s">
        <v>4133</v>
      </c>
      <c r="AK52" s="3455" t="s">
        <v>4134</v>
      </c>
      <c r="AL52" s="3455" t="s">
        <v>4135</v>
      </c>
      <c r="AM52" s="3455" t="s">
        <v>4136</v>
      </c>
      <c r="AN52" s="3455" t="s">
        <v>4136</v>
      </c>
      <c r="AO52" s="3455" t="s">
        <v>3320</v>
      </c>
      <c r="AP52" s="3455" t="s">
        <v>3320</v>
      </c>
      <c r="AQ52" s="3455" t="s">
        <v>4074</v>
      </c>
      <c r="AR52" s="3455" t="s">
        <v>3333</v>
      </c>
      <c r="AS52" s="3455" t="s">
        <v>3317</v>
      </c>
      <c r="AT52" s="3455" t="s">
        <v>3317</v>
      </c>
      <c r="AU52" s="3455" t="s">
        <v>3320</v>
      </c>
      <c r="AV52" s="3455" t="s">
        <v>3320</v>
      </c>
      <c r="AW52" s="3455" t="s">
        <v>3320</v>
      </c>
    </row>
    <row r="53" spans="1:49">
      <c r="A53" s="3455" t="s">
        <v>4137</v>
      </c>
      <c r="B53" s="3455" t="s">
        <v>3309</v>
      </c>
      <c r="C53" s="3455" t="s">
        <v>3310</v>
      </c>
      <c r="D53" s="3455" t="s">
        <v>4138</v>
      </c>
      <c r="E53" s="3455" t="s">
        <v>3311</v>
      </c>
      <c r="F53" s="3455" t="s">
        <v>4139</v>
      </c>
      <c r="G53" s="3455" t="s">
        <v>4140</v>
      </c>
      <c r="H53" s="3455" t="s">
        <v>3313</v>
      </c>
      <c r="I53" s="3455" t="s">
        <v>4141</v>
      </c>
      <c r="J53" s="3455" t="s">
        <v>4142</v>
      </c>
      <c r="K53" s="3455" t="s">
        <v>4111</v>
      </c>
      <c r="L53" s="3455" t="s">
        <v>3855</v>
      </c>
      <c r="M53" s="3455" t="s">
        <v>3780</v>
      </c>
      <c r="N53" s="3455" t="s">
        <v>3316</v>
      </c>
      <c r="O53" s="3455" t="s">
        <v>3317</v>
      </c>
      <c r="P53" s="3455" t="s">
        <v>4143</v>
      </c>
      <c r="Q53" s="3455" t="s">
        <v>4125</v>
      </c>
      <c r="R53" s="3455" t="s">
        <v>3320</v>
      </c>
      <c r="S53" s="3455" t="s">
        <v>3320</v>
      </c>
      <c r="T53" s="3455" t="s">
        <v>3320</v>
      </c>
      <c r="U53" s="3455" t="s">
        <v>3354</v>
      </c>
      <c r="V53" s="3455" t="s">
        <v>3354</v>
      </c>
      <c r="W53" s="3455">
        <v>0</v>
      </c>
      <c r="X53" s="3455">
        <v>0</v>
      </c>
      <c r="Y53" s="3455" t="s">
        <v>4144</v>
      </c>
      <c r="Z53" s="3455" t="s">
        <v>4145</v>
      </c>
      <c r="AA53" s="3455" t="s">
        <v>4145</v>
      </c>
      <c r="AB53" s="3455" t="s">
        <v>4145</v>
      </c>
      <c r="AC53" s="3455" t="s">
        <v>4146</v>
      </c>
      <c r="AD53" s="3455" t="s">
        <v>3324</v>
      </c>
      <c r="AE53" s="3455" t="s">
        <v>4147</v>
      </c>
      <c r="AF53" s="3455" t="s">
        <v>3320</v>
      </c>
      <c r="AG53" s="3455" t="s">
        <v>4148</v>
      </c>
      <c r="AH53" s="3455" t="s">
        <v>4149</v>
      </c>
      <c r="AI53" s="3455" t="s">
        <v>3320</v>
      </c>
      <c r="AJ53" s="3455" t="s">
        <v>4150</v>
      </c>
      <c r="AK53" s="3455" t="s">
        <v>4151</v>
      </c>
      <c r="AL53" s="3455" t="s">
        <v>4152</v>
      </c>
      <c r="AM53" s="3455" t="s">
        <v>4153</v>
      </c>
      <c r="AN53" s="3455" t="s">
        <v>4153</v>
      </c>
      <c r="AO53" s="3455" t="s">
        <v>3320</v>
      </c>
      <c r="AP53" s="3455" t="s">
        <v>3320</v>
      </c>
      <c r="AQ53" s="3455" t="s">
        <v>4074</v>
      </c>
      <c r="AR53" s="3455" t="s">
        <v>3333</v>
      </c>
      <c r="AS53" s="3455" t="s">
        <v>3317</v>
      </c>
      <c r="AT53" s="3455" t="s">
        <v>3317</v>
      </c>
      <c r="AU53" s="3455" t="s">
        <v>3320</v>
      </c>
      <c r="AV53" s="3455" t="s">
        <v>3320</v>
      </c>
      <c r="AW53" s="3455" t="s">
        <v>3320</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9" t="s">
        <v>1830</v>
      </c>
      <c r="B1" s="3469"/>
      <c r="C1" s="3469"/>
      <c r="D1" s="3469"/>
      <c r="E1" s="3469"/>
      <c r="F1" s="3469"/>
      <c r="G1" s="3469"/>
      <c r="H1" s="3469"/>
      <c r="I1" s="3469"/>
      <c r="J1" s="3469"/>
      <c r="K1" s="3469"/>
      <c r="L1" s="3469"/>
      <c r="M1" s="3469"/>
      <c r="N1" s="3469"/>
      <c r="O1" s="3469"/>
      <c r="P1" s="3469"/>
      <c r="Q1" s="3469"/>
      <c r="R1" s="3469"/>
    </row>
    <row r="2" spans="1:18">
      <c r="A2" s="1677" t="s">
        <v>1832</v>
      </c>
      <c r="B2" s="1677"/>
      <c r="C2" s="1677"/>
      <c r="D2" s="1677"/>
      <c r="E2" s="1677"/>
      <c r="F2" s="1677"/>
      <c r="G2" s="1677"/>
      <c r="H2" s="1677"/>
      <c r="I2" s="1678"/>
      <c r="J2" s="1678"/>
      <c r="K2" s="1679" t="str">
        <f>"估价期日："&amp;TEXT(项目基本情况!D3,"yyyy年m月d日;;")</f>
        <v>估价期日：2022年5月20日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70" t="s">
        <v>1821</v>
      </c>
      <c r="B3" s="3470" t="s">
        <v>2448</v>
      </c>
      <c r="C3" s="3471" t="s">
        <v>1822</v>
      </c>
      <c r="D3" s="3470" t="s">
        <v>2452</v>
      </c>
      <c r="E3" s="3465" t="s">
        <v>1823</v>
      </c>
      <c r="F3" s="3465"/>
      <c r="G3" s="3465"/>
      <c r="H3" s="3465" t="s">
        <v>1824</v>
      </c>
      <c r="I3" s="3465"/>
      <c r="J3" s="3465"/>
      <c r="K3" s="3471" t="s">
        <v>1825</v>
      </c>
      <c r="L3" s="3471" t="s">
        <v>1826</v>
      </c>
      <c r="M3" s="3470" t="s">
        <v>2449</v>
      </c>
      <c r="N3" s="3472" t="str">
        <f>"（分摊）"&amp;项目基本情况!B16&amp;"国有建设用地使用权面积/㎡"</f>
        <v>（分摊）出让国有建设用地使用权面积/㎡</v>
      </c>
      <c r="O3" s="3470" t="s">
        <v>1855</v>
      </c>
      <c r="P3" s="3471" t="s">
        <v>1835</v>
      </c>
      <c r="Q3" s="3471" t="s">
        <v>1856</v>
      </c>
      <c r="R3" s="3471" t="s">
        <v>1827</v>
      </c>
    </row>
    <row r="4" spans="1:18" ht="36.75" customHeight="1">
      <c r="A4" s="3470"/>
      <c r="B4" s="3470"/>
      <c r="C4" s="3471"/>
      <c r="D4" s="3470"/>
      <c r="E4" s="2413" t="s">
        <v>1834</v>
      </c>
      <c r="F4" s="2413" t="s">
        <v>2461</v>
      </c>
      <c r="G4" s="2413" t="s">
        <v>1828</v>
      </c>
      <c r="H4" s="2413" t="s">
        <v>1829</v>
      </c>
      <c r="I4" s="2413" t="s">
        <v>2462</v>
      </c>
      <c r="J4" s="2413" t="s">
        <v>1828</v>
      </c>
      <c r="K4" s="3471"/>
      <c r="L4" s="3471"/>
      <c r="M4" s="3470"/>
      <c r="N4" s="3472"/>
      <c r="O4" s="3470"/>
      <c r="P4" s="3471"/>
      <c r="Q4" s="3471"/>
      <c r="R4" s="3471"/>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红线外七通、宗地红线内场地平整</v>
      </c>
      <c r="L5" s="1680" t="str">
        <f>"红线外"&amp;项目基本情况!T40&amp;"、宗地红线内场地"&amp;项目基本情况!D36</f>
        <v>红线外七通、宗地红线内场地平整</v>
      </c>
      <c r="M5" s="1680">
        <f>IF(项目基本情况!B16="出让",项目基本情况!D20,"——")</f>
        <v>0</v>
      </c>
      <c r="N5" s="1680">
        <f>项目基本情况!C22</f>
        <v>97473.98</v>
      </c>
      <c r="O5" s="1680">
        <f>项目基本情况!C21</f>
        <v>51575.14</v>
      </c>
      <c r="P5" s="1680">
        <f ca="1">结果表!E42</f>
        <v>4399</v>
      </c>
      <c r="Q5" s="1680">
        <f ca="1">结果表!D42</f>
        <v>8314</v>
      </c>
      <c r="R5" s="1681">
        <f ca="1">结果表!C42</f>
        <v>42878</v>
      </c>
    </row>
    <row r="6" spans="1:18">
      <c r="A6" s="3466" t="str">
        <f>IF(项目基本情况!B9="市场价格","——","抵押价格")</f>
        <v>抵押价格</v>
      </c>
      <c r="B6" s="3467"/>
      <c r="C6" s="3467"/>
      <c r="D6" s="3467"/>
      <c r="E6" s="3467"/>
      <c r="F6" s="3467"/>
      <c r="G6" s="3467"/>
      <c r="H6" s="3467"/>
      <c r="I6" s="3467"/>
      <c r="J6" s="3467"/>
      <c r="K6" s="3467"/>
      <c r="L6" s="3467"/>
      <c r="M6" s="3467"/>
      <c r="N6" s="3467"/>
      <c r="O6" s="3467"/>
      <c r="P6" s="3467"/>
      <c r="Q6" s="3468"/>
      <c r="R6" s="1682">
        <f ca="1">结果表!O39</f>
        <v>42878</v>
      </c>
    </row>
    <row r="7" spans="1:18">
      <c r="A7" s="3466" t="str">
        <f>IF(项目基本情况!B9="市场价格","——",IF(项目基本情况!E8="已注销及未注销","抵押担保权已注销时的抵押价格","——"))</f>
        <v>——</v>
      </c>
      <c r="B7" s="3467"/>
      <c r="C7" s="3467"/>
      <c r="D7" s="3467"/>
      <c r="E7" s="3467"/>
      <c r="F7" s="3467"/>
      <c r="G7" s="3467"/>
      <c r="H7" s="3467"/>
      <c r="I7" s="3467"/>
      <c r="J7" s="3467"/>
      <c r="K7" s="3467"/>
      <c r="L7" s="3467"/>
      <c r="M7" s="3467"/>
      <c r="N7" s="3467"/>
      <c r="O7" s="3467"/>
      <c r="P7" s="3467"/>
      <c r="Q7" s="3468"/>
      <c r="R7" s="1682" t="str">
        <f>结果表!O40</f>
        <v>——</v>
      </c>
    </row>
    <row r="8" spans="1:18">
      <c r="A8" s="3466" t="str">
        <f>IF(项目基本情况!B9="市场价格","——",项目基本情况!E9)</f>
        <v>抵押净值</v>
      </c>
      <c r="B8" s="3467"/>
      <c r="C8" s="3467"/>
      <c r="D8" s="3467"/>
      <c r="E8" s="3467"/>
      <c r="F8" s="3467"/>
      <c r="G8" s="3467"/>
      <c r="H8" s="3467"/>
      <c r="I8" s="3467"/>
      <c r="J8" s="3467"/>
      <c r="K8" s="3467"/>
      <c r="L8" s="3467"/>
      <c r="M8" s="3467"/>
      <c r="N8" s="3467"/>
      <c r="O8" s="3467"/>
      <c r="P8" s="3467"/>
      <c r="Q8" s="3468"/>
      <c r="R8" s="1682">
        <f ca="1">结果表!O41</f>
        <v>30661</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73" t="s">
        <v>1857</v>
      </c>
      <c r="B1" s="3473"/>
      <c r="C1" s="3473"/>
      <c r="D1" s="3473"/>
    </row>
    <row r="2" spans="1:4" ht="47.25" customHeight="1">
      <c r="A2" s="3477" t="str">
        <f>"1.权利限制："&amp;项目基本情况!L24&amp;"未设定租赁等其他他项权利。"</f>
        <v>1.权利限制：根据估价对象《不动产权证书》原件、《国有土地使用权》复印件，截至估价期日，估价对象抵押权未见登记。未设定租赁等其他他项权利。</v>
      </c>
      <c r="B2" s="3477"/>
      <c r="C2" s="3477"/>
      <c r="D2" s="3477"/>
    </row>
    <row r="3" spans="1:4" ht="48" customHeight="1">
      <c r="A3" s="347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73"/>
      <c r="C3" s="3473"/>
      <c r="D3" s="3473"/>
    </row>
    <row r="4" spans="1:4" ht="36.75" customHeight="1">
      <c r="A4" s="3473" t="str">
        <f>"3.估价规划限制条件：详见"&amp;项目基本情况!E21&amp;"。"</f>
        <v>3.估价规划限制条件：详见《建设工程规划许可证》[]、《出让合同》[]。</v>
      </c>
      <c r="B4" s="3473"/>
      <c r="C4" s="3473"/>
      <c r="D4" s="3473"/>
    </row>
    <row r="5" spans="1:4">
      <c r="A5" s="3476" t="s">
        <v>1858</v>
      </c>
      <c r="B5" s="3476"/>
      <c r="C5" s="3476"/>
      <c r="D5" s="3476"/>
    </row>
    <row r="6" spans="1:4">
      <c r="A6" s="3473" t="s">
        <v>1836</v>
      </c>
      <c r="B6" s="3473"/>
      <c r="C6" s="3473"/>
      <c r="D6" s="3473"/>
    </row>
    <row r="7" spans="1:4" ht="33" customHeight="1">
      <c r="A7" s="3473" t="s">
        <v>2292</v>
      </c>
      <c r="B7" s="3473"/>
      <c r="C7" s="3473"/>
      <c r="D7" s="3473"/>
    </row>
    <row r="8" spans="1:4" ht="32.25" customHeight="1">
      <c r="A8" s="34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3"/>
      <c r="C8" s="3473"/>
      <c r="D8" s="3473"/>
    </row>
    <row r="9" spans="1:4" ht="33.75" customHeight="1">
      <c r="A9" s="34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3"/>
      <c r="C9" s="3473"/>
      <c r="D9" s="3473"/>
    </row>
    <row r="10" spans="1:4">
      <c r="A10" s="3473" t="str">
        <f>IF(项目基本情况!B8="抵押","4.估价师所知悉的法定优先受偿款情况为：","——")</f>
        <v>4.估价师所知悉的法定优先受偿款情况为：</v>
      </c>
      <c r="B10" s="3473"/>
      <c r="C10" s="3473"/>
      <c r="D10" s="3473"/>
    </row>
    <row r="11" spans="1:4" ht="37.5" customHeight="1">
      <c r="A11" s="347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5"/>
      <c r="C11" s="3475"/>
      <c r="D11" s="3475"/>
    </row>
    <row r="12" spans="1:4" ht="168" customHeight="1">
      <c r="A12" s="3476" t="s">
        <v>1860</v>
      </c>
      <c r="B12" s="3476"/>
      <c r="C12" s="3476"/>
      <c r="D12" s="3476"/>
    </row>
    <row r="13" spans="1:4">
      <c r="A13" s="3474" t="s">
        <v>2463</v>
      </c>
      <c r="B13" s="3474"/>
      <c r="C13" s="3474"/>
      <c r="D13" s="3474"/>
    </row>
    <row r="14" spans="1:4">
      <c r="A14" s="3475" t="str">
        <f>IF(项目基本情况!B8="抵押","综上，"&amp;结果表!K47,"——")</f>
        <v>综上，本次评估不存在估价师知悉的法定优先受偿款</v>
      </c>
      <c r="B14" s="3475"/>
      <c r="C14" s="3475"/>
      <c r="D14" s="3475"/>
    </row>
    <row r="15" spans="1:4" ht="58.5" customHeight="1">
      <c r="A15" s="34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3"/>
      <c r="C15" s="3473"/>
      <c r="D15" s="3473"/>
    </row>
    <row r="16" spans="1:4" ht="70.5" customHeight="1">
      <c r="A16" s="34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3"/>
      <c r="C16" s="3473"/>
      <c r="D16" s="3473"/>
    </row>
    <row r="17" spans="1:4">
      <c r="A17" s="3473" t="s">
        <v>2419</v>
      </c>
      <c r="B17" s="3473"/>
      <c r="C17" s="3473"/>
      <c r="D17" s="3473"/>
    </row>
    <row r="18" spans="1:4">
      <c r="A18" s="3473" t="s">
        <v>2411</v>
      </c>
      <c r="B18" s="3473"/>
      <c r="C18" s="3473"/>
      <c r="D18" s="3473"/>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73" t="s">
        <v>2416</v>
      </c>
      <c r="B23" s="3473"/>
      <c r="C23" s="3473"/>
      <c r="D23" s="3473"/>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85" t="s">
        <v>53</v>
      </c>
      <c r="B15" s="3486" t="s">
        <v>826</v>
      </c>
      <c r="C15" s="3482"/>
    </row>
    <row r="16" spans="1:7" ht="14.25">
      <c r="A16" s="3485"/>
      <c r="B16" s="3483" t="s">
        <v>54</v>
      </c>
      <c r="C16" s="1118" t="s">
        <v>53</v>
      </c>
    </row>
    <row r="17" spans="1:3" ht="14.25">
      <c r="A17" s="3485"/>
      <c r="B17" s="3483"/>
      <c r="C17" s="1118" t="s">
        <v>55</v>
      </c>
    </row>
    <row r="18" spans="1:3" ht="14.25">
      <c r="A18" s="3485"/>
      <c r="B18" s="3483"/>
      <c r="C18" s="1118" t="s">
        <v>56</v>
      </c>
    </row>
    <row r="19" spans="1:3" ht="14.25">
      <c r="A19" s="3485"/>
      <c r="B19" s="3481" t="s">
        <v>57</v>
      </c>
      <c r="C19" s="3482"/>
    </row>
    <row r="20" spans="1:3" ht="14.25">
      <c r="A20" s="1119" t="s">
        <v>58</v>
      </c>
      <c r="B20" s="1120"/>
      <c r="C20" s="1121"/>
    </row>
    <row r="21" spans="1:3" ht="14.25">
      <c r="A21" s="3484" t="s">
        <v>59</v>
      </c>
      <c r="B21" s="3481" t="s">
        <v>60</v>
      </c>
      <c r="C21" s="3482"/>
    </row>
    <row r="22" spans="1:3" ht="14.25">
      <c r="A22" s="3484"/>
      <c r="B22" s="3481" t="s">
        <v>61</v>
      </c>
      <c r="C22" s="3482"/>
    </row>
    <row r="23" spans="1:3" ht="14.25">
      <c r="A23" s="3484"/>
      <c r="B23" s="3481" t="s">
        <v>62</v>
      </c>
      <c r="C23" s="3482"/>
    </row>
    <row r="24" spans="1:3" ht="14.25">
      <c r="A24" s="3484"/>
      <c r="B24" s="3487" t="s">
        <v>63</v>
      </c>
      <c r="C24" s="1122" t="s">
        <v>817</v>
      </c>
    </row>
    <row r="25" spans="1:3" ht="14.25">
      <c r="A25" s="3484"/>
      <c r="B25" s="3488"/>
      <c r="C25" s="1122" t="s">
        <v>818</v>
      </c>
    </row>
    <row r="26" spans="1:3" ht="14.25">
      <c r="A26" s="3484"/>
      <c r="B26" s="3488"/>
      <c r="C26" s="1122" t="s">
        <v>819</v>
      </c>
    </row>
    <row r="27" spans="1:3" ht="14.25">
      <c r="A27" s="3484"/>
      <c r="B27" s="3488"/>
      <c r="C27" s="1122" t="s">
        <v>820</v>
      </c>
    </row>
    <row r="28" spans="1:3" ht="14.25">
      <c r="A28" s="3484"/>
      <c r="B28" s="3488"/>
      <c r="C28" s="1122" t="s">
        <v>821</v>
      </c>
    </row>
    <row r="29" spans="1:3" ht="14.25">
      <c r="A29" s="3484"/>
      <c r="B29" s="3488"/>
      <c r="C29" s="1122" t="s">
        <v>822</v>
      </c>
    </row>
    <row r="30" spans="1:3" ht="14.25">
      <c r="A30" s="3484"/>
      <c r="B30" s="3488"/>
      <c r="C30" s="1122" t="s">
        <v>823</v>
      </c>
    </row>
    <row r="31" spans="1:3" ht="14.25">
      <c r="A31" s="3484"/>
      <c r="B31" s="3488"/>
      <c r="C31" s="1122" t="s">
        <v>824</v>
      </c>
    </row>
    <row r="32" spans="1:3" ht="14.25">
      <c r="A32" s="3484"/>
      <c r="B32" s="3488"/>
      <c r="C32" s="1122" t="s">
        <v>1446</v>
      </c>
    </row>
    <row r="33" spans="1:3" ht="14.25">
      <c r="A33" s="3484"/>
      <c r="B33" s="3478" t="s">
        <v>1452</v>
      </c>
      <c r="C33" s="1122" t="s">
        <v>1447</v>
      </c>
    </row>
    <row r="34" spans="1:3" ht="14.25">
      <c r="A34" s="3484"/>
      <c r="B34" s="3479"/>
      <c r="C34" s="1127" t="s">
        <v>1448</v>
      </c>
    </row>
    <row r="35" spans="1:3" ht="14.25">
      <c r="A35" s="3484"/>
      <c r="B35" s="3479"/>
      <c r="C35" s="1128" t="s">
        <v>1449</v>
      </c>
    </row>
    <row r="36" spans="1:3" ht="14.25">
      <c r="A36" s="3484"/>
      <c r="B36" s="3479"/>
      <c r="C36" s="1128" t="s">
        <v>1450</v>
      </c>
    </row>
    <row r="37" spans="1:3" ht="14.25">
      <c r="A37" s="3484"/>
      <c r="B37" s="3480"/>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44701</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2673</v>
      </c>
      <c r="B12" s="2938">
        <f ca="1">IF(C12&lt;B2,"已过期",1120040230)</f>
        <v>1120040230</v>
      </c>
      <c r="C12" s="2941">
        <v>44864</v>
      </c>
      <c r="D12" s="2949" t="s">
        <v>2674</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2686</v>
      </c>
      <c r="B15" s="2938">
        <f ca="1">IF(C15&lt;B2,"已过期",1119980106)</f>
        <v>1119980106</v>
      </c>
      <c r="C15" s="2941">
        <v>44969</v>
      </c>
      <c r="D15" s="2949"/>
      <c r="E15" s="2938"/>
      <c r="F15" s="2938"/>
      <c r="G15" s="2933"/>
    </row>
    <row r="16" spans="1:7" ht="20.25" customHeight="1">
      <c r="A16" s="2937" t="s">
        <v>2887</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492" t="s">
        <v>1720</v>
      </c>
      <c r="B18" s="3493"/>
      <c r="C18" s="3493"/>
      <c r="D18" s="3493"/>
      <c r="E18" s="3493"/>
      <c r="F18" s="3493"/>
      <c r="G18" s="2942"/>
    </row>
    <row r="19" spans="1:7" ht="20.25" customHeight="1">
      <c r="A19" s="3489" t="s">
        <v>1721</v>
      </c>
      <c r="B19" s="3489"/>
      <c r="C19" s="3490"/>
      <c r="D19" s="3491" t="s">
        <v>1722</v>
      </c>
      <c r="E19" s="3489"/>
      <c r="F19" s="3489"/>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2888</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2650</v>
      </c>
      <c r="C18" s="1448"/>
    </row>
    <row r="19" spans="1:3">
      <c r="A19" s="8" t="s">
        <v>120</v>
      </c>
      <c r="B19" s="2710" t="s">
        <v>2657</v>
      </c>
      <c r="C19" s="1448"/>
    </row>
    <row r="20" spans="1:3">
      <c r="A20" s="8" t="s">
        <v>121</v>
      </c>
      <c r="B20" s="2710" t="s">
        <v>2699</v>
      </c>
      <c r="C20" s="1448"/>
    </row>
    <row r="21" spans="1:3">
      <c r="A21" s="8" t="s">
        <v>122</v>
      </c>
      <c r="B21" s="8" t="s">
        <v>2879</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494"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c r="D53" s="1640"/>
      <c r="E53" s="1640"/>
    </row>
    <row r="54" spans="1:5">
      <c r="A54" s="3494"/>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494"/>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494"/>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494"/>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2022-05-20T03:40:57Z</dcterms:modified>
</cp:coreProperties>
</file>