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高层"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比较法-住宅洋房" sheetId="79" r:id="rId39"/>
    <sheet name="不动产比较法-住宅别墅" sheetId="78" r:id="rId40"/>
    <sheet name="不动产收益法" sheetId="15" r:id="rId41"/>
    <sheet name="Sheet0" sheetId="68" r:id="rId42"/>
    <sheet name="面积" sheetId="69" state="hidden" r:id="rId43"/>
    <sheet name="主要经济指标" sheetId="71" state="hidden" r:id="rId44"/>
    <sheet name="1号地各区" sheetId="74" state="hidden" r:id="rId45"/>
    <sheet name="2号地各区" sheetId="75" state="hidden" r:id="rId46"/>
    <sheet name="1号面积统计表 (黑白表)" sheetId="70" r:id="rId47"/>
    <sheet name="存贷款利率" sheetId="65" state="hidden" r:id="rId48"/>
    <sheet name="3组团规证单体面积" sheetId="72" state="hidden" r:id="rId49"/>
    <sheet name="4组团规证单体面积" sheetId="73" state="hidden" r:id="rId50"/>
    <sheet name="案例" sheetId="76" r:id="rId51"/>
    <sheet name="Sheet1" sheetId="80" r:id="rId52"/>
  </sheets>
  <externalReferences>
    <externalReference r:id="rId53"/>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9" hidden="1">'不动产比较法-住宅别墅'!$A$1:$L$49</definedName>
    <definedName name="_xlnm._FilterDatabase" localSheetId="31" hidden="1">'不动产比较法-住宅高层'!$A$1:$L$49</definedName>
    <definedName name="_xlnm._FilterDatabase" localSheetId="38" hidden="1">'不动产比较法-住宅洋房'!$A$1:$L$49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39">'不动产比较法-住宅别墅'!$B$88:$M$88</definedName>
    <definedName name="住宅朝向" localSheetId="38">'不动产比较法-住宅洋房'!$B$88:$M$88</definedName>
    <definedName name="住宅朝向" localSheetId="42">'[1]不动产比较法-住宅'!$B$88:$M$88</definedName>
    <definedName name="住宅朝向">'不动产比较法-住宅高层'!$B$88:$M$88</definedName>
    <definedName name="住宅房型" localSheetId="39">'不动产比较法-住宅别墅'!$B$118:$M$118</definedName>
    <definedName name="住宅房型" localSheetId="38">'不动产比较法-住宅洋房'!$B$118:$M$118</definedName>
    <definedName name="住宅房型" localSheetId="42">'[1]不动产比较法-住宅'!$B$118:$M$118</definedName>
    <definedName name="住宅房型">'不动产比较法-住宅高层'!$B$118:$M$118</definedName>
    <definedName name="住宅公共部分装修" localSheetId="39">'不动产比较法-住宅别墅'!$B$109:$M$109</definedName>
    <definedName name="住宅公共部分装修" localSheetId="38">'不动产比较法-住宅洋房'!$B$109:$M$109</definedName>
    <definedName name="住宅公共部分装修" localSheetId="42">'[1]不动产比较法-住宅'!$B$109:$M$109</definedName>
    <definedName name="住宅公共部分装修">'不动产比较法-住宅高层'!$B$109:$M$109</definedName>
    <definedName name="住宅基础设施水平" localSheetId="39">'不动产比较法-住宅别墅'!$B$116:$M$116</definedName>
    <definedName name="住宅基础设施水平" localSheetId="38">'不动产比较法-住宅洋房'!$B$116:$M$116</definedName>
    <definedName name="住宅基础设施水平" localSheetId="42">'[1]不动产比较法-住宅'!$B$116:$M$116</definedName>
    <definedName name="住宅基础设施水平">'不动产比较法-住宅高层'!$B$116:$M$116</definedName>
    <definedName name="住宅建筑结构" localSheetId="39">'不动产比较法-住宅别墅'!$B$105:$M$105</definedName>
    <definedName name="住宅建筑结构" localSheetId="38">'不动产比较法-住宅洋房'!$B$105:$M$105</definedName>
    <definedName name="住宅建筑结构" localSheetId="42">'[1]不动产比较法-住宅'!$B$105:$M$105</definedName>
    <definedName name="住宅建筑结构">'不动产比较法-住宅高层'!$B$105:$M$105</definedName>
    <definedName name="住宅建筑类型" localSheetId="39">'不动产比较法-住宅别墅'!$B$100:$M$100</definedName>
    <definedName name="住宅建筑类型" localSheetId="38">'不动产比较法-住宅洋房'!$B$100:$M$100</definedName>
    <definedName name="住宅建筑类型" localSheetId="42">'[1]不动产比较法-住宅'!$B$100:$M$100</definedName>
    <definedName name="住宅建筑类型">'不动产比较法-住宅高层'!$B$100:$M$100</definedName>
    <definedName name="住宅建筑品质" localSheetId="39">'不动产比较法-住宅别墅'!$B$107:$M$107</definedName>
    <definedName name="住宅建筑品质" localSheetId="38">'不动产比较法-住宅洋房'!$B$107:$M$107</definedName>
    <definedName name="住宅建筑品质" localSheetId="42">'[1]不动产比较法-住宅'!$B$107:$M$107</definedName>
    <definedName name="住宅建筑品质">'不动产比较法-住宅高层'!$B$107:$M$107</definedName>
    <definedName name="住宅交易情况" localSheetId="39">'不动产比较法-住宅别墅'!$A$61:$M$61</definedName>
    <definedName name="住宅交易情况" localSheetId="38">'不动产比较法-住宅洋房'!$A$61:$M$61</definedName>
    <definedName name="住宅交易情况" localSheetId="42">'[1]不动产比较法-住宅'!$A$61:$M$61</definedName>
    <definedName name="住宅交易情况">'不动产比较法-住宅高层'!$A$61:$M$61</definedName>
    <definedName name="住宅楼层" localSheetId="39">'不动产比较法-住宅别墅'!$B$86:$M$86</definedName>
    <definedName name="住宅楼层" localSheetId="38">'不动产比较法-住宅洋房'!$B$86:$M$86</definedName>
    <definedName name="住宅楼层" localSheetId="42">'[1]不动产比较法-住宅'!$B$86:$M$86</definedName>
    <definedName name="住宅楼层">'不动产比较法-住宅高层'!$B$86:$M$86</definedName>
    <definedName name="住宅内部装修" localSheetId="39">'不动产比较法-住宅别墅'!$B$122:$M$122</definedName>
    <definedName name="住宅内部装修" localSheetId="38">'不动产比较法-住宅洋房'!$B$122:$M$122</definedName>
    <definedName name="住宅内部装修" localSheetId="42">'[1]不动产比较法-住宅'!$B$122:$M$122</definedName>
    <definedName name="住宅内部装修">'不动产比较法-住宅高层'!$B$122:$M$122</definedName>
    <definedName name="住宅物业管理" localSheetId="39">'不动产比较法-住宅别墅'!$B$114:$M$114</definedName>
    <definedName name="住宅物业管理" localSheetId="38">'不动产比较法-住宅洋房'!$B$114:$M$114</definedName>
    <definedName name="住宅物业管理" localSheetId="42">'[1]不动产比较法-住宅'!$B$114:$M$114</definedName>
    <definedName name="住宅物业管理">'不动产比较法-住宅高层'!$B$114:$M$114</definedName>
    <definedName name="住宅用途" localSheetId="39">'不动产比较法-住宅别墅'!$B$63:$M$63</definedName>
    <definedName name="住宅用途" localSheetId="38">'不动产比较法-住宅洋房'!$B$63:$M$63</definedName>
    <definedName name="住宅用途" localSheetId="42">'[1]不动产比较法-住宅'!$B$63:$M$63</definedName>
    <definedName name="住宅用途">'不动产比较法-住宅高层'!$B$63:$M$63</definedName>
    <definedName name="住宅主力户型面积" localSheetId="39">'不动产比较法-住宅别墅'!$B$120:$M$120</definedName>
    <definedName name="住宅主力户型面积" localSheetId="38">'不动产比较法-住宅洋房'!$B$120:$M$120</definedName>
    <definedName name="住宅主力户型面积">'不动产比较法-住宅高层'!$B$120:$M$120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5" i="66" l="1"/>
  <c r="G10" i="80"/>
  <c r="D15" i="66"/>
  <c r="C15" i="66"/>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34" i="9"/>
  <c r="E4" i="80"/>
  <c r="F4" i="80"/>
  <c r="E5" i="80"/>
  <c r="F5" i="80"/>
  <c r="E6" i="80"/>
  <c r="F6" i="80"/>
  <c r="E7" i="80"/>
  <c r="F7" i="80"/>
  <c r="E8" i="80"/>
  <c r="F8" i="80"/>
  <c r="F9" i="80"/>
  <c r="F11" i="80"/>
  <c r="F10" i="80"/>
  <c r="D11" i="80"/>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C1" i="65"/>
  <c r="N1" i="65"/>
  <c r="H1" i="65"/>
  <c r="C42" i="1"/>
  <c r="C28" i="15"/>
  <c r="G19" i="4"/>
  <c r="F8" i="1"/>
  <c r="J51" i="15"/>
  <c r="L46" i="15"/>
  <c r="B126" i="21"/>
  <c r="F44" i="21"/>
  <c r="AA44" i="21"/>
  <c r="F11" i="21"/>
  <c r="AA11" i="21"/>
  <c r="F33" i="21"/>
  <c r="AA33" i="21"/>
  <c r="C7" i="21"/>
  <c r="E7" i="21"/>
  <c r="C58" i="21"/>
  <c r="D58" i="21"/>
  <c r="E58" i="21"/>
  <c r="F58" i="21"/>
  <c r="G58" i="21"/>
  <c r="H58" i="21"/>
  <c r="I58" i="21"/>
  <c r="J58" i="21"/>
  <c r="K58" i="21"/>
  <c r="L58" i="21"/>
  <c r="M58" i="21"/>
  <c r="N58" i="21"/>
  <c r="O58" i="21"/>
  <c r="F7" i="21"/>
  <c r="AA7" i="21"/>
  <c r="R48" i="21"/>
  <c r="H44" i="21"/>
  <c r="AB44" i="21"/>
  <c r="H11" i="21"/>
  <c r="AB11" i="21"/>
  <c r="H33" i="21"/>
  <c r="AB33" i="21"/>
  <c r="G7" i="21"/>
  <c r="H7" i="21"/>
  <c r="AB7" i="21"/>
  <c r="T48" i="21"/>
  <c r="J44" i="21"/>
  <c r="AC44" i="21"/>
  <c r="J11" i="21"/>
  <c r="AC11" i="21"/>
  <c r="J33" i="21"/>
  <c r="AC33" i="21"/>
  <c r="I7" i="21"/>
  <c r="J7" i="21"/>
  <c r="AC7" i="21"/>
  <c r="V48" i="21"/>
  <c r="R49" i="21"/>
  <c r="C49" i="21"/>
  <c r="B3" i="21"/>
  <c r="B2" i="21"/>
  <c r="C10" i="12"/>
  <c r="F11" i="79"/>
  <c r="AA11" i="79"/>
  <c r="F33" i="79"/>
  <c r="AA33" i="79"/>
  <c r="B126" i="79"/>
  <c r="F44" i="79"/>
  <c r="AA44" i="79"/>
  <c r="C7" i="79"/>
  <c r="E7" i="79"/>
  <c r="C58" i="79"/>
  <c r="D58" i="79"/>
  <c r="E58" i="79"/>
  <c r="F58" i="79"/>
  <c r="G58" i="79"/>
  <c r="H58" i="79"/>
  <c r="I58" i="79"/>
  <c r="J58" i="79"/>
  <c r="K58" i="79"/>
  <c r="L58" i="79"/>
  <c r="M58" i="79"/>
  <c r="N58" i="79"/>
  <c r="O58" i="79"/>
  <c r="F7" i="79"/>
  <c r="AA7" i="79"/>
  <c r="R48" i="79"/>
  <c r="H11" i="79"/>
  <c r="AB11" i="79"/>
  <c r="H33" i="79"/>
  <c r="AB33" i="79"/>
  <c r="H44" i="79"/>
  <c r="AB44" i="79"/>
  <c r="G7" i="79"/>
  <c r="H7" i="79"/>
  <c r="AB7" i="79"/>
  <c r="T48" i="79"/>
  <c r="J11" i="79"/>
  <c r="AC11" i="79"/>
  <c r="J33" i="79"/>
  <c r="AC33" i="79"/>
  <c r="J44" i="79"/>
  <c r="AC44" i="79"/>
  <c r="I7" i="79"/>
  <c r="J7" i="79"/>
  <c r="AC7" i="79"/>
  <c r="V48" i="79"/>
  <c r="R49" i="79"/>
  <c r="C49" i="79"/>
  <c r="B3" i="79"/>
  <c r="B2" i="79"/>
  <c r="F10" i="12"/>
  <c r="F11" i="78"/>
  <c r="AA11" i="78"/>
  <c r="F33" i="78"/>
  <c r="AA33" i="78"/>
  <c r="C7" i="78"/>
  <c r="E7" i="78"/>
  <c r="C58" i="78"/>
  <c r="D58" i="78"/>
  <c r="E58" i="78"/>
  <c r="F58" i="78"/>
  <c r="G58" i="78"/>
  <c r="H58" i="78"/>
  <c r="I58" i="78"/>
  <c r="J58" i="78"/>
  <c r="K58" i="78"/>
  <c r="L58" i="78"/>
  <c r="M58" i="78"/>
  <c r="N58" i="78"/>
  <c r="O58" i="78"/>
  <c r="F7" i="78"/>
  <c r="AA7" i="78"/>
  <c r="R48" i="78"/>
  <c r="H11" i="78"/>
  <c r="AB11" i="78"/>
  <c r="H33" i="78"/>
  <c r="AB33" i="78"/>
  <c r="G7" i="78"/>
  <c r="H7" i="78"/>
  <c r="AB7" i="78"/>
  <c r="T48" i="78"/>
  <c r="J11" i="78"/>
  <c r="AC11" i="78"/>
  <c r="J33" i="78"/>
  <c r="AC33" i="78"/>
  <c r="I7" i="78"/>
  <c r="J7" i="78"/>
  <c r="AC7" i="78"/>
  <c r="V48" i="78"/>
  <c r="R49" i="78"/>
  <c r="C49" i="78"/>
  <c r="B3" i="78"/>
  <c r="B2" i="78"/>
  <c r="D10" i="12"/>
  <c r="C25" i="12"/>
  <c r="V50" i="76"/>
  <c r="R53" i="76"/>
  <c r="Q53" i="76"/>
  <c r="L9" i="1"/>
  <c r="M10" i="73"/>
  <c r="D33" i="69"/>
  <c r="M16" i="72"/>
  <c r="D32" i="69"/>
  <c r="K18" i="69"/>
  <c r="I47" i="78"/>
  <c r="G47" i="78"/>
  <c r="E47" i="78"/>
  <c r="E6" i="79"/>
  <c r="E5" i="79"/>
  <c r="Q9" i="1"/>
  <c r="N9" i="1"/>
  <c r="J9" i="1"/>
  <c r="I9" i="1"/>
  <c r="H9" i="1"/>
  <c r="C145" i="79"/>
  <c r="J142" i="79"/>
  <c r="J140" i="79"/>
  <c r="K139" i="79"/>
  <c r="B130" i="79"/>
  <c r="B128" i="79"/>
  <c r="H45" i="79"/>
  <c r="AB45"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J31" i="79"/>
  <c r="AC31" i="79"/>
  <c r="B96" i="79"/>
  <c r="J30" i="79"/>
  <c r="AC30" i="79"/>
  <c r="B94" i="79"/>
  <c r="J29" i="79"/>
  <c r="AC29" i="79"/>
  <c r="B92" i="79"/>
  <c r="J28" i="79"/>
  <c r="AC28" i="79"/>
  <c r="B90" i="79"/>
  <c r="E89" i="79"/>
  <c r="F89" i="79"/>
  <c r="G89" i="79"/>
  <c r="H89" i="79"/>
  <c r="I89" i="79"/>
  <c r="J89" i="79"/>
  <c r="K89" i="79"/>
  <c r="L89" i="79"/>
  <c r="M89" i="79"/>
  <c r="D89" i="79"/>
  <c r="M87" i="79"/>
  <c r="L87" i="79"/>
  <c r="K87" i="79"/>
  <c r="J87" i="79"/>
  <c r="I87" i="79"/>
  <c r="H87" i="79"/>
  <c r="G87" i="79"/>
  <c r="F87" i="79"/>
  <c r="E87" i="79"/>
  <c r="D87" i="79"/>
  <c r="E85" i="79"/>
  <c r="F85" i="79"/>
  <c r="G85" i="79"/>
  <c r="D85" i="79"/>
  <c r="E83" i="79"/>
  <c r="F83" i="79"/>
  <c r="G83" i="79"/>
  <c r="D83" i="79"/>
  <c r="E81" i="79"/>
  <c r="F81" i="79"/>
  <c r="G81" i="79"/>
  <c r="D81" i="79"/>
  <c r="E79" i="79"/>
  <c r="F79" i="79"/>
  <c r="G79" i="79"/>
  <c r="D79" i="79"/>
  <c r="E77" i="79"/>
  <c r="F77" i="79"/>
  <c r="G77" i="79"/>
  <c r="D77" i="79"/>
  <c r="B74" i="79"/>
  <c r="J14" i="79"/>
  <c r="B72" i="79"/>
  <c r="B70" i="79"/>
  <c r="J12" i="79"/>
  <c r="AC12"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J45" i="79"/>
  <c r="W45" i="79"/>
  <c r="F45" i="79"/>
  <c r="AA45" i="79"/>
  <c r="U44" i="79"/>
  <c r="Q44" i="79"/>
  <c r="Z44" i="79"/>
  <c r="Q43" i="79"/>
  <c r="Z43" i="79"/>
  <c r="J43" i="79"/>
  <c r="W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F36" i="79"/>
  <c r="AA36" i="79"/>
  <c r="Q35" i="79"/>
  <c r="Z35" i="79"/>
  <c r="J35" i="79"/>
  <c r="AC35" i="79"/>
  <c r="H35" i="79"/>
  <c r="AB35" i="79"/>
  <c r="F35" i="79"/>
  <c r="AA35" i="79"/>
  <c r="Q34" i="79"/>
  <c r="Z34" i="79"/>
  <c r="J34" i="79"/>
  <c r="AC34" i="79"/>
  <c r="H34" i="79"/>
  <c r="AB34" i="79"/>
  <c r="F34" i="79"/>
  <c r="AA34" i="79"/>
  <c r="Q33" i="79"/>
  <c r="Z33" i="79"/>
  <c r="Q32" i="79"/>
  <c r="Z32" i="79"/>
  <c r="H32" i="79"/>
  <c r="AB32" i="79"/>
  <c r="Q31" i="79"/>
  <c r="Z31" i="79"/>
  <c r="H31" i="79"/>
  <c r="AB31" i="79"/>
  <c r="Q30" i="79"/>
  <c r="Z30" i="79"/>
  <c r="H30" i="79"/>
  <c r="AB30" i="79"/>
  <c r="Q29" i="79"/>
  <c r="Z29" i="79"/>
  <c r="H29" i="79"/>
  <c r="AB29" i="79"/>
  <c r="Q28" i="79"/>
  <c r="Z28" i="79"/>
  <c r="H28" i="79"/>
  <c r="AB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H23" i="79"/>
  <c r="AB23" i="79"/>
  <c r="C23" i="79"/>
  <c r="Q21" i="79"/>
  <c r="Z21" i="79"/>
  <c r="J21" i="79"/>
  <c r="AC21" i="79"/>
  <c r="H21" i="79"/>
  <c r="AB21" i="79"/>
  <c r="F21" i="79"/>
  <c r="AA21" i="79"/>
  <c r="C21" i="79"/>
  <c r="Q19" i="79"/>
  <c r="Z19" i="79"/>
  <c r="H19" i="79"/>
  <c r="AB19" i="79"/>
  <c r="C19" i="79"/>
  <c r="Q17" i="79"/>
  <c r="Z17" i="79"/>
  <c r="J17" i="79"/>
  <c r="AC17" i="79"/>
  <c r="F17" i="79"/>
  <c r="AA17" i="79"/>
  <c r="C17" i="79"/>
  <c r="Q15" i="79"/>
  <c r="Z15" i="79"/>
  <c r="J15" i="79"/>
  <c r="AC15" i="79"/>
  <c r="F15" i="79"/>
  <c r="AA15" i="79"/>
  <c r="C15" i="79"/>
  <c r="Q14" i="79"/>
  <c r="Z14" i="79"/>
  <c r="H14" i="79"/>
  <c r="AB14" i="79"/>
  <c r="Q13" i="79"/>
  <c r="Z13" i="79"/>
  <c r="J13" i="79"/>
  <c r="AC13" i="79"/>
  <c r="H13" i="79"/>
  <c r="AB13" i="79"/>
  <c r="F13" i="79"/>
  <c r="AA13" i="79"/>
  <c r="Q12" i="79"/>
  <c r="Z12" i="79"/>
  <c r="H12" i="79"/>
  <c r="AB12" i="79"/>
  <c r="Q11" i="79"/>
  <c r="Z11" i="79"/>
  <c r="Q10" i="79"/>
  <c r="Z10" i="79"/>
  <c r="J10" i="79"/>
  <c r="AC10" i="79"/>
  <c r="H10" i="79"/>
  <c r="AB10" i="79"/>
  <c r="F10" i="79"/>
  <c r="Q9" i="79"/>
  <c r="Z9" i="79"/>
  <c r="J9" i="79"/>
  <c r="AC9" i="79"/>
  <c r="H9" i="79"/>
  <c r="AB9" i="79"/>
  <c r="F9" i="79"/>
  <c r="AA9" i="79"/>
  <c r="J8" i="79"/>
  <c r="AC8" i="79"/>
  <c r="H8" i="79"/>
  <c r="U8" i="79"/>
  <c r="F8" i="79"/>
  <c r="AA8" i="79"/>
  <c r="G7" i="39"/>
  <c r="F29" i="79"/>
  <c r="AA29" i="79"/>
  <c r="F31" i="79"/>
  <c r="AA31" i="79"/>
  <c r="AC14" i="79"/>
  <c r="W14" i="79"/>
  <c r="H113" i="79"/>
  <c r="J37" i="79"/>
  <c r="AC37" i="79"/>
  <c r="F37" i="79"/>
  <c r="AA37" i="79"/>
  <c r="H37" i="79"/>
  <c r="AB37" i="79"/>
  <c r="F12" i="79"/>
  <c r="AA12" i="79"/>
  <c r="U13" i="79"/>
  <c r="F14" i="79"/>
  <c r="AA14" i="79"/>
  <c r="H15" i="79"/>
  <c r="AB15" i="79"/>
  <c r="H17" i="79"/>
  <c r="AB17" i="79"/>
  <c r="F19" i="79"/>
  <c r="AA19" i="79"/>
  <c r="J19" i="79"/>
  <c r="AC19" i="79"/>
  <c r="F23" i="79"/>
  <c r="AA23" i="79"/>
  <c r="J23" i="79"/>
  <c r="AC23" i="79"/>
  <c r="F28" i="79"/>
  <c r="AA28" i="79"/>
  <c r="F30" i="79"/>
  <c r="AA30" i="79"/>
  <c r="F32" i="79"/>
  <c r="AA32" i="79"/>
  <c r="J32" i="79"/>
  <c r="AC32" i="79"/>
  <c r="H36" i="79"/>
  <c r="AB36" i="79"/>
  <c r="AC45" i="79"/>
  <c r="K145" i="79"/>
  <c r="W15" i="79"/>
  <c r="S8" i="79"/>
  <c r="W8" i="79"/>
  <c r="AB8" i="79"/>
  <c r="S9" i="79"/>
  <c r="W9" i="79"/>
  <c r="S12" i="79"/>
  <c r="S15" i="79"/>
  <c r="U9" i="79"/>
  <c r="AA10" i="79"/>
  <c r="S10" i="79"/>
  <c r="U10" i="79"/>
  <c r="W12" i="79"/>
  <c r="S14" i="79"/>
  <c r="W10" i="79"/>
  <c r="U12" i="79"/>
  <c r="S13" i="79"/>
  <c r="W13" i="79"/>
  <c r="U14" i="79"/>
  <c r="U17" i="79"/>
  <c r="U19" i="79"/>
  <c r="U21" i="79"/>
  <c r="U23" i="79"/>
  <c r="S25" i="79"/>
  <c r="W25" i="79"/>
  <c r="U26" i="79"/>
  <c r="S27" i="79"/>
  <c r="W27" i="79"/>
  <c r="U28" i="79"/>
  <c r="S29" i="79"/>
  <c r="W29" i="79"/>
  <c r="U30" i="79"/>
  <c r="W31" i="79"/>
  <c r="U32" i="79"/>
  <c r="S34" i="79"/>
  <c r="W34" i="79"/>
  <c r="U35" i="79"/>
  <c r="S36" i="79"/>
  <c r="W36" i="79"/>
  <c r="S38" i="79"/>
  <c r="W38" i="79"/>
  <c r="U39" i="79"/>
  <c r="S40" i="79"/>
  <c r="W40" i="79"/>
  <c r="U41" i="79"/>
  <c r="S42" i="79"/>
  <c r="W42" i="79"/>
  <c r="U43" i="79"/>
  <c r="AC43" i="79"/>
  <c r="S45" i="79"/>
  <c r="U46" i="79"/>
  <c r="S17" i="79"/>
  <c r="W17" i="79"/>
  <c r="S19" i="79"/>
  <c r="W19" i="79"/>
  <c r="S21" i="79"/>
  <c r="W21" i="79"/>
  <c r="S23" i="79"/>
  <c r="W23" i="79"/>
  <c r="U25" i="79"/>
  <c r="S26" i="79"/>
  <c r="W26" i="79"/>
  <c r="U27" i="79"/>
  <c r="W28" i="79"/>
  <c r="U29" i="79"/>
  <c r="S30" i="79"/>
  <c r="W30" i="79"/>
  <c r="U31" i="79"/>
  <c r="S32" i="79"/>
  <c r="W32" i="79"/>
  <c r="U34" i="79"/>
  <c r="S35" i="79"/>
  <c r="W35" i="79"/>
  <c r="S37" i="79"/>
  <c r="U38" i="79"/>
  <c r="S39" i="79"/>
  <c r="W39" i="79"/>
  <c r="U40" i="79"/>
  <c r="S41" i="79"/>
  <c r="W41" i="79"/>
  <c r="U42" i="79"/>
  <c r="S43" i="79"/>
  <c r="S44" i="79"/>
  <c r="W44" i="79"/>
  <c r="U45" i="79"/>
  <c r="S46" i="79"/>
  <c r="W46" i="79"/>
  <c r="K141" i="79"/>
  <c r="K143" i="79"/>
  <c r="K144" i="79"/>
  <c r="S28" i="79"/>
  <c r="S31" i="79"/>
  <c r="W37" i="79"/>
  <c r="U36" i="79"/>
  <c r="U37" i="79"/>
  <c r="U15" i="79"/>
  <c r="E33" i="69"/>
  <c r="E32" i="69"/>
  <c r="M37" i="78"/>
  <c r="I37" i="78"/>
  <c r="C145" i="78"/>
  <c r="K139" i="78"/>
  <c r="J142" i="78"/>
  <c r="J140" i="78"/>
  <c r="B130" i="78"/>
  <c r="B128" i="78"/>
  <c r="H45" i="78"/>
  <c r="AB45" i="78"/>
  <c r="B126" i="78"/>
  <c r="D125"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D113" i="78"/>
  <c r="E113" i="78"/>
  <c r="F113" i="78"/>
  <c r="G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B90" i="78"/>
  <c r="D89" i="78"/>
  <c r="E89" i="78"/>
  <c r="F89" i="78"/>
  <c r="G89" i="78"/>
  <c r="H89" i="78"/>
  <c r="I89" i="78"/>
  <c r="J89" i="78"/>
  <c r="K89" i="78"/>
  <c r="L89" i="78"/>
  <c r="M89" i="78"/>
  <c r="M87" i="78"/>
  <c r="L87" i="78"/>
  <c r="K87" i="78"/>
  <c r="J87" i="78"/>
  <c r="I87" i="78"/>
  <c r="H87" i="78"/>
  <c r="G87" i="78"/>
  <c r="F87" i="78"/>
  <c r="E87" i="78"/>
  <c r="D87" i="78"/>
  <c r="D85" i="78"/>
  <c r="E85" i="78"/>
  <c r="D83" i="78"/>
  <c r="E83" i="78"/>
  <c r="F83" i="78"/>
  <c r="G83" i="78"/>
  <c r="D81" i="78"/>
  <c r="E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J8" i="78"/>
  <c r="AC8" i="78"/>
  <c r="H8" i="78"/>
  <c r="U8" i="78"/>
  <c r="F8" i="78"/>
  <c r="AA8" i="78"/>
  <c r="N8" i="1"/>
  <c r="J7" i="1"/>
  <c r="J8" i="1"/>
  <c r="I7" i="1"/>
  <c r="H7" i="1"/>
  <c r="F79" i="78"/>
  <c r="G79" i="78"/>
  <c r="H17" i="78"/>
  <c r="AB17" i="78"/>
  <c r="J17" i="78"/>
  <c r="AC17" i="78"/>
  <c r="F17" i="78"/>
  <c r="AA17" i="78"/>
  <c r="F77" i="78"/>
  <c r="G77" i="78"/>
  <c r="F15" i="78"/>
  <c r="AA15" i="78"/>
  <c r="H15" i="78"/>
  <c r="AB15" i="78"/>
  <c r="J15" i="78"/>
  <c r="AC15" i="78"/>
  <c r="F81" i="78"/>
  <c r="G81" i="78"/>
  <c r="H19" i="78"/>
  <c r="AB19" i="78"/>
  <c r="J19" i="78"/>
  <c r="AC19" i="78"/>
  <c r="F19" i="78"/>
  <c r="AA19" i="78"/>
  <c r="F85" i="78"/>
  <c r="G85" i="78"/>
  <c r="J23" i="78"/>
  <c r="AC23" i="78"/>
  <c r="H23" i="78"/>
  <c r="AB23" i="78"/>
  <c r="F23" i="78"/>
  <c r="AA23" i="78"/>
  <c r="K145" i="78"/>
  <c r="H113" i="78"/>
  <c r="J37" i="78"/>
  <c r="AC37" i="78"/>
  <c r="F37" i="78"/>
  <c r="AA37" i="78"/>
  <c r="H37" i="78"/>
  <c r="AB37" i="78"/>
  <c r="S8" i="78"/>
  <c r="W8" i="78"/>
  <c r="AB8" i="78"/>
  <c r="S9" i="78"/>
  <c r="W9" i="78"/>
  <c r="U10" i="78"/>
  <c r="S12" i="78"/>
  <c r="W12" i="78"/>
  <c r="U13" i="78"/>
  <c r="S14" i="78"/>
  <c r="W14" i="78"/>
  <c r="S15" i="78"/>
  <c r="W15" i="78"/>
  <c r="S17" i="78"/>
  <c r="U9" i="78"/>
  <c r="S10" i="78"/>
  <c r="W10" i="78"/>
  <c r="U12" i="78"/>
  <c r="S13" i="78"/>
  <c r="W13" i="78"/>
  <c r="U14" i="78"/>
  <c r="U15" i="78"/>
  <c r="W17" i="78"/>
  <c r="S19" i="78"/>
  <c r="W19" i="78"/>
  <c r="S21" i="78"/>
  <c r="W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W4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5" i="78"/>
  <c r="S44" i="78"/>
  <c r="W44" i="78"/>
  <c r="U45" i="78"/>
  <c r="S46" i="78"/>
  <c r="W46" i="78"/>
  <c r="K141" i="78"/>
  <c r="K143" i="78"/>
  <c r="U46" i="78"/>
  <c r="K144" i="78"/>
  <c r="S23" i="78"/>
  <c r="W23" i="78"/>
  <c r="C21" i="69"/>
  <c r="H17" i="69"/>
  <c r="I16" i="69"/>
  <c r="I11" i="69"/>
  <c r="I7" i="69"/>
  <c r="H16" i="69"/>
  <c r="H11" i="69"/>
  <c r="H7" i="69"/>
  <c r="I13" i="73"/>
  <c r="H12" i="73"/>
  <c r="C33" i="69"/>
  <c r="F33" i="69"/>
  <c r="J11" i="73"/>
  <c r="K10" i="73"/>
  <c r="K9" i="73"/>
  <c r="G9" i="73"/>
  <c r="E9" i="73"/>
  <c r="D9" i="73"/>
  <c r="K8" i="73"/>
  <c r="G8" i="73"/>
  <c r="E8" i="73"/>
  <c r="D8" i="73"/>
  <c r="K7" i="73"/>
  <c r="G7" i="73"/>
  <c r="E7" i="73"/>
  <c r="D7" i="73"/>
  <c r="K6" i="73"/>
  <c r="G6" i="73"/>
  <c r="E6" i="73"/>
  <c r="D6" i="73"/>
  <c r="K5" i="73"/>
  <c r="G5" i="73"/>
  <c r="E5" i="73"/>
  <c r="D5" i="73"/>
  <c r="K4" i="73"/>
  <c r="G4" i="73"/>
  <c r="E4" i="73"/>
  <c r="D4" i="73"/>
  <c r="K3" i="73"/>
  <c r="G3" i="73"/>
  <c r="E3" i="73"/>
  <c r="D3" i="73"/>
  <c r="I20" i="72"/>
  <c r="J18" i="72"/>
  <c r="K16" i="72"/>
  <c r="O5" i="72"/>
  <c r="K15" i="72"/>
  <c r="F15" i="72"/>
  <c r="K14" i="72"/>
  <c r="F14" i="72"/>
  <c r="H13" i="72"/>
  <c r="K13" i="72"/>
  <c r="K12" i="72"/>
  <c r="G12" i="72"/>
  <c r="E12" i="72"/>
  <c r="D12" i="72"/>
  <c r="K11" i="72"/>
  <c r="G11" i="72"/>
  <c r="E11" i="72"/>
  <c r="D11" i="72"/>
  <c r="K10" i="72"/>
  <c r="G10" i="72"/>
  <c r="E10" i="72"/>
  <c r="D10" i="72"/>
  <c r="K9" i="72"/>
  <c r="G9" i="72"/>
  <c r="E9" i="72"/>
  <c r="D9" i="72"/>
  <c r="K8" i="72"/>
  <c r="G8" i="72"/>
  <c r="E8" i="72"/>
  <c r="D8" i="72"/>
  <c r="N7" i="72"/>
  <c r="M7" i="72"/>
  <c r="K7" i="72"/>
  <c r="G7" i="72"/>
  <c r="E7" i="72"/>
  <c r="D7" i="72"/>
  <c r="K6" i="72"/>
  <c r="G6" i="72"/>
  <c r="E6" i="72"/>
  <c r="D6" i="72"/>
  <c r="N5" i="72"/>
  <c r="K5" i="72"/>
  <c r="G5" i="72"/>
  <c r="E5" i="72"/>
  <c r="D5" i="72"/>
  <c r="K4" i="72"/>
  <c r="G4" i="72"/>
  <c r="E4" i="72"/>
  <c r="D4" i="72"/>
  <c r="K3" i="72"/>
  <c r="G3" i="72"/>
  <c r="E3" i="72"/>
  <c r="D3" i="72"/>
  <c r="M5" i="72"/>
  <c r="H14" i="73"/>
  <c r="I17" i="69"/>
  <c r="H19" i="72"/>
  <c r="H21" i="72"/>
  <c r="C32" i="69"/>
  <c r="F32" i="69"/>
  <c r="J14" i="69"/>
  <c r="J15" i="69"/>
  <c r="I21" i="69"/>
  <c r="H21" i="69"/>
  <c r="H22" i="69"/>
  <c r="H27" i="69"/>
  <c r="J19" i="69"/>
  <c r="Q125" i="70"/>
  <c r="N121" i="70"/>
  <c r="M121" i="70"/>
  <c r="L121" i="70"/>
  <c r="J121" i="70"/>
  <c r="N118" i="70"/>
  <c r="M118" i="70"/>
  <c r="L118" i="70"/>
  <c r="J118" i="70"/>
  <c r="D118" i="70"/>
  <c r="H116" i="70"/>
  <c r="M115" i="70"/>
  <c r="P115" i="70"/>
  <c r="L115" i="70"/>
  <c r="N115" i="70"/>
  <c r="Q115" i="70"/>
  <c r="I115" i="70"/>
  <c r="M114" i="70"/>
  <c r="P114" i="70"/>
  <c r="L114" i="70"/>
  <c r="N114" i="70"/>
  <c r="Q114" i="70"/>
  <c r="I114" i="70"/>
  <c r="M113" i="70"/>
  <c r="P113" i="70"/>
  <c r="L113" i="70"/>
  <c r="N113" i="70"/>
  <c r="Q113" i="70"/>
  <c r="I113" i="70"/>
  <c r="P112" i="70"/>
  <c r="M112" i="70"/>
  <c r="L112" i="70"/>
  <c r="O112" i="70"/>
  <c r="I112" i="70"/>
  <c r="M111" i="70"/>
  <c r="P111" i="70"/>
  <c r="L111" i="70"/>
  <c r="O111" i="70"/>
  <c r="M110" i="70"/>
  <c r="P110" i="70"/>
  <c r="P116" i="70"/>
  <c r="L110" i="70"/>
  <c r="O110" i="70"/>
  <c r="H106" i="70"/>
  <c r="H118" i="70"/>
  <c r="P105" i="70"/>
  <c r="S106" i="70"/>
  <c r="N105" i="70"/>
  <c r="Q105" i="70"/>
  <c r="P104" i="70"/>
  <c r="P106" i="70"/>
  <c r="P118" i="70"/>
  <c r="P120" i="70"/>
  <c r="M104" i="70"/>
  <c r="L104" i="70"/>
  <c r="O104" i="70"/>
  <c r="O106" i="70"/>
  <c r="I104" i="70"/>
  <c r="I106" i="70"/>
  <c r="D99" i="70"/>
  <c r="H97" i="70"/>
  <c r="P96" i="70"/>
  <c r="N96" i="70"/>
  <c r="Q96" i="70"/>
  <c r="M95" i="70"/>
  <c r="P95" i="70"/>
  <c r="L95" i="70"/>
  <c r="O95" i="70"/>
  <c r="I95" i="70"/>
  <c r="P94" i="70"/>
  <c r="M94" i="70"/>
  <c r="L94" i="70"/>
  <c r="O94" i="70"/>
  <c r="I94" i="70"/>
  <c r="M93" i="70"/>
  <c r="P93" i="70"/>
  <c r="L93" i="70"/>
  <c r="N93" i="70"/>
  <c r="Q93" i="70"/>
  <c r="I93" i="70"/>
  <c r="M92" i="70"/>
  <c r="P92" i="70"/>
  <c r="L92" i="70"/>
  <c r="O92" i="70"/>
  <c r="I92" i="70"/>
  <c r="M91" i="70"/>
  <c r="P91" i="70"/>
  <c r="L91" i="70"/>
  <c r="N91" i="70"/>
  <c r="Q91" i="70"/>
  <c r="I91" i="70"/>
  <c r="H87" i="70"/>
  <c r="P86" i="70"/>
  <c r="S86" i="70"/>
  <c r="N86" i="70"/>
  <c r="Q86" i="70"/>
  <c r="M85" i="70"/>
  <c r="P85" i="70"/>
  <c r="L85" i="70"/>
  <c r="O85" i="70"/>
  <c r="I85" i="70"/>
  <c r="M84" i="70"/>
  <c r="P84" i="70"/>
  <c r="L84" i="70"/>
  <c r="I84" i="70"/>
  <c r="H80" i="70"/>
  <c r="N79" i="70"/>
  <c r="Q79" i="70"/>
  <c r="M79" i="70"/>
  <c r="T95" i="70"/>
  <c r="P78" i="70"/>
  <c r="M78" i="70"/>
  <c r="L78" i="70"/>
  <c r="O78" i="70"/>
  <c r="I78" i="70"/>
  <c r="M77" i="70"/>
  <c r="P77" i="70"/>
  <c r="L77" i="70"/>
  <c r="O77" i="70"/>
  <c r="I77" i="70"/>
  <c r="P76" i="70"/>
  <c r="M76" i="70"/>
  <c r="L76" i="70"/>
  <c r="O76" i="70"/>
  <c r="I76" i="70"/>
  <c r="M75" i="70"/>
  <c r="P75" i="70"/>
  <c r="L75" i="70"/>
  <c r="O75" i="70"/>
  <c r="I75" i="70"/>
  <c r="P74" i="70"/>
  <c r="M74" i="70"/>
  <c r="L74" i="70"/>
  <c r="O74" i="70"/>
  <c r="I74" i="70"/>
  <c r="M73" i="70"/>
  <c r="P73" i="70"/>
  <c r="L73" i="70"/>
  <c r="O73" i="70"/>
  <c r="I73" i="70"/>
  <c r="I80" i="70"/>
  <c r="D68" i="70"/>
  <c r="I66" i="70"/>
  <c r="H66" i="70"/>
  <c r="P65" i="70"/>
  <c r="N65" i="70"/>
  <c r="Q65" i="70"/>
  <c r="M64" i="70"/>
  <c r="P64" i="70"/>
  <c r="L64" i="70"/>
  <c r="N64" i="70"/>
  <c r="Q64" i="70"/>
  <c r="I64" i="70"/>
  <c r="P63" i="70"/>
  <c r="M63" i="70"/>
  <c r="L63" i="70"/>
  <c r="O63" i="70"/>
  <c r="I63" i="70"/>
  <c r="M62" i="70"/>
  <c r="P62" i="70"/>
  <c r="L62" i="70"/>
  <c r="N62" i="70"/>
  <c r="Q62" i="70"/>
  <c r="I62" i="70"/>
  <c r="P61" i="70"/>
  <c r="P66" i="70"/>
  <c r="S66" i="70"/>
  <c r="M61" i="70"/>
  <c r="L61" i="70"/>
  <c r="O61" i="70"/>
  <c r="I61" i="70"/>
  <c r="H57" i="70"/>
  <c r="H68" i="70"/>
  <c r="P56" i="70"/>
  <c r="S57" i="70"/>
  <c r="N56" i="70"/>
  <c r="Q56" i="70"/>
  <c r="M55" i="70"/>
  <c r="P55" i="70"/>
  <c r="L55" i="70"/>
  <c r="O55" i="70"/>
  <c r="I55" i="70"/>
  <c r="M54" i="70"/>
  <c r="P54" i="70"/>
  <c r="L54" i="70"/>
  <c r="O54" i="70"/>
  <c r="I54" i="70"/>
  <c r="M53" i="70"/>
  <c r="P53" i="70"/>
  <c r="L53" i="70"/>
  <c r="O53" i="70"/>
  <c r="I53" i="70"/>
  <c r="M52" i="70"/>
  <c r="P52" i="70"/>
  <c r="L52" i="70"/>
  <c r="O52" i="70"/>
  <c r="I52" i="70"/>
  <c r="M51" i="70"/>
  <c r="P51" i="70"/>
  <c r="L51" i="70"/>
  <c r="O51" i="70"/>
  <c r="I51" i="70"/>
  <c r="M50" i="70"/>
  <c r="P50" i="70"/>
  <c r="L50" i="70"/>
  <c r="O50" i="70"/>
  <c r="I50" i="70"/>
  <c r="I57" i="70"/>
  <c r="H46" i="70"/>
  <c r="P45" i="70"/>
  <c r="S48" i="70"/>
  <c r="M45" i="70"/>
  <c r="N45" i="70"/>
  <c r="Q45" i="70"/>
  <c r="P44" i="70"/>
  <c r="M44" i="70"/>
  <c r="L44" i="70"/>
  <c r="O44" i="70"/>
  <c r="I44" i="70"/>
  <c r="M43" i="70"/>
  <c r="P43" i="70"/>
  <c r="L43" i="70"/>
  <c r="N43" i="70"/>
  <c r="Q43" i="70"/>
  <c r="I43" i="70"/>
  <c r="P42" i="70"/>
  <c r="M42" i="70"/>
  <c r="L42" i="70"/>
  <c r="O42" i="70"/>
  <c r="I42" i="70"/>
  <c r="M41" i="70"/>
  <c r="P41" i="70"/>
  <c r="L41" i="70"/>
  <c r="N41" i="70"/>
  <c r="Q41" i="70"/>
  <c r="I41" i="70"/>
  <c r="P40" i="70"/>
  <c r="M40" i="70"/>
  <c r="L40" i="70"/>
  <c r="O40" i="70"/>
  <c r="I40" i="70"/>
  <c r="M39" i="70"/>
  <c r="P39" i="70"/>
  <c r="L39" i="70"/>
  <c r="N39" i="70"/>
  <c r="Q39" i="70"/>
  <c r="I39" i="70"/>
  <c r="P38" i="70"/>
  <c r="M38" i="70"/>
  <c r="L38" i="70"/>
  <c r="O38" i="70"/>
  <c r="I38" i="70"/>
  <c r="M37" i="70"/>
  <c r="P37" i="70"/>
  <c r="L37" i="70"/>
  <c r="N37" i="70"/>
  <c r="Q37" i="70"/>
  <c r="I37" i="70"/>
  <c r="P36" i="70"/>
  <c r="P46" i="70"/>
  <c r="M36" i="70"/>
  <c r="L36" i="70"/>
  <c r="O36" i="70"/>
  <c r="I36" i="70"/>
  <c r="I46" i="70"/>
  <c r="H31" i="70"/>
  <c r="P29" i="70"/>
  <c r="O29" i="70"/>
  <c r="N29" i="70"/>
  <c r="Q29" i="70"/>
  <c r="I29" i="70"/>
  <c r="P28" i="70"/>
  <c r="O28" i="70"/>
  <c r="N28" i="70"/>
  <c r="Q28" i="70"/>
  <c r="I28" i="70"/>
  <c r="P27" i="70"/>
  <c r="O27" i="70"/>
  <c r="N27" i="70"/>
  <c r="Q27" i="70"/>
  <c r="I27" i="70"/>
  <c r="Q26" i="70"/>
  <c r="P26" i="70"/>
  <c r="O26" i="70"/>
  <c r="N26" i="70"/>
  <c r="I26" i="70"/>
  <c r="P25" i="70"/>
  <c r="O25" i="70"/>
  <c r="N25" i="70"/>
  <c r="Q25" i="70"/>
  <c r="I25" i="70"/>
  <c r="P24" i="70"/>
  <c r="O24" i="70"/>
  <c r="N24" i="70"/>
  <c r="Q24" i="70"/>
  <c r="I24" i="70"/>
  <c r="P23" i="70"/>
  <c r="O23" i="70"/>
  <c r="N23" i="70"/>
  <c r="Q23" i="70"/>
  <c r="I23" i="70"/>
  <c r="Q22" i="70"/>
  <c r="P22" i="70"/>
  <c r="O22" i="70"/>
  <c r="N22" i="70"/>
  <c r="I22" i="70"/>
  <c r="P21" i="70"/>
  <c r="O21" i="70"/>
  <c r="N21" i="70"/>
  <c r="Q21" i="70"/>
  <c r="I21" i="70"/>
  <c r="P20" i="70"/>
  <c r="O20" i="70"/>
  <c r="N20" i="70"/>
  <c r="Q20" i="70"/>
  <c r="I20" i="70"/>
  <c r="P19" i="70"/>
  <c r="O19" i="70"/>
  <c r="N19" i="70"/>
  <c r="Q19" i="70"/>
  <c r="I19" i="70"/>
  <c r="Q18" i="70"/>
  <c r="P18" i="70"/>
  <c r="O18" i="70"/>
  <c r="N18" i="70"/>
  <c r="I18" i="70"/>
  <c r="P17" i="70"/>
  <c r="O17" i="70"/>
  <c r="N17" i="70"/>
  <c r="Q17" i="70"/>
  <c r="I17" i="70"/>
  <c r="P16" i="70"/>
  <c r="O16" i="70"/>
  <c r="N16" i="70"/>
  <c r="Q16" i="70"/>
  <c r="I16" i="70"/>
  <c r="P15" i="70"/>
  <c r="O15" i="70"/>
  <c r="N15" i="70"/>
  <c r="Q15" i="70"/>
  <c r="I15" i="70"/>
  <c r="Q14" i="70"/>
  <c r="P14" i="70"/>
  <c r="O14" i="70"/>
  <c r="N14" i="70"/>
  <c r="I14" i="70"/>
  <c r="P13" i="70"/>
  <c r="O13" i="70"/>
  <c r="S29" i="70"/>
  <c r="K14" i="3"/>
  <c r="F20" i="6"/>
  <c r="N13" i="70"/>
  <c r="Q13" i="70"/>
  <c r="I13" i="70"/>
  <c r="P12" i="70"/>
  <c r="O12" i="70"/>
  <c r="N12" i="70"/>
  <c r="Q12" i="70"/>
  <c r="I12" i="70"/>
  <c r="P11" i="70"/>
  <c r="O11" i="70"/>
  <c r="N11" i="70"/>
  <c r="Q11" i="70"/>
  <c r="I11" i="70"/>
  <c r="P10" i="70"/>
  <c r="O10" i="70"/>
  <c r="N10" i="70"/>
  <c r="Q10" i="70"/>
  <c r="I10" i="70"/>
  <c r="Q9" i="70"/>
  <c r="P9" i="70"/>
  <c r="O9" i="70"/>
  <c r="N9" i="70"/>
  <c r="I9" i="70"/>
  <c r="P8" i="70"/>
  <c r="O8" i="70"/>
  <c r="N8" i="70"/>
  <c r="Q8" i="70"/>
  <c r="I8" i="70"/>
  <c r="P7" i="70"/>
  <c r="O7" i="70"/>
  <c r="N7" i="70"/>
  <c r="Q7" i="70"/>
  <c r="I7" i="70"/>
  <c r="P6" i="70"/>
  <c r="O6" i="70"/>
  <c r="N6" i="70"/>
  <c r="Q6" i="70"/>
  <c r="I6" i="70"/>
  <c r="P5" i="70"/>
  <c r="O5" i="70"/>
  <c r="N5" i="70"/>
  <c r="Q5" i="70"/>
  <c r="S5" i="70"/>
  <c r="P4" i="70"/>
  <c r="O4" i="70"/>
  <c r="N4" i="70"/>
  <c r="Q4" i="70"/>
  <c r="S4" i="70"/>
  <c r="AD16" i="3"/>
  <c r="O115" i="70"/>
  <c r="O37" i="70"/>
  <c r="O39" i="70"/>
  <c r="O46" i="70"/>
  <c r="S45" i="70"/>
  <c r="O41" i="70"/>
  <c r="O43" i="70"/>
  <c r="P57" i="70"/>
  <c r="S56" i="70"/>
  <c r="O62" i="70"/>
  <c r="O64" i="70"/>
  <c r="O91" i="70"/>
  <c r="O93" i="70"/>
  <c r="R101" i="70"/>
  <c r="O113" i="70"/>
  <c r="O116" i="70"/>
  <c r="O114" i="70"/>
  <c r="O31" i="70"/>
  <c r="S6" i="70"/>
  <c r="I18" i="3"/>
  <c r="F22" i="6"/>
  <c r="I31" i="70"/>
  <c r="S12" i="70"/>
  <c r="I13" i="3"/>
  <c r="F19" i="6"/>
  <c r="H99" i="70"/>
  <c r="N84" i="70"/>
  <c r="Q84" i="70"/>
  <c r="O84" i="70"/>
  <c r="O87" i="70"/>
  <c r="S84" i="70"/>
  <c r="S105" i="70"/>
  <c r="M15" i="12"/>
  <c r="I68" i="70"/>
  <c r="I33" i="70"/>
  <c r="J33" i="70"/>
  <c r="Q87" i="70"/>
  <c r="P68" i="70"/>
  <c r="S46" i="70"/>
  <c r="N36" i="70"/>
  <c r="Q36" i="70"/>
  <c r="N51" i="70"/>
  <c r="Q51" i="70"/>
  <c r="N55" i="70"/>
  <c r="Q55" i="70"/>
  <c r="N76" i="70"/>
  <c r="Q76" i="70"/>
  <c r="N38" i="70"/>
  <c r="Q38" i="70"/>
  <c r="N40" i="70"/>
  <c r="Q40" i="70"/>
  <c r="N42" i="70"/>
  <c r="Q42" i="70"/>
  <c r="N44" i="70"/>
  <c r="Q44" i="70"/>
  <c r="N50" i="70"/>
  <c r="Q50" i="70"/>
  <c r="O57" i="70"/>
  <c r="S55" i="70"/>
  <c r="N52" i="70"/>
  <c r="Q52" i="70"/>
  <c r="N54" i="70"/>
  <c r="Q54" i="70"/>
  <c r="O66" i="70"/>
  <c r="S65" i="70"/>
  <c r="N61" i="70"/>
  <c r="Q61" i="70"/>
  <c r="N63" i="70"/>
  <c r="Q63" i="70"/>
  <c r="R69" i="70"/>
  <c r="S68" i="70"/>
  <c r="O80" i="70"/>
  <c r="O97" i="70"/>
  <c r="S90" i="70"/>
  <c r="S114" i="70"/>
  <c r="N53" i="70"/>
  <c r="Q53" i="70"/>
  <c r="N74" i="70"/>
  <c r="Q74" i="70"/>
  <c r="N78" i="70"/>
  <c r="Q78" i="70"/>
  <c r="U95" i="70"/>
  <c r="N73" i="70"/>
  <c r="Q73" i="70"/>
  <c r="N75" i="70"/>
  <c r="Q75" i="70"/>
  <c r="N77" i="70"/>
  <c r="Q77" i="70"/>
  <c r="I87" i="70"/>
  <c r="P87" i="70"/>
  <c r="S85" i="70"/>
  <c r="N85" i="70"/>
  <c r="Q85" i="70"/>
  <c r="I97" i="70"/>
  <c r="P97" i="70"/>
  <c r="S91" i="70"/>
  <c r="N92" i="70"/>
  <c r="Q92" i="70"/>
  <c r="N94" i="70"/>
  <c r="Q94" i="70"/>
  <c r="N95" i="70"/>
  <c r="Q95" i="70"/>
  <c r="S92" i="70"/>
  <c r="N104" i="70"/>
  <c r="Q104" i="70"/>
  <c r="Q106" i="70"/>
  <c r="S104" i="70"/>
  <c r="N110" i="70"/>
  <c r="Q110" i="70"/>
  <c r="N111" i="70"/>
  <c r="Q111" i="70"/>
  <c r="D121" i="70"/>
  <c r="N112" i="70"/>
  <c r="Q112" i="70"/>
  <c r="H126" i="70"/>
  <c r="H121" i="70"/>
  <c r="I116" i="70"/>
  <c r="I121" i="70"/>
  <c r="P79" i="70"/>
  <c r="Q97" i="70"/>
  <c r="O33" i="70"/>
  <c r="S33" i="70"/>
  <c r="C31" i="69"/>
  <c r="N127" i="70"/>
  <c r="I99" i="70"/>
  <c r="Q116" i="70"/>
  <c r="Q80" i="70"/>
  <c r="Q99" i="70"/>
  <c r="Q57" i="70"/>
  <c r="Q46" i="70"/>
  <c r="S80" i="70"/>
  <c r="P30" i="70"/>
  <c r="O121" i="70"/>
  <c r="N129" i="70"/>
  <c r="S113" i="70"/>
  <c r="O118" i="70"/>
  <c r="S100" i="70"/>
  <c r="I118" i="70"/>
  <c r="P80" i="70"/>
  <c r="P121" i="70"/>
  <c r="P124" i="70"/>
  <c r="O99" i="70"/>
  <c r="S78" i="70"/>
  <c r="Q66" i="70"/>
  <c r="R70" i="70"/>
  <c r="P70" i="70"/>
  <c r="Q70" i="70"/>
  <c r="O68" i="70"/>
  <c r="O70" i="70"/>
  <c r="M15" i="3"/>
  <c r="G21" i="6"/>
  <c r="S34" i="70"/>
  <c r="E31" i="69"/>
  <c r="E34" i="69"/>
  <c r="C34" i="69"/>
  <c r="N125" i="70"/>
  <c r="M125" i="70"/>
  <c r="O120" i="70"/>
  <c r="Q121" i="70"/>
  <c r="Q126" i="70"/>
  <c r="U94" i="70"/>
  <c r="O101" i="70"/>
  <c r="Q101" i="70"/>
  <c r="P99" i="70"/>
  <c r="S79" i="70"/>
  <c r="T121" i="70"/>
  <c r="Q30" i="70"/>
  <c r="P31" i="70"/>
  <c r="Q68" i="70"/>
  <c r="Q118" i="70"/>
  <c r="P33" i="70"/>
  <c r="S32" i="70"/>
  <c r="Q31" i="70"/>
  <c r="P101" i="70"/>
  <c r="P127" i="70"/>
  <c r="S101" i="70"/>
  <c r="T94" i="70"/>
  <c r="D31" i="69"/>
  <c r="AN17" i="3"/>
  <c r="J20" i="69"/>
  <c r="J18" i="69"/>
  <c r="C13" i="69"/>
  <c r="I22" i="69"/>
  <c r="J13" i="69"/>
  <c r="J12" i="69"/>
  <c r="C10" i="69"/>
  <c r="A3" i="3"/>
  <c r="J10" i="69"/>
  <c r="J9" i="69"/>
  <c r="J8" i="69"/>
  <c r="J6" i="69"/>
  <c r="J5" i="69"/>
  <c r="J4" i="69"/>
  <c r="J7" i="69"/>
  <c r="D34" i="69"/>
  <c r="F31" i="69"/>
  <c r="F34" i="69"/>
  <c r="C14" i="69"/>
  <c r="C40" i="39"/>
  <c r="J11" i="69"/>
  <c r="J16" i="69"/>
  <c r="J21" i="69"/>
  <c r="K2" i="68"/>
  <c r="E48" i="39"/>
  <c r="K7" i="68"/>
  <c r="G48" i="39"/>
  <c r="K12" i="68"/>
  <c r="I48" i="39"/>
  <c r="I40" i="39"/>
  <c r="G40" i="39"/>
  <c r="E40" i="39"/>
  <c r="C21" i="6"/>
  <c r="C20" i="6"/>
  <c r="C19" i="6"/>
  <c r="I9" i="39"/>
  <c r="G9" i="39"/>
  <c r="E9" i="39"/>
  <c r="I7" i="39"/>
  <c r="E7" i="39"/>
  <c r="J17" i="69"/>
  <c r="F25" i="12"/>
  <c r="J22" i="6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c r="K3" i="59"/>
  <c r="AG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B66" i="63"/>
  <c r="A10" i="55"/>
  <c r="B61" i="63"/>
  <c r="A9" i="55"/>
  <c r="B60" i="63"/>
  <c r="A8" i="55"/>
  <c r="B59" i="63"/>
  <c r="A6" i="54"/>
  <c r="A8" i="54"/>
  <c r="B53" i="63"/>
  <c r="A7" i="54"/>
  <c r="A28" i="51"/>
  <c r="N4" i="63"/>
  <c r="A27" i="51"/>
  <c r="B20" i="63"/>
  <c r="Q12" i="59"/>
  <c r="O12" i="59"/>
  <c r="N13" i="59"/>
  <c r="O13" i="59"/>
  <c r="P13" i="59"/>
  <c r="Q13" i="59"/>
  <c r="N12" i="59"/>
  <c r="P12" i="59"/>
  <c r="C14" i="59"/>
  <c r="K75" i="9"/>
  <c r="K6" i="4"/>
  <c r="O76" i="9"/>
  <c r="L76" i="9"/>
  <c r="K76" i="9"/>
  <c r="K77" i="9"/>
  <c r="K79" i="9"/>
  <c r="K81" i="9"/>
  <c r="B22" i="31"/>
  <c r="E17" i="66"/>
  <c r="F17" i="66"/>
  <c r="E18" i="66"/>
  <c r="F18" i="66"/>
  <c r="E19" i="66"/>
  <c r="F19" i="66"/>
  <c r="E20" i="66"/>
  <c r="F20" i="66"/>
  <c r="E21" i="66"/>
  <c r="F21" i="66"/>
  <c r="E22" i="66"/>
  <c r="F22" i="66"/>
  <c r="E23" i="66"/>
  <c r="F23" i="66"/>
  <c r="B3" i="66"/>
  <c r="B10" i="59"/>
  <c r="B9" i="59"/>
  <c r="B8" i="59"/>
  <c r="E10" i="59"/>
  <c r="E9" i="59"/>
  <c r="E8" i="59"/>
  <c r="E7" i="59"/>
  <c r="E6" i="59"/>
  <c r="F10" i="59"/>
  <c r="S10" i="59"/>
  <c r="AD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B76" i="63"/>
  <c r="M5" i="54"/>
  <c r="A23" i="51"/>
  <c r="Y12" i="46"/>
  <c r="AA9" i="46"/>
  <c r="AA12" i="46"/>
  <c r="AB9" i="46"/>
  <c r="AB10" i="46"/>
  <c r="AC9" i="46"/>
  <c r="AC10" i="46"/>
  <c r="AD9" i="46"/>
  <c r="AD10" i="46"/>
  <c r="AE9" i="46"/>
  <c r="AE12" i="46"/>
  <c r="AF9" i="46"/>
  <c r="AF10" i="46"/>
  <c r="AG9" i="46"/>
  <c r="AG10" i="46"/>
  <c r="AH9" i="46"/>
  <c r="AH10" i="46"/>
  <c r="AI9" i="46"/>
  <c r="AI12" i="46"/>
  <c r="AJ9" i="46"/>
  <c r="AJ10" i="46"/>
  <c r="Z9" i="46"/>
  <c r="Z10" i="46"/>
  <c r="AI10" i="46"/>
  <c r="AE10" i="46"/>
  <c r="AA10" i="46"/>
  <c r="Y10" i="46"/>
  <c r="Z12" i="46"/>
  <c r="AG12" i="46"/>
  <c r="AC12" i="46"/>
  <c r="B73" i="63"/>
  <c r="A21" i="64"/>
  <c r="B75" i="63"/>
  <c r="A28" i="64"/>
  <c r="A27" i="64"/>
  <c r="A15" i="64"/>
  <c r="A14" i="64"/>
  <c r="A11" i="64"/>
  <c r="A3" i="64"/>
  <c r="A45" i="9"/>
  <c r="A44" i="9"/>
  <c r="C57" i="10"/>
  <c r="C56" i="10"/>
  <c r="C55" i="10"/>
  <c r="C54" i="10"/>
  <c r="A26" i="51"/>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A9" i="51"/>
  <c r="B9" i="63"/>
  <c r="B17" i="63"/>
  <c r="A15" i="51"/>
  <c r="B12" i="63"/>
  <c r="A14" i="51"/>
  <c r="B11" i="63"/>
  <c r="A4" i="55"/>
  <c r="B57" i="63"/>
  <c r="B41" i="63"/>
  <c r="G5" i="54"/>
  <c r="B34" i="63"/>
  <c r="E5" i="54"/>
  <c r="B32" i="63"/>
  <c r="R2" i="54"/>
  <c r="B24" i="63"/>
  <c r="B19" i="63"/>
  <c r="B49" i="50"/>
  <c r="B5" i="63"/>
  <c r="B40" i="50"/>
  <c r="B3" i="63"/>
  <c r="B21" i="63"/>
  <c r="B67" i="63"/>
  <c r="I19" i="46"/>
  <c r="Q14" i="59"/>
  <c r="F14" i="59"/>
  <c r="V14" i="59"/>
  <c r="P14" i="59"/>
  <c r="O14" i="59"/>
  <c r="N14" i="59"/>
  <c r="D75" i="59"/>
  <c r="F74" i="59"/>
  <c r="F73" i="59"/>
  <c r="E74" i="59"/>
  <c r="E73" i="59"/>
  <c r="E72" i="59"/>
  <c r="C74" i="59"/>
  <c r="D74" i="59"/>
  <c r="B74" i="59"/>
  <c r="B73" i="59"/>
  <c r="F72" i="59"/>
  <c r="B72" i="59"/>
  <c r="D71" i="59"/>
  <c r="F70" i="59"/>
  <c r="F69" i="59"/>
  <c r="E70" i="59"/>
  <c r="E69" i="59"/>
  <c r="E68" i="59"/>
  <c r="C70" i="59"/>
  <c r="D70" i="59"/>
  <c r="B70" i="59"/>
  <c r="B69" i="59"/>
  <c r="F68"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AA24" i="59"/>
  <c r="O24" i="59"/>
  <c r="Y24" i="59"/>
  <c r="N24" i="59"/>
  <c r="Q23" i="59"/>
  <c r="F24" i="59"/>
  <c r="P23" i="59"/>
  <c r="AA23" i="59"/>
  <c r="O23" i="59"/>
  <c r="Y23" i="59"/>
  <c r="Z23" i="59"/>
  <c r="C24" i="59"/>
  <c r="N23" i="59"/>
  <c r="X23" i="59"/>
  <c r="B24" i="59"/>
  <c r="B25" i="59"/>
  <c r="B26" i="59"/>
  <c r="S26" i="59"/>
  <c r="D23" i="59"/>
  <c r="Q22" i="59"/>
  <c r="AB22" i="59"/>
  <c r="P22" i="59"/>
  <c r="AA22" i="59"/>
  <c r="O22" i="59"/>
  <c r="Y22" i="59"/>
  <c r="Z22" i="59"/>
  <c r="N22" i="59"/>
  <c r="X22" i="59"/>
  <c r="Q21" i="59"/>
  <c r="AB21" i="59"/>
  <c r="P21" i="59"/>
  <c r="AA21" i="59"/>
  <c r="O21" i="59"/>
  <c r="Y21" i="59"/>
  <c r="Z21" i="59"/>
  <c r="N21" i="59"/>
  <c r="X21" i="59"/>
  <c r="Q20" i="59"/>
  <c r="AB20" i="59"/>
  <c r="P20" i="59"/>
  <c r="AA20" i="59"/>
  <c r="O20" i="59"/>
  <c r="Y20" i="59"/>
  <c r="Z20" i="59"/>
  <c r="N20" i="59"/>
  <c r="X20" i="59"/>
  <c r="Q19" i="59"/>
  <c r="AB19" i="59"/>
  <c r="F20" i="59"/>
  <c r="P19" i="59"/>
  <c r="E20" i="59"/>
  <c r="E21" i="59"/>
  <c r="E22" i="59"/>
  <c r="U22" i="59"/>
  <c r="O19" i="59"/>
  <c r="Y19" i="59"/>
  <c r="Z19" i="59"/>
  <c r="N19" i="59"/>
  <c r="B20" i="59"/>
  <c r="B21" i="59"/>
  <c r="B22" i="59"/>
  <c r="S22" i="59"/>
  <c r="D19" i="59"/>
  <c r="Q18" i="59"/>
  <c r="AB18" i="59"/>
  <c r="P18" i="59"/>
  <c r="AA18" i="59"/>
  <c r="O18" i="59"/>
  <c r="Y18" i="59"/>
  <c r="Z18" i="59"/>
  <c r="N18" i="59"/>
  <c r="Q17" i="59"/>
  <c r="AB17" i="59"/>
  <c r="P17" i="59"/>
  <c r="AA17" i="59"/>
  <c r="O17" i="59"/>
  <c r="Y17" i="59"/>
  <c r="Z17" i="59"/>
  <c r="N17" i="59"/>
  <c r="X17" i="59"/>
  <c r="Q16" i="59"/>
  <c r="AB16" i="59"/>
  <c r="P16" i="59"/>
  <c r="AA16" i="59"/>
  <c r="O16" i="59"/>
  <c r="Y16" i="59"/>
  <c r="Z16" i="59"/>
  <c r="N16" i="59"/>
  <c r="X16" i="59"/>
  <c r="Q15" i="59"/>
  <c r="F16" i="59"/>
  <c r="F17" i="59"/>
  <c r="F18" i="59"/>
  <c r="V18" i="59"/>
  <c r="P15" i="59"/>
  <c r="AA15" i="59"/>
  <c r="O15" i="59"/>
  <c r="C16" i="59"/>
  <c r="N15" i="59"/>
  <c r="X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50" i="59"/>
  <c r="T50" i="59"/>
  <c r="D49" i="59"/>
  <c r="D45" i="59"/>
  <c r="C46" i="59"/>
  <c r="C42" i="59"/>
  <c r="T42" i="59"/>
  <c r="D41" i="59"/>
  <c r="C38" i="59"/>
  <c r="T38" i="59"/>
  <c r="D37" i="59"/>
  <c r="C30" i="59"/>
  <c r="T30" i="59"/>
  <c r="D29" i="59"/>
  <c r="C26" i="59"/>
  <c r="T26" i="59"/>
  <c r="D25" i="59"/>
  <c r="C18" i="59"/>
  <c r="T18" i="59"/>
  <c r="D17" i="59"/>
  <c r="N16" i="4"/>
  <c r="T46" i="59"/>
  <c r="D46" i="59"/>
  <c r="D18" i="59"/>
  <c r="D26" i="59"/>
  <c r="D30" i="59"/>
  <c r="D38" i="59"/>
  <c r="D42" i="59"/>
  <c r="D50"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F31" i="39"/>
  <c r="AA31" i="39"/>
  <c r="G20" i="20"/>
  <c r="B85" i="46"/>
  <c r="C22" i="20"/>
  <c r="B65" i="46"/>
  <c r="S18" i="36"/>
  <c r="S18" i="35"/>
  <c r="S21" i="37"/>
  <c r="S21" i="34"/>
  <c r="C27" i="40"/>
  <c r="B74"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F9" i="1"/>
  <c r="AP9" i="1"/>
  <c r="F19" i="4"/>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D3" i="78"/>
  <c r="E21" i="6"/>
  <c r="K8" i="1"/>
  <c r="M8" i="1"/>
  <c r="O8" i="1"/>
  <c r="P8" i="1"/>
  <c r="E22" i="6"/>
  <c r="E23" i="6"/>
  <c r="K13" i="1"/>
  <c r="M13" i="1"/>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B98" i="21"/>
  <c r="B96" i="21"/>
  <c r="H30" i="21"/>
  <c r="B94" i="21"/>
  <c r="B92" i="21"/>
  <c r="H28" i="21"/>
  <c r="AB28" i="21"/>
  <c r="B90" i="21"/>
  <c r="B74" i="21"/>
  <c r="F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8" i="21"/>
  <c r="S38" i="21"/>
  <c r="F39" i="21"/>
  <c r="AA39" i="21"/>
  <c r="J40" i="21"/>
  <c r="W40" i="21"/>
  <c r="H35" i="21"/>
  <c r="AB35" i="21"/>
  <c r="J8" i="21"/>
  <c r="AC8" i="21"/>
  <c r="J9" i="21"/>
  <c r="AC9" i="21"/>
  <c r="H8" i="21"/>
  <c r="U8" i="21"/>
  <c r="H9" i="21"/>
  <c r="AB9" i="21"/>
  <c r="H10" i="21"/>
  <c r="U10" i="21"/>
  <c r="H39" i="21"/>
  <c r="AB39" i="21"/>
  <c r="J34" i="21"/>
  <c r="W34" i="21"/>
  <c r="H36" i="21"/>
  <c r="U36" i="21"/>
  <c r="F35" i="21"/>
  <c r="S35" i="21"/>
  <c r="J10" i="21"/>
  <c r="AC10" i="21"/>
  <c r="H26" i="21"/>
  <c r="AB26" i="21"/>
  <c r="J12" i="21"/>
  <c r="AC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W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W42" i="21"/>
  <c r="J44" i="34"/>
  <c r="AC44" i="34"/>
  <c r="F44" i="34"/>
  <c r="S44" i="34"/>
  <c r="J10" i="35"/>
  <c r="W10" i="35"/>
  <c r="AL5" i="3"/>
  <c r="BQ13" i="3"/>
  <c r="J14" i="21"/>
  <c r="AC14" i="21"/>
  <c r="H14" i="21"/>
  <c r="U14" i="21"/>
  <c r="F28" i="21"/>
  <c r="AA28"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13" i="21"/>
  <c r="U46" i="21"/>
  <c r="W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c r="BL491" i="3"/>
  <c r="BL483" i="3"/>
  <c r="G16" i="3"/>
  <c r="BL563" i="3"/>
  <c r="BL559" i="3"/>
  <c r="BL555" i="3"/>
  <c r="BL551" i="3"/>
  <c r="BL541" i="3"/>
  <c r="BL533" i="3"/>
  <c r="BL525" i="3"/>
  <c r="G518" i="3"/>
  <c r="G514" i="3"/>
  <c r="G510" i="3"/>
  <c r="BL503" i="3"/>
  <c r="BL495" i="3"/>
  <c r="BL485"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AC23" i="37"/>
  <c r="U39" i="37"/>
  <c r="AC8" i="37"/>
  <c r="S25" i="37"/>
  <c r="AC36" i="34"/>
  <c r="AB8" i="34"/>
  <c r="AA13" i="33"/>
  <c r="AC45" i="33"/>
  <c r="S39" i="33"/>
  <c r="F43" i="33"/>
  <c r="AA43" i="33"/>
  <c r="AA23" i="37"/>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H32" i="21"/>
  <c r="U32" i="21"/>
  <c r="J32" i="21"/>
  <c r="AC32" i="21"/>
  <c r="AC5" i="3"/>
  <c r="H37" i="21"/>
  <c r="U37" i="21"/>
  <c r="F40" i="21"/>
  <c r="S40" i="21"/>
  <c r="H40" i="21"/>
  <c r="U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U23" i="35"/>
  <c r="F23" i="35"/>
  <c r="AA23" i="35"/>
  <c r="U36" i="35"/>
  <c r="W12" i="36"/>
  <c r="AC12" i="36"/>
  <c r="U31" i="36"/>
  <c r="S8" i="37"/>
  <c r="AA8" i="37"/>
  <c r="F14" i="39"/>
  <c r="AA14" i="39"/>
  <c r="H14" i="39"/>
  <c r="AB14" i="39"/>
  <c r="J14" i="39"/>
  <c r="AC14" i="39"/>
  <c r="F16" i="39"/>
  <c r="AA16" i="39"/>
  <c r="H16" i="39"/>
  <c r="J16" i="39"/>
  <c r="AC16" i="39"/>
  <c r="F23" i="39"/>
  <c r="AA23" i="39"/>
  <c r="E97" i="39"/>
  <c r="F27" i="39"/>
  <c r="AA27" i="39"/>
  <c r="J27" i="39"/>
  <c r="AC27" i="39"/>
  <c r="F15" i="40"/>
  <c r="AA15" i="40"/>
  <c r="J15" i="40"/>
  <c r="H15" i="40"/>
  <c r="AB15" i="40"/>
  <c r="E92" i="40"/>
  <c r="F92" i="40"/>
  <c r="H23" i="40"/>
  <c r="U23" i="40"/>
  <c r="H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AC14" i="40"/>
  <c r="W35" i="40"/>
  <c r="S33" i="40"/>
  <c r="AB32" i="40"/>
  <c r="AC47" i="39"/>
  <c r="S47" i="39"/>
  <c r="U37" i="34"/>
  <c r="AB37" i="34"/>
  <c r="W41" i="40"/>
  <c r="J23" i="40"/>
  <c r="AC23" i="40"/>
  <c r="G92" i="40"/>
  <c r="F23" i="40"/>
  <c r="S23" i="40"/>
  <c r="AC15" i="40"/>
  <c r="W15" i="40"/>
  <c r="W14" i="39"/>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7" i="3"/>
  <c r="AZ548" i="3"/>
  <c r="AZ549" i="3"/>
  <c r="AB37" i="39"/>
  <c r="AA29" i="35"/>
  <c r="U39" i="39"/>
  <c r="J29" i="39"/>
  <c r="AC29" i="39"/>
  <c r="U21" i="39"/>
  <c r="AB33" i="36"/>
  <c r="AA11" i="36"/>
  <c r="AA14" i="35"/>
  <c r="S14" i="35"/>
  <c r="G99" i="37"/>
  <c r="F33" i="37"/>
  <c r="AA33" i="37"/>
  <c r="U46" i="34"/>
  <c r="AC30" i="34"/>
  <c r="AA14" i="34"/>
  <c r="W12" i="34"/>
  <c r="U29" i="33"/>
  <c r="AC13" i="33"/>
  <c r="U17" i="34"/>
  <c r="AA11" i="34"/>
  <c r="W32" i="33"/>
  <c r="H15" i="33"/>
  <c r="U15" i="33"/>
  <c r="AA11" i="33"/>
  <c r="AA40" i="21"/>
  <c r="U16" i="40"/>
  <c r="AB34" i="40"/>
  <c r="AB42" i="40"/>
  <c r="U42" i="40"/>
  <c r="AC16" i="40"/>
  <c r="W32" i="40"/>
  <c r="H25" i="40"/>
  <c r="AB25"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AA23" i="33"/>
  <c r="H23" i="33"/>
  <c r="U19" i="33"/>
  <c r="F79" i="33"/>
  <c r="G79" i="33"/>
  <c r="F17" i="33"/>
  <c r="H17" i="33"/>
  <c r="AB17" i="33"/>
  <c r="J17" i="33"/>
  <c r="AB15" i="33"/>
  <c r="AC11" i="33"/>
  <c r="S10" i="33"/>
  <c r="S14" i="33"/>
  <c r="W10" i="33"/>
  <c r="AC21" i="33"/>
  <c r="W21" i="33"/>
  <c r="W14" i="33"/>
  <c r="AB10" i="33"/>
  <c r="AB21" i="33"/>
  <c r="U21" i="33"/>
  <c r="AA21" i="33"/>
  <c r="S21" i="33"/>
  <c r="AA44" i="33"/>
  <c r="AA36" i="33"/>
  <c r="S44" i="21"/>
  <c r="AA37" i="21"/>
  <c r="AB37" i="21"/>
  <c r="J23" i="21"/>
  <c r="W23" i="21"/>
  <c r="F23" i="21"/>
  <c r="AA23" i="21"/>
  <c r="H23" i="21"/>
  <c r="AB23"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S25" i="40"/>
  <c r="AA23" i="40"/>
  <c r="F88" i="40"/>
  <c r="G88" i="40"/>
  <c r="F19" i="40"/>
  <c r="H19" i="40"/>
  <c r="U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R22" i="31"/>
  <c r="B21" i="31"/>
  <c r="D18" i="9"/>
  <c r="M44" i="9"/>
  <c r="M43" i="9"/>
  <c r="D96" i="9"/>
  <c r="F28" i="15"/>
  <c r="M18" i="15"/>
  <c r="BA16" i="3"/>
  <c r="AZ16" i="3"/>
  <c r="BA17" i="3"/>
  <c r="AZ17" i="3"/>
  <c r="F3" i="35"/>
  <c r="K1" i="43"/>
  <c r="K1" i="12"/>
  <c r="G1" i="44"/>
  <c r="AZ15" i="3"/>
  <c r="BK5" i="3"/>
  <c r="BO5" i="3"/>
  <c r="BP5" i="3"/>
  <c r="BN5" i="3"/>
  <c r="BL18" i="3"/>
  <c r="BC5" i="3"/>
  <c r="BD5" i="3"/>
  <c r="BR5" i="3"/>
  <c r="G28" i="6"/>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c r="C46" i="36"/>
  <c r="C59" i="34"/>
  <c r="C48" i="35"/>
  <c r="D48" i="35"/>
  <c r="C52" i="37"/>
  <c r="D52" i="37"/>
  <c r="J7" i="33"/>
  <c r="AC7" i="33"/>
  <c r="V48" i="33"/>
  <c r="I48" i="33"/>
  <c r="I52" i="33"/>
  <c r="J52" i="33"/>
  <c r="D65" i="40"/>
  <c r="E65" i="40"/>
  <c r="O19" i="46"/>
  <c r="H86" i="46"/>
  <c r="H82" i="46"/>
  <c r="H10" i="48"/>
  <c r="H87" i="46"/>
  <c r="H85" i="46"/>
  <c r="H83" i="46"/>
  <c r="K10" i="1"/>
  <c r="M10" i="1"/>
  <c r="O10" i="1"/>
  <c r="P10"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AC27" i="21"/>
  <c r="G96" i="40"/>
  <c r="J27" i="40"/>
  <c r="W27" i="40"/>
  <c r="S17" i="40"/>
  <c r="W30" i="40"/>
  <c r="S34" i="40"/>
  <c r="U38" i="40"/>
  <c r="S40" i="40"/>
  <c r="S42" i="40"/>
  <c r="J31" i="39"/>
  <c r="AC31" i="39"/>
  <c r="S45"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AC39" i="40"/>
  <c r="W39" i="40"/>
  <c r="AA39" i="40"/>
  <c r="U37" i="40"/>
  <c r="AA37" i="40"/>
  <c r="S37" i="40"/>
  <c r="U29" i="40"/>
  <c r="AC29" i="40"/>
  <c r="W29" i="40"/>
  <c r="AA29" i="40"/>
  <c r="S29" i="40"/>
  <c r="W19" i="40"/>
  <c r="AC19" i="40"/>
  <c r="AA19" i="40"/>
  <c r="S19" i="40"/>
  <c r="AB19" i="40"/>
  <c r="AC27" i="40"/>
  <c r="B20" i="31"/>
  <c r="AT6" i="3"/>
  <c r="G29" i="6"/>
  <c r="A9" i="64"/>
  <c r="W7" i="33"/>
  <c r="D67" i="40"/>
  <c r="G66" i="36"/>
  <c r="J18" i="36"/>
  <c r="AE6" i="1"/>
  <c r="W18" i="36"/>
  <c r="AC18" i="36"/>
  <c r="AG6" i="1"/>
  <c r="L20" i="6"/>
  <c r="E67" i="40"/>
  <c r="F65" i="40"/>
  <c r="F67" i="40"/>
  <c r="C45" i="9"/>
  <c r="H14" i="66"/>
  <c r="B7" i="66"/>
  <c r="K31" i="9"/>
  <c r="K32" i="9"/>
  <c r="N76" i="9"/>
  <c r="C46" i="9"/>
  <c r="K33" i="9"/>
  <c r="K34" i="9"/>
  <c r="O41" i="9"/>
  <c r="R8" i="54"/>
  <c r="B54" i="63"/>
  <c r="B10" i="67"/>
  <c r="M28" i="15"/>
  <c r="F28" i="44"/>
  <c r="F10" i="67"/>
  <c r="B14" i="67"/>
  <c r="F10" i="44"/>
  <c r="M29" i="44"/>
  <c r="M26" i="44"/>
  <c r="F43" i="44"/>
  <c r="F15" i="44"/>
  <c r="E11" i="67"/>
  <c r="F9" i="44"/>
  <c r="M23" i="15"/>
  <c r="M27" i="15"/>
  <c r="F14" i="67"/>
  <c r="E10" i="67"/>
  <c r="F8" i="67"/>
  <c r="E9" i="67"/>
  <c r="E8" i="67"/>
  <c r="N6" i="65"/>
  <c r="N5" i="65"/>
  <c r="M8" i="44"/>
  <c r="F39" i="44"/>
  <c r="M24" i="15"/>
  <c r="F12" i="67"/>
  <c r="F11" i="44"/>
  <c r="M22" i="15"/>
  <c r="F18" i="44"/>
  <c r="M24" i="44"/>
  <c r="E12" i="67"/>
  <c r="N3" i="65"/>
  <c r="M29" i="15"/>
  <c r="F38" i="44"/>
  <c r="J17" i="44"/>
  <c r="B12" i="67"/>
  <c r="J36" i="15"/>
  <c r="L48" i="44"/>
  <c r="M11" i="44"/>
  <c r="B13" i="67"/>
  <c r="E14" i="67"/>
  <c r="M26" i="15"/>
  <c r="F11" i="67"/>
  <c r="F8" i="44"/>
  <c r="M10" i="44"/>
  <c r="M28" i="44"/>
  <c r="M30" i="44"/>
  <c r="E13" i="67"/>
  <c r="F40" i="44"/>
  <c r="M31" i="44"/>
  <c r="F45" i="44"/>
  <c r="M25" i="44"/>
  <c r="B9" i="67"/>
  <c r="J15" i="15"/>
  <c r="B11" i="67"/>
  <c r="L47" i="15"/>
  <c r="F9" i="67"/>
  <c r="F13" i="67"/>
  <c r="B8" i="67"/>
  <c r="N7" i="65"/>
  <c r="S12" i="21"/>
  <c r="AA12" i="21"/>
  <c r="AA14" i="21"/>
  <c r="S14" i="21"/>
  <c r="AB14" i="21"/>
  <c r="H12" i="21"/>
  <c r="U30" i="21"/>
  <c r="AB30" i="21"/>
  <c r="W29" i="21"/>
  <c r="S28" i="21"/>
  <c r="AB31" i="21"/>
  <c r="J30" i="21"/>
  <c r="F30" i="21"/>
  <c r="J28" i="21"/>
  <c r="AZ18" i="3"/>
  <c r="AZ520" i="3"/>
  <c r="AA31" i="33"/>
  <c r="S31" i="33"/>
  <c r="U45" i="33"/>
  <c r="AB45" i="33"/>
  <c r="AC23" i="35"/>
  <c r="W23" i="35"/>
  <c r="AC39" i="37"/>
  <c r="W39" i="37"/>
  <c r="O40" i="9"/>
  <c r="R7" i="54"/>
  <c r="B52" i="63"/>
  <c r="U17" i="40"/>
  <c r="W37" i="40"/>
  <c r="U25" i="33"/>
  <c r="AB11" i="33"/>
  <c r="AC11" i="34"/>
  <c r="W34" i="40"/>
  <c r="AB23" i="35"/>
  <c r="AB14" i="40"/>
  <c r="AC40" i="40"/>
  <c r="W40" i="40"/>
  <c r="AB41" i="40"/>
  <c r="U41" i="40"/>
  <c r="U16" i="39"/>
  <c r="AB16" i="39"/>
  <c r="AZ558" i="3"/>
  <c r="AC9" i="33"/>
  <c r="W9" i="33"/>
  <c r="S28" i="34"/>
  <c r="AA28" i="34"/>
  <c r="W24" i="36"/>
  <c r="AC24" i="36"/>
  <c r="U34" i="36"/>
  <c r="AB34" i="36"/>
  <c r="U14" i="37"/>
  <c r="AB14" i="37"/>
  <c r="AC26" i="37"/>
  <c r="W26" i="37"/>
  <c r="F101" i="39"/>
  <c r="G101" i="39"/>
  <c r="H27" i="39"/>
  <c r="U27" i="39"/>
  <c r="S42" i="33"/>
  <c r="AB44" i="33"/>
  <c r="AC37" i="33"/>
  <c r="S27" i="37"/>
  <c r="AC41" i="34"/>
  <c r="AC28" i="34"/>
  <c r="U28" i="21"/>
  <c r="S45" i="21"/>
  <c r="AA27" i="33"/>
  <c r="W31" i="34"/>
  <c r="AB40" i="37"/>
  <c r="W46" i="33"/>
  <c r="W35" i="35"/>
  <c r="W9" i="34"/>
  <c r="F36" i="21"/>
  <c r="S36" i="21"/>
  <c r="F32" i="21"/>
  <c r="S32" i="21"/>
  <c r="G13" i="3"/>
  <c r="BF5" i="3"/>
  <c r="J36" i="21"/>
  <c r="W36" i="21"/>
  <c r="H42" i="21"/>
  <c r="AB42" i="21"/>
  <c r="F9" i="33"/>
  <c r="H9" i="33"/>
  <c r="F9" i="36"/>
  <c r="H9" i="36"/>
  <c r="H24" i="36"/>
  <c r="G569" i="3"/>
  <c r="G564" i="3"/>
  <c r="AZ412" i="3"/>
  <c r="AZ417" i="3"/>
  <c r="AZ420" i="3"/>
  <c r="AZ443" i="3"/>
  <c r="AZ447" i="3"/>
  <c r="AZ318" i="3"/>
  <c r="AZ334" i="3"/>
  <c r="BL13" i="3"/>
  <c r="G19" i="3"/>
  <c r="D3" i="79"/>
  <c r="AZ21" i="3"/>
  <c r="AZ54" i="3"/>
  <c r="C92" i="9"/>
  <c r="AZ387" i="3"/>
  <c r="AZ216" i="3"/>
  <c r="AZ219" i="3"/>
  <c r="AZ232" i="3"/>
  <c r="AZ235" i="3"/>
  <c r="AZ248" i="3"/>
  <c r="AZ251" i="3"/>
  <c r="AZ264" i="3"/>
  <c r="AZ266" i="3"/>
  <c r="AZ277" i="3"/>
  <c r="AZ280" i="3"/>
  <c r="AZ293" i="3"/>
  <c r="AZ117" i="3"/>
  <c r="AZ120" i="3"/>
  <c r="AZ141" i="3"/>
  <c r="AZ144" i="3"/>
  <c r="AZ155" i="3"/>
  <c r="AZ168" i="3"/>
  <c r="AZ171" i="3"/>
  <c r="AZ186" i="3"/>
  <c r="AZ26" i="3"/>
  <c r="AZ29" i="3"/>
  <c r="AZ49" i="3"/>
  <c r="AZ61" i="3"/>
  <c r="AZ72" i="3"/>
  <c r="AZ77" i="3"/>
  <c r="AZ92" i="3"/>
  <c r="AZ97" i="3"/>
  <c r="AZ108" i="3"/>
  <c r="D1" i="57"/>
  <c r="E10" i="57"/>
  <c r="C31" i="39"/>
  <c r="S27" i="40"/>
  <c r="B14" i="59"/>
  <c r="X7" i="59"/>
  <c r="X8" i="59"/>
  <c r="X9" i="59"/>
  <c r="X10" i="59"/>
  <c r="AA10" i="59"/>
  <c r="E14" i="59"/>
  <c r="AB23" i="59"/>
  <c r="X19" i="59"/>
  <c r="AB15" i="59"/>
  <c r="E5" i="59"/>
  <c r="U6" i="59"/>
  <c r="Y15" i="59"/>
  <c r="Z15" i="59"/>
  <c r="X18" i="59"/>
  <c r="C20" i="59"/>
  <c r="AA19" i="59"/>
  <c r="E24" i="59"/>
  <c r="E25" i="59"/>
  <c r="E26" i="59"/>
  <c r="U26" i="59"/>
  <c r="AB24" i="59"/>
  <c r="Q52" i="59"/>
  <c r="Q51" i="59"/>
  <c r="X24" i="59"/>
  <c r="U10" i="59"/>
  <c r="F13" i="59"/>
  <c r="F12" i="59"/>
  <c r="Y9" i="59"/>
  <c r="Z9" i="59"/>
  <c r="AB9" i="59"/>
  <c r="Y7" i="59"/>
  <c r="Z7" i="59"/>
  <c r="Y8" i="59"/>
  <c r="Z8" i="59"/>
  <c r="AB7" i="59"/>
  <c r="F9" i="59"/>
  <c r="F8" i="59"/>
  <c r="F7" i="59"/>
  <c r="F6" i="59"/>
  <c r="V10" i="59"/>
  <c r="D14" i="59"/>
  <c r="T14" i="59"/>
  <c r="C13" i="59"/>
  <c r="Y10" i="59"/>
  <c r="Z10" i="59"/>
  <c r="C10" i="59"/>
  <c r="AB10" i="59"/>
  <c r="AA8" i="59"/>
  <c r="AA9" i="59"/>
  <c r="AA7" i="59"/>
  <c r="X6" i="59"/>
  <c r="X5" i="59"/>
  <c r="AA6" i="59"/>
  <c r="AB5" i="59"/>
  <c r="AB8" i="59"/>
  <c r="Y6" i="59"/>
  <c r="Z6" i="59"/>
  <c r="AB6" i="59"/>
  <c r="Y5" i="59"/>
  <c r="Z5" i="59"/>
  <c r="AA5" i="59"/>
  <c r="W43" i="21"/>
  <c r="AA43" i="21"/>
  <c r="G8" i="1"/>
  <c r="AC26" i="21"/>
  <c r="U26" i="21"/>
  <c r="S42" i="21"/>
  <c r="AC46" i="21"/>
  <c r="S46" i="21"/>
  <c r="S39" i="21"/>
  <c r="K12" i="1"/>
  <c r="M12" i="1"/>
  <c r="O12" i="1"/>
  <c r="P12" i="1"/>
  <c r="L16" i="4"/>
  <c r="K17" i="4"/>
  <c r="A22" i="51"/>
  <c r="B16" i="63"/>
  <c r="F10" i="1"/>
  <c r="AA32" i="21"/>
  <c r="W39" i="21"/>
  <c r="U39" i="21"/>
  <c r="U43" i="21"/>
  <c r="AC40" i="21"/>
  <c r="AB40" i="21"/>
  <c r="AC38" i="21"/>
  <c r="U38" i="21"/>
  <c r="AA38" i="21"/>
  <c r="U42" i="21"/>
  <c r="AC42" i="21"/>
  <c r="AC36" i="21"/>
  <c r="AA36" i="21"/>
  <c r="AB36" i="21"/>
  <c r="U35" i="21"/>
  <c r="AC35" i="21"/>
  <c r="AA35" i="21"/>
  <c r="AC34" i="21"/>
  <c r="S34" i="21"/>
  <c r="AB34" i="21"/>
  <c r="AB32" i="21"/>
  <c r="W32" i="21"/>
  <c r="S27" i="21"/>
  <c r="U27" i="21"/>
  <c r="S26" i="21"/>
  <c r="AC23" i="21"/>
  <c r="U23" i="21"/>
  <c r="S23" i="21"/>
  <c r="S21" i="21"/>
  <c r="F81" i="21"/>
  <c r="G81" i="21"/>
  <c r="H19" i="21"/>
  <c r="F19" i="21"/>
  <c r="AA19" i="21"/>
  <c r="J19" i="21"/>
  <c r="W19" i="21"/>
  <c r="H17" i="21"/>
  <c r="AB17" i="21"/>
  <c r="F79" i="21"/>
  <c r="G79" i="21"/>
  <c r="F17" i="21"/>
  <c r="S17" i="21"/>
  <c r="J17" i="21"/>
  <c r="AC17" i="21"/>
  <c r="F15" i="21"/>
  <c r="S15" i="21"/>
  <c r="H15" i="21"/>
  <c r="U15" i="21"/>
  <c r="F77" i="21"/>
  <c r="G77" i="21"/>
  <c r="J15" i="21"/>
  <c r="AC15" i="21"/>
  <c r="S19" i="21"/>
  <c r="W17" i="21"/>
  <c r="AB15" i="21"/>
  <c r="AA15" i="21"/>
  <c r="W10" i="21"/>
  <c r="AB10" i="21"/>
  <c r="S10" i="21"/>
  <c r="W9" i="21"/>
  <c r="AA9" i="21"/>
  <c r="U9" i="21"/>
  <c r="S8" i="21"/>
  <c r="F29" i="6"/>
  <c r="A18" i="64"/>
  <c r="B74" i="63"/>
  <c r="C53" i="10"/>
  <c r="A25" i="64"/>
  <c r="A18" i="51"/>
  <c r="B14" i="63"/>
  <c r="L5" i="54"/>
  <c r="B39" i="63"/>
  <c r="K5" i="54"/>
  <c r="T41" i="4"/>
  <c r="A17" i="64"/>
  <c r="A11" i="55"/>
  <c r="B62" i="63"/>
  <c r="A2" i="55"/>
  <c r="B55" i="63"/>
  <c r="M20" i="15"/>
  <c r="M22" i="44"/>
  <c r="F36" i="44"/>
  <c r="S40" i="39"/>
  <c r="E5" i="6"/>
  <c r="BA5" i="3"/>
  <c r="E8" i="6"/>
  <c r="E53" i="40"/>
  <c r="P75" i="15"/>
  <c r="A30" i="51"/>
  <c r="B22" i="63"/>
  <c r="A30" i="64"/>
  <c r="S29" i="39"/>
  <c r="AB25" i="39"/>
  <c r="S25" i="39"/>
  <c r="W25" i="39"/>
  <c r="W27" i="39"/>
  <c r="S27" i="39"/>
  <c r="AB27" i="39"/>
  <c r="F19" i="39"/>
  <c r="S19" i="39"/>
  <c r="J19" i="39"/>
  <c r="W19" i="39"/>
  <c r="F93" i="39"/>
  <c r="G93" i="39"/>
  <c r="H19" i="39"/>
  <c r="AB19" i="39"/>
  <c r="U19" i="39"/>
  <c r="AA19" i="39"/>
  <c r="F91" i="39"/>
  <c r="H17" i="39"/>
  <c r="U17" i="39"/>
  <c r="F17" i="39"/>
  <c r="AB17" i="39"/>
  <c r="W29" i="39"/>
  <c r="W23" i="39"/>
  <c r="U23" i="39"/>
  <c r="S23" i="39"/>
  <c r="AB29" i="39"/>
  <c r="F109" i="39"/>
  <c r="G109" i="39"/>
  <c r="J34" i="39"/>
  <c r="AC34" i="39"/>
  <c r="W31" i="39"/>
  <c r="S31" i="39"/>
  <c r="S41" i="39"/>
  <c r="W41" i="39"/>
  <c r="U41" i="39"/>
  <c r="H16" i="1"/>
  <c r="BL5" i="3"/>
  <c r="AZ13" i="3"/>
  <c r="AZ5" i="3"/>
  <c r="E3" i="6"/>
  <c r="E29" i="6"/>
  <c r="F30" i="6"/>
  <c r="B54" i="46"/>
  <c r="D23" i="15"/>
  <c r="I14" i="66"/>
  <c r="B8" i="66"/>
  <c r="E14" i="52"/>
  <c r="G30" i="6"/>
  <c r="G31" i="6"/>
  <c r="C30" i="44"/>
  <c r="C15" i="43"/>
  <c r="C27" i="43"/>
  <c r="C31" i="43"/>
  <c r="W7" i="21"/>
  <c r="H51" i="46"/>
  <c r="X7" i="46"/>
  <c r="E17" i="46"/>
  <c r="N17" i="46"/>
  <c r="O17" i="46"/>
  <c r="M17" i="46"/>
  <c r="L17" i="46"/>
  <c r="E28" i="6"/>
  <c r="O7" i="1"/>
  <c r="P7" i="1"/>
  <c r="O11" i="1"/>
  <c r="P11" i="1"/>
  <c r="O13" i="1"/>
  <c r="P13" i="1"/>
  <c r="O9" i="1"/>
  <c r="P9" i="1"/>
  <c r="E14" i="6"/>
  <c r="E15" i="6"/>
  <c r="E13" i="6"/>
  <c r="E12" i="6"/>
  <c r="E10" i="6"/>
  <c r="E11" i="6"/>
  <c r="AP7" i="1"/>
  <c r="G13" i="1"/>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5" i="46"/>
  <c r="P24" i="46"/>
  <c r="B68" i="40"/>
  <c r="E22" i="52"/>
  <c r="B22" i="52"/>
  <c r="B10" i="52"/>
  <c r="B11" i="52"/>
  <c r="B4" i="52"/>
  <c r="E9" i="52"/>
  <c r="C4" i="4"/>
  <c r="B20" i="55"/>
  <c r="B70" i="63"/>
  <c r="C8" i="44"/>
  <c r="F63" i="15"/>
  <c r="F67" i="15"/>
  <c r="Q72" i="15"/>
  <c r="Q73" i="44"/>
  <c r="F64" i="15"/>
  <c r="L60" i="44"/>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M19" i="44"/>
  <c r="F33" i="44"/>
  <c r="M17" i="15"/>
  <c r="F31" i="15"/>
  <c r="F58" i="15"/>
  <c r="J6" i="65"/>
  <c r="J3" i="65"/>
  <c r="J5" i="65"/>
  <c r="C18" i="44"/>
  <c r="L49" i="44"/>
  <c r="I3" i="65"/>
  <c r="J4" i="65"/>
  <c r="I4" i="65"/>
  <c r="J7" i="65"/>
  <c r="I7" i="65"/>
  <c r="AB12" i="21"/>
  <c r="U12" i="21"/>
  <c r="AC28" i="21"/>
  <c r="W28" i="21"/>
  <c r="W30" i="21"/>
  <c r="AC30" i="21"/>
  <c r="AA30" i="21"/>
  <c r="S30" i="21"/>
  <c r="J54" i="44"/>
  <c r="Q54" i="44"/>
  <c r="J58" i="44"/>
  <c r="J56" i="44"/>
  <c r="J59" i="44"/>
  <c r="Q52" i="44"/>
  <c r="J61" i="44"/>
  <c r="Q50" i="44"/>
  <c r="J60" i="44"/>
  <c r="I55" i="44"/>
  <c r="L57" i="44"/>
  <c r="L59" i="44"/>
  <c r="Q75" i="44"/>
  <c r="AC19" i="39"/>
  <c r="U17" i="21"/>
  <c r="C9" i="59"/>
  <c r="D10" i="59"/>
  <c r="T10" i="59"/>
  <c r="C12" i="59"/>
  <c r="D12" i="59"/>
  <c r="D13" i="59"/>
  <c r="F5" i="59"/>
  <c r="V6" i="59"/>
  <c r="AB24" i="36"/>
  <c r="U24" i="36"/>
  <c r="AA9" i="36"/>
  <c r="S9" i="36"/>
  <c r="AA9" i="33"/>
  <c r="S9" i="33"/>
  <c r="C21" i="59"/>
  <c r="D20" i="59"/>
  <c r="U14" i="59"/>
  <c r="E13" i="59"/>
  <c r="E12" i="59"/>
  <c r="B13" i="59"/>
  <c r="B12" i="59"/>
  <c r="S14" i="59"/>
  <c r="AB9" i="36"/>
  <c r="U9" i="36"/>
  <c r="AB9" i="33"/>
  <c r="U9" i="33"/>
  <c r="Q16" i="1"/>
  <c r="D12" i="11"/>
  <c r="C12" i="11"/>
  <c r="AP10" i="1"/>
  <c r="AP16" i="1"/>
  <c r="F22" i="11"/>
  <c r="G10" i="1"/>
  <c r="AA17" i="21"/>
  <c r="W15" i="21"/>
  <c r="AB19" i="21"/>
  <c r="U19" i="21"/>
  <c r="AC19" i="21"/>
  <c r="G17" i="46"/>
  <c r="C16" i="46"/>
  <c r="C5" i="46"/>
  <c r="A25" i="51"/>
  <c r="B18" i="63"/>
  <c r="A17" i="51"/>
  <c r="B13" i="63"/>
  <c r="B38" i="63"/>
  <c r="A3" i="55"/>
  <c r="B56" i="63"/>
  <c r="E58" i="39"/>
  <c r="F27" i="6"/>
  <c r="D16" i="43"/>
  <c r="C16" i="43"/>
  <c r="K15" i="1"/>
  <c r="L19" i="6"/>
  <c r="L27" i="6"/>
  <c r="AA17" i="39"/>
  <c r="S17" i="39"/>
  <c r="G91" i="39"/>
  <c r="J17" i="39"/>
  <c r="W34" i="39"/>
  <c r="H109" i="39"/>
  <c r="I109" i="39"/>
  <c r="J109" i="39"/>
  <c r="K109" i="39"/>
  <c r="L109" i="39"/>
  <c r="M109" i="39"/>
  <c r="H34" i="39"/>
  <c r="F34" i="39"/>
  <c r="D46" i="9"/>
  <c r="E6" i="6"/>
  <c r="C21" i="4"/>
  <c r="O5" i="54"/>
  <c r="B45" i="63"/>
  <c r="D45" i="9"/>
  <c r="D10" i="11"/>
  <c r="L38" i="9"/>
  <c r="B14" i="66"/>
  <c r="B5" i="59"/>
  <c r="J1" i="65"/>
  <c r="E20" i="46"/>
  <c r="P28" i="46"/>
  <c r="F18" i="11"/>
  <c r="C18" i="11"/>
  <c r="D5" i="46"/>
  <c r="E16" i="6"/>
  <c r="E60" i="40"/>
  <c r="E65" i="39"/>
  <c r="E61" i="40"/>
  <c r="E66" i="39"/>
  <c r="E63" i="39"/>
  <c r="E58" i="40"/>
  <c r="E64" i="39"/>
  <c r="E59" i="40"/>
  <c r="E67" i="39"/>
  <c r="E62" i="40"/>
  <c r="K14" i="1"/>
  <c r="E30" i="6"/>
  <c r="AB7" i="33"/>
  <c r="T48" i="33"/>
  <c r="G48" i="33"/>
  <c r="U7" i="33"/>
  <c r="F48" i="35"/>
  <c r="E46" i="36"/>
  <c r="H65" i="40"/>
  <c r="G67" i="40"/>
  <c r="AA7" i="33"/>
  <c r="R48" i="33"/>
  <c r="S7" i="33"/>
  <c r="E59" i="34"/>
  <c r="F59" i="34"/>
  <c r="G59" i="34"/>
  <c r="H59" i="34"/>
  <c r="I59" i="34"/>
  <c r="J59" i="34"/>
  <c r="K59" i="34"/>
  <c r="L59" i="34"/>
  <c r="M59" i="34"/>
  <c r="N59" i="34"/>
  <c r="O59" i="34"/>
  <c r="F52" i="37"/>
  <c r="C7" i="46"/>
  <c r="C48" i="15"/>
  <c r="Q61" i="15"/>
  <c r="Q74" i="15"/>
  <c r="Q76" i="44"/>
  <c r="Q63" i="44"/>
  <c r="F13" i="44"/>
  <c r="C12" i="44"/>
  <c r="C7" i="44"/>
  <c r="M13" i="44"/>
  <c r="J12" i="44"/>
  <c r="J7" i="44"/>
  <c r="Q53" i="15"/>
  <c r="Q75" i="15"/>
  <c r="Q62" i="15"/>
  <c r="AE7" i="1"/>
  <c r="AE9" i="1"/>
  <c r="E3" i="65"/>
  <c r="F46" i="44"/>
  <c r="F1" i="44"/>
  <c r="Q62" i="44"/>
  <c r="U7" i="21"/>
  <c r="W7" i="79"/>
  <c r="W7" i="78"/>
  <c r="S7" i="21"/>
  <c r="D21" i="59"/>
  <c r="C22" i="59"/>
  <c r="C8" i="59"/>
  <c r="D9" i="59"/>
  <c r="F24" i="43"/>
  <c r="C26" i="43"/>
  <c r="D24" i="43"/>
  <c r="O28" i="46"/>
  <c r="G20" i="46"/>
  <c r="C20" i="46"/>
  <c r="E27" i="6"/>
  <c r="F31" i="6"/>
  <c r="W17" i="39"/>
  <c r="AC17" i="39"/>
  <c r="AA34" i="39"/>
  <c r="S34" i="39"/>
  <c r="AB34" i="39"/>
  <c r="U34" i="39"/>
  <c r="D13" i="11"/>
  <c r="C13" i="11"/>
  <c r="M28" i="46"/>
  <c r="N28" i="46"/>
  <c r="F17" i="11"/>
  <c r="C17" i="11"/>
  <c r="C19" i="11"/>
  <c r="C20" i="11"/>
  <c r="C21" i="11"/>
  <c r="C22" i="11"/>
  <c r="C23" i="11"/>
  <c r="B2" i="11"/>
  <c r="E41" i="46"/>
  <c r="C41" i="46"/>
  <c r="K16" i="1"/>
  <c r="M14" i="1"/>
  <c r="E68" i="39"/>
  <c r="G52" i="37"/>
  <c r="H7" i="34"/>
  <c r="J7" i="34"/>
  <c r="R49" i="33"/>
  <c r="E48" i="33"/>
  <c r="G48" i="35"/>
  <c r="G52" i="33"/>
  <c r="H52" i="33"/>
  <c r="G53" i="33"/>
  <c r="H53" i="33"/>
  <c r="I65" i="40"/>
  <c r="H67" i="40"/>
  <c r="F46" i="36"/>
  <c r="G46" i="36"/>
  <c r="H46" i="36"/>
  <c r="I46" i="36"/>
  <c r="J46" i="36"/>
  <c r="K46" i="36"/>
  <c r="L46" i="36"/>
  <c r="M46" i="36"/>
  <c r="N46" i="36"/>
  <c r="O46" i="36"/>
  <c r="F7" i="36"/>
  <c r="F7" i="34"/>
  <c r="J28" i="44"/>
  <c r="J31" i="44"/>
  <c r="J26" i="44"/>
  <c r="J20" i="44"/>
  <c r="C34" i="44"/>
  <c r="C40" i="44"/>
  <c r="C52" i="15"/>
  <c r="C47" i="15"/>
  <c r="J24" i="15"/>
  <c r="J18" i="15"/>
  <c r="L52" i="44"/>
  <c r="S7" i="78"/>
  <c r="T22" i="59"/>
  <c r="D22" i="59"/>
  <c r="S7" i="79"/>
  <c r="D8" i="59"/>
  <c r="C7" i="59"/>
  <c r="U7" i="78"/>
  <c r="U7" i="79"/>
  <c r="K24" i="6"/>
  <c r="M24" i="6"/>
  <c r="I24" i="6"/>
  <c r="S24" i="6"/>
  <c r="K25" i="6"/>
  <c r="M25" i="6"/>
  <c r="I25" i="6"/>
  <c r="S25" i="6"/>
  <c r="K20" i="6"/>
  <c r="K26" i="6"/>
  <c r="M26" i="6"/>
  <c r="I26" i="6"/>
  <c r="S26" i="6"/>
  <c r="K22" i="6"/>
  <c r="K23" i="6"/>
  <c r="K21" i="6"/>
  <c r="K19" i="6"/>
  <c r="E31" i="6"/>
  <c r="F68" i="15"/>
  <c r="F21" i="43"/>
  <c r="C23" i="43"/>
  <c r="D21" i="43"/>
  <c r="F26" i="44"/>
  <c r="C26" i="44"/>
  <c r="M16" i="1"/>
  <c r="O14" i="1"/>
  <c r="O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B3" i="11"/>
  <c r="C59" i="15"/>
  <c r="C65" i="15"/>
  <c r="Q49" i="44"/>
  <c r="Q55" i="44"/>
  <c r="Q67" i="44"/>
  <c r="Q58" i="44"/>
  <c r="C6" i="59"/>
  <c r="D7" i="59"/>
  <c r="S12" i="1"/>
  <c r="S11" i="1"/>
  <c r="S13" i="1"/>
  <c r="M23" i="6"/>
  <c r="I23" i="6"/>
  <c r="S23" i="6"/>
  <c r="S10" i="1"/>
  <c r="S8" i="1"/>
  <c r="M21" i="6"/>
  <c r="I21" i="6"/>
  <c r="S21" i="6"/>
  <c r="M22" i="6"/>
  <c r="I22" i="6"/>
  <c r="S22" i="6"/>
  <c r="S9" i="1"/>
  <c r="S7" i="1"/>
  <c r="M20" i="6"/>
  <c r="I20" i="6"/>
  <c r="S20" i="6"/>
  <c r="S6" i="1"/>
  <c r="M19" i="6"/>
  <c r="K27" i="6"/>
  <c r="P14" i="1"/>
  <c r="P16" i="1"/>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C19" i="44"/>
  <c r="T6" i="59"/>
  <c r="C5" i="59"/>
  <c r="D5" i="59"/>
  <c r="D6" i="59"/>
  <c r="M20" i="46"/>
  <c r="C19" i="46"/>
  <c r="M27" i="6"/>
  <c r="I19" i="6"/>
  <c r="S16" i="1"/>
  <c r="T8" i="1"/>
  <c r="C14" i="43"/>
  <c r="C17" i="43"/>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C34" i="46"/>
  <c r="C37" i="46"/>
  <c r="C35" i="46"/>
  <c r="T16" i="46"/>
  <c r="V16" i="46"/>
  <c r="T14" i="46"/>
  <c r="V14" i="46"/>
  <c r="T8" i="46"/>
  <c r="V8" i="46"/>
  <c r="T11" i="46"/>
  <c r="V11" i="46"/>
  <c r="C39" i="46"/>
  <c r="C33" i="46"/>
  <c r="C36" i="46"/>
  <c r="C38" i="46"/>
  <c r="T9" i="46"/>
  <c r="V9" i="46"/>
  <c r="T15" i="46"/>
  <c r="V15" i="46"/>
  <c r="T12" i="46"/>
  <c r="V12" i="46"/>
  <c r="T13" i="46"/>
  <c r="V13" i="46"/>
  <c r="T10" i="46"/>
  <c r="V10" i="46"/>
  <c r="T11" i="1"/>
  <c r="T10" i="1"/>
  <c r="T13" i="1"/>
  <c r="T12" i="1"/>
  <c r="T9" i="1"/>
  <c r="T7" i="1"/>
  <c r="T6" i="1"/>
  <c r="I27" i="6"/>
  <c r="S19" i="6"/>
  <c r="S27" i="6"/>
  <c r="C18" i="43"/>
  <c r="C19" i="43"/>
  <c r="C25" i="43"/>
  <c r="C24" i="43"/>
  <c r="S9" i="39"/>
  <c r="L67" i="40"/>
  <c r="M65" i="40"/>
  <c r="H9" i="39"/>
  <c r="J9" i="39"/>
  <c r="K48" i="35"/>
  <c r="L48" i="35"/>
  <c r="M48" i="35"/>
  <c r="N48" i="35"/>
  <c r="O48" i="35"/>
  <c r="J7" i="35"/>
  <c r="K52" i="37"/>
  <c r="C16" i="44"/>
  <c r="G36" i="46"/>
  <c r="I36" i="46"/>
  <c r="E36" i="46"/>
  <c r="G39" i="46"/>
  <c r="I39" i="46"/>
  <c r="E39" i="46"/>
  <c r="G37" i="46"/>
  <c r="I37" i="46"/>
  <c r="E37" i="46"/>
  <c r="E38" i="46"/>
  <c r="G38" i="46"/>
  <c r="I38" i="46"/>
  <c r="G33" i="46"/>
  <c r="I33" i="46"/>
  <c r="E33" i="46"/>
  <c r="E35" i="46"/>
  <c r="G35" i="46"/>
  <c r="I35" i="46"/>
  <c r="E34" i="46"/>
  <c r="G34" i="46"/>
  <c r="I34" i="46"/>
  <c r="T16" i="1"/>
  <c r="C17" i="44"/>
  <c r="C20" i="44"/>
  <c r="C22" i="43"/>
  <c r="C21" i="43"/>
  <c r="C28" i="43"/>
  <c r="C30" i="43"/>
  <c r="C32" i="43"/>
  <c r="B2" i="43"/>
  <c r="AC7" i="35"/>
  <c r="V38" i="35"/>
  <c r="I38" i="35"/>
  <c r="W7" i="35"/>
  <c r="AC9" i="39"/>
  <c r="W9" i="39"/>
  <c r="N65" i="40"/>
  <c r="N67" i="40"/>
  <c r="M67" i="40"/>
  <c r="L52" i="37"/>
  <c r="F7" i="35"/>
  <c r="H7" i="35"/>
  <c r="AB9" i="39"/>
  <c r="U9" i="39"/>
  <c r="C21" i="44"/>
  <c r="C22" i="44"/>
  <c r="C25" i="44"/>
  <c r="B3" i="43"/>
  <c r="AB7" i="35"/>
  <c r="T38" i="35"/>
  <c r="G38" i="35"/>
  <c r="U7" i="35"/>
  <c r="AA7" i="35"/>
  <c r="R38" i="35"/>
  <c r="S7" i="35"/>
  <c r="M52" i="37"/>
  <c r="J9" i="40"/>
  <c r="F9" i="40"/>
  <c r="H9" i="40"/>
  <c r="I42" i="35"/>
  <c r="J42" i="35"/>
  <c r="C28" i="44"/>
  <c r="C31" i="44"/>
  <c r="L57" i="15"/>
  <c r="L60" i="15"/>
  <c r="Q58" i="15"/>
  <c r="S9" i="40"/>
  <c r="AA9" i="40"/>
  <c r="R44" i="40"/>
  <c r="U9" i="40"/>
  <c r="AB9" i="40"/>
  <c r="T44" i="40"/>
  <c r="G44" i="40"/>
  <c r="W9" i="40"/>
  <c r="AC9" i="40"/>
  <c r="V44" i="40"/>
  <c r="I44" i="40"/>
  <c r="N52" i="37"/>
  <c r="O52" i="37"/>
  <c r="F7" i="37"/>
  <c r="R39" i="35"/>
  <c r="E38" i="35"/>
  <c r="G42" i="35"/>
  <c r="H42" i="35"/>
  <c r="G43" i="35"/>
  <c r="H43" i="35"/>
  <c r="J21" i="44"/>
  <c r="C38" i="44"/>
  <c r="J16" i="44"/>
  <c r="Q51" i="44"/>
  <c r="C35" i="44"/>
  <c r="C15" i="44"/>
  <c r="J59" i="15"/>
  <c r="J60" i="15"/>
  <c r="Q49" i="15"/>
  <c r="Q50" i="15"/>
  <c r="J14" i="15"/>
  <c r="C56" i="15"/>
  <c r="J19" i="15"/>
  <c r="Q67" i="15"/>
  <c r="AA7" i="37"/>
  <c r="R42" i="37"/>
  <c r="S7" i="37"/>
  <c r="I48" i="40"/>
  <c r="J48" i="40"/>
  <c r="G48" i="40"/>
  <c r="H48" i="40"/>
  <c r="G49" i="40"/>
  <c r="H49" i="40"/>
  <c r="E44" i="40"/>
  <c r="I49" i="40"/>
  <c r="J49" i="40"/>
  <c r="R45" i="40"/>
  <c r="E43" i="35"/>
  <c r="F43" i="35"/>
  <c r="E42" i="35"/>
  <c r="F42" i="35"/>
  <c r="I43" i="35"/>
  <c r="J43" i="35"/>
  <c r="C39" i="35"/>
  <c r="B3" i="35"/>
  <c r="B2" i="35"/>
  <c r="C38" i="35"/>
  <c r="H7" i="37"/>
  <c r="J7" i="37"/>
  <c r="J35" i="15"/>
  <c r="C55" i="15"/>
  <c r="C64" i="15"/>
  <c r="Q71" i="15"/>
  <c r="C60" i="15"/>
  <c r="C63" i="15"/>
  <c r="J13" i="15"/>
  <c r="J23" i="15"/>
  <c r="J22" i="15"/>
  <c r="C39" i="44"/>
  <c r="Q72" i="44"/>
  <c r="C43" i="44"/>
  <c r="J24" i="44"/>
  <c r="J15" i="44"/>
  <c r="J25" i="44"/>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B54" i="40"/>
  <c r="F54" i="40"/>
  <c r="B56" i="40"/>
  <c r="F56" i="40"/>
  <c r="B55" i="40"/>
  <c r="F55" i="40"/>
  <c r="B60" i="40"/>
  <c r="F60" i="40"/>
  <c r="B62" i="40"/>
  <c r="F62" i="40"/>
  <c r="G3" i="46"/>
  <c r="C23" i="46"/>
  <c r="C21" i="46"/>
  <c r="C29" i="46"/>
  <c r="E29" i="46"/>
  <c r="C26" i="46"/>
  <c r="B2" i="46"/>
  <c r="D4" i="46"/>
  <c r="B7" i="67"/>
  <c r="D101" i="46"/>
  <c r="D102" i="46"/>
  <c r="G22" i="46"/>
  <c r="D105" i="46"/>
  <c r="F22" i="46"/>
  <c r="E22" i="46"/>
  <c r="B113" i="46"/>
  <c r="B117" i="46"/>
  <c r="C117" i="46"/>
  <c r="C101" i="46"/>
  <c r="C106" i="46"/>
  <c r="C30" i="46"/>
  <c r="E30" i="46"/>
  <c r="C27" i="46"/>
  <c r="B2" i="67"/>
  <c r="B118" i="46"/>
  <c r="C118" i="46"/>
  <c r="E101" i="46"/>
  <c r="E102" i="46"/>
  <c r="F101" i="46"/>
  <c r="F102" i="46"/>
  <c r="B116" i="46"/>
  <c r="C116" i="46"/>
  <c r="C104" i="46"/>
  <c r="D109" i="46"/>
  <c r="C109" i="46"/>
  <c r="D104" i="46"/>
  <c r="D103" i="46"/>
  <c r="D106" i="46"/>
  <c r="D107" i="46"/>
  <c r="F105" i="46"/>
  <c r="E105" i="46"/>
  <c r="F107" i="46"/>
  <c r="F103" i="46"/>
  <c r="E107" i="46"/>
  <c r="E103" i="46"/>
  <c r="F109" i="46"/>
  <c r="F106" i="46"/>
  <c r="F104" i="46"/>
  <c r="E109" i="46"/>
  <c r="E106" i="46"/>
  <c r="E104" i="46"/>
  <c r="B115" i="46"/>
  <c r="C115" i="46"/>
  <c r="I115" i="46"/>
  <c r="J115" i="46"/>
  <c r="K115" i="46"/>
  <c r="L115" i="46"/>
  <c r="M115" i="46"/>
  <c r="D116" i="46"/>
  <c r="E116" i="46"/>
  <c r="F116" i="46"/>
  <c r="G116" i="46"/>
  <c r="H116" i="46"/>
  <c r="D117" i="46"/>
  <c r="E117" i="46"/>
  <c r="F117" i="46"/>
  <c r="G117" i="46"/>
  <c r="H117" i="46"/>
  <c r="G118" i="46"/>
  <c r="H118" i="46"/>
  <c r="D115" i="46"/>
  <c r="E115" i="46"/>
  <c r="F115" i="46"/>
  <c r="G115" i="46"/>
  <c r="H115" i="46"/>
  <c r="I116" i="46"/>
  <c r="J116" i="46"/>
  <c r="K116" i="46"/>
  <c r="L116" i="46"/>
  <c r="M116" i="46"/>
  <c r="I117" i="46"/>
  <c r="J117" i="46"/>
  <c r="K117" i="46"/>
  <c r="L117" i="46"/>
  <c r="M117" i="46"/>
  <c r="D118" i="46"/>
  <c r="E118" i="46"/>
  <c r="F118" i="46"/>
  <c r="I118" i="46"/>
  <c r="J118" i="46"/>
  <c r="K118" i="46"/>
  <c r="L118" i="46"/>
  <c r="M118" i="46"/>
  <c r="C102" i="46"/>
  <c r="S5" i="46"/>
  <c r="T5" i="46"/>
  <c r="V5" i="46"/>
  <c r="C105" i="46"/>
  <c r="C103" i="46"/>
  <c r="C107" i="46"/>
  <c r="B4" i="46"/>
  <c r="B3" i="46"/>
  <c r="S3" i="46"/>
  <c r="T3" i="46"/>
  <c r="V3" i="46"/>
  <c r="J101" i="46"/>
  <c r="J103" i="46"/>
  <c r="G101" i="46"/>
  <c r="G105" i="46"/>
  <c r="L101" i="46"/>
  <c r="L109" i="46"/>
  <c r="K101" i="46"/>
  <c r="K104" i="46"/>
  <c r="AB11" i="46"/>
  <c r="AB13" i="46"/>
  <c r="AD11" i="46"/>
  <c r="AD13" i="46"/>
  <c r="N101" i="46"/>
  <c r="N102" i="46"/>
  <c r="AJ11" i="46"/>
  <c r="AJ13" i="46"/>
  <c r="H101" i="46"/>
  <c r="H106" i="46"/>
  <c r="I101" i="46"/>
  <c r="I103" i="46"/>
  <c r="M101" i="46"/>
  <c r="M106" i="46"/>
  <c r="AH11" i="46"/>
  <c r="AH13" i="46"/>
  <c r="AE11" i="46"/>
  <c r="AE13" i="46"/>
  <c r="AI11" i="46"/>
  <c r="AI13" i="46"/>
  <c r="AG11" i="46"/>
  <c r="AG13" i="46"/>
  <c r="AC11" i="46"/>
  <c r="AC13" i="46"/>
  <c r="J22" i="46"/>
  <c r="H22" i="46"/>
  <c r="D22" i="46"/>
  <c r="AF11" i="46"/>
  <c r="AF13" i="46"/>
  <c r="AA11" i="46"/>
  <c r="AA13" i="46"/>
  <c r="Z11" i="46"/>
  <c r="Z13" i="46"/>
  <c r="Z7" i="46"/>
  <c r="N104" i="45"/>
  <c r="Y11" i="46"/>
  <c r="Y13" i="46"/>
  <c r="I5" i="3"/>
  <c r="H18" i="3"/>
  <c r="H5" i="3"/>
  <c r="F7" i="67"/>
  <c r="E7" i="67"/>
  <c r="S7" i="46"/>
  <c r="T7" i="46"/>
  <c r="V7" i="46"/>
  <c r="S2" i="46"/>
  <c r="T2" i="46"/>
  <c r="V2" i="46"/>
  <c r="S4" i="46"/>
  <c r="T4" i="46"/>
  <c r="V4" i="46"/>
  <c r="S6" i="46"/>
  <c r="T6" i="46"/>
  <c r="V6" i="46"/>
  <c r="J104" i="46"/>
  <c r="M102" i="46"/>
  <c r="I109" i="46"/>
  <c r="H103" i="46"/>
  <c r="M109" i="46"/>
  <c r="M103" i="46"/>
  <c r="I102" i="46"/>
  <c r="I107" i="46"/>
  <c r="H105" i="46"/>
  <c r="H109" i="46"/>
  <c r="I106" i="46"/>
  <c r="I105" i="46"/>
  <c r="I104" i="46"/>
  <c r="H102" i="46"/>
  <c r="H104" i="46"/>
  <c r="H107" i="46"/>
  <c r="N104" i="46"/>
  <c r="D113" i="46"/>
  <c r="M107" i="46"/>
  <c r="M104" i="46"/>
  <c r="M105" i="46"/>
  <c r="N103" i="46"/>
  <c r="K109" i="46"/>
  <c r="L104" i="46"/>
  <c r="J109" i="46"/>
  <c r="N106" i="46"/>
  <c r="K106" i="46"/>
  <c r="K107" i="46"/>
  <c r="L106" i="46"/>
  <c r="L102" i="46"/>
  <c r="G104" i="46"/>
  <c r="G102" i="46"/>
  <c r="N105" i="46"/>
  <c r="N109" i="46"/>
  <c r="N107" i="46"/>
  <c r="K103" i="46"/>
  <c r="K105" i="46"/>
  <c r="K102" i="46"/>
  <c r="L105" i="46"/>
  <c r="L107" i="46"/>
  <c r="L103" i="46"/>
  <c r="G106" i="46"/>
  <c r="G107" i="46"/>
  <c r="G103" i="46"/>
  <c r="J106" i="46"/>
  <c r="J105" i="46"/>
  <c r="J107" i="46"/>
  <c r="G109" i="46"/>
  <c r="J102" i="46"/>
  <c r="E4" i="67"/>
  <c r="B4" i="67"/>
  <c r="E3" i="67"/>
  <c r="B3" i="67"/>
  <c r="G18" i="3"/>
  <c r="I4" i="6"/>
  <c r="G5" i="3"/>
  <c r="C33" i="79"/>
  <c r="C33" i="78"/>
  <c r="B3" i="3"/>
  <c r="K6" i="3"/>
  <c r="C33" i="21"/>
  <c r="I3" i="6"/>
  <c r="E40" i="3"/>
  <c r="E72" i="3"/>
  <c r="E88" i="3"/>
  <c r="E102" i="3"/>
  <c r="E110" i="3"/>
  <c r="E118" i="3"/>
  <c r="E126" i="3"/>
  <c r="E134" i="3"/>
  <c r="E142" i="3"/>
  <c r="E150" i="3"/>
  <c r="E156" i="3"/>
  <c r="E158" i="3"/>
  <c r="E160" i="3"/>
  <c r="E162" i="3"/>
  <c r="E164" i="3"/>
  <c r="E166" i="3"/>
  <c r="E168" i="3"/>
  <c r="E170" i="3"/>
  <c r="E172" i="3"/>
  <c r="E176" i="3"/>
  <c r="E180" i="3"/>
  <c r="E184" i="3"/>
  <c r="E188" i="3"/>
  <c r="E192" i="3"/>
  <c r="E196" i="3"/>
  <c r="E200" i="3"/>
  <c r="E204" i="3"/>
  <c r="E208" i="3"/>
  <c r="E212" i="3"/>
  <c r="E216" i="3"/>
  <c r="E220" i="3"/>
  <c r="E224" i="3"/>
  <c r="E228" i="3"/>
  <c r="E232" i="3"/>
  <c r="E236" i="3"/>
  <c r="E240" i="3"/>
  <c r="E244" i="3"/>
  <c r="E248" i="3"/>
  <c r="E252" i="3"/>
  <c r="E254" i="3"/>
  <c r="E256" i="3"/>
  <c r="E258" i="3"/>
  <c r="E260" i="3"/>
  <c r="E262" i="3"/>
  <c r="E264" i="3"/>
  <c r="E266" i="3"/>
  <c r="E268" i="3"/>
  <c r="E270" i="3"/>
  <c r="E272" i="3"/>
  <c r="E274" i="3"/>
  <c r="E276" i="3"/>
  <c r="E278"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552" i="3"/>
  <c r="E555" i="3"/>
  <c r="E557" i="3"/>
  <c r="E559" i="3"/>
  <c r="E561" i="3"/>
  <c r="E563" i="3"/>
  <c r="E565" i="3"/>
  <c r="E567" i="3"/>
  <c r="E569" i="3"/>
  <c r="E571" i="3"/>
  <c r="E572"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3" i="3"/>
  <c r="E554" i="3"/>
  <c r="E556" i="3"/>
  <c r="E558" i="3"/>
  <c r="E560" i="3"/>
  <c r="E562" i="3"/>
  <c r="E564" i="3"/>
  <c r="E566" i="3"/>
  <c r="E568" i="3"/>
  <c r="E570" i="3"/>
  <c r="I6" i="3"/>
  <c r="E18" i="3"/>
  <c r="E154" i="3"/>
  <c r="E146" i="3"/>
  <c r="E138" i="3"/>
  <c r="E130" i="3"/>
  <c r="E122" i="3"/>
  <c r="E114" i="3"/>
  <c r="E106" i="3"/>
  <c r="E96" i="3"/>
  <c r="E80" i="3"/>
  <c r="E56" i="3"/>
  <c r="E143" i="3"/>
  <c r="E64" i="3"/>
  <c r="E48" i="3"/>
  <c r="E24" i="3"/>
  <c r="E111" i="3"/>
  <c r="E127" i="3"/>
  <c r="E63" i="3"/>
  <c r="E95" i="3"/>
  <c r="E31" i="3"/>
  <c r="E79" i="3"/>
  <c r="E47" i="3"/>
  <c r="E16" i="3"/>
  <c r="AK6" i="3"/>
  <c r="AJ6" i="3"/>
  <c r="S6" i="3"/>
  <c r="T6" i="3"/>
  <c r="E250" i="3"/>
  <c r="E246" i="3"/>
  <c r="E242" i="3"/>
  <c r="E238" i="3"/>
  <c r="E234" i="3"/>
  <c r="E230" i="3"/>
  <c r="E226" i="3"/>
  <c r="E222" i="3"/>
  <c r="E218" i="3"/>
  <c r="E214" i="3"/>
  <c r="E210" i="3"/>
  <c r="E206" i="3"/>
  <c r="E202" i="3"/>
  <c r="E198" i="3"/>
  <c r="E194" i="3"/>
  <c r="E190" i="3"/>
  <c r="E186" i="3"/>
  <c r="E182" i="3"/>
  <c r="E178" i="3"/>
  <c r="E174" i="3"/>
  <c r="E171" i="3"/>
  <c r="E169" i="3"/>
  <c r="E167" i="3"/>
  <c r="E165" i="3"/>
  <c r="E163" i="3"/>
  <c r="E161" i="3"/>
  <c r="E159" i="3"/>
  <c r="E157" i="3"/>
  <c r="E155" i="3"/>
  <c r="E152" i="3"/>
  <c r="E148" i="3"/>
  <c r="E144" i="3"/>
  <c r="E140" i="3"/>
  <c r="E136" i="3"/>
  <c r="E132" i="3"/>
  <c r="E128" i="3"/>
  <c r="E124" i="3"/>
  <c r="E120" i="3"/>
  <c r="E116" i="3"/>
  <c r="E112" i="3"/>
  <c r="E108" i="3"/>
  <c r="E104" i="3"/>
  <c r="E100" i="3"/>
  <c r="E92" i="3"/>
  <c r="E84" i="3"/>
  <c r="E76" i="3"/>
  <c r="E68" i="3"/>
  <c r="E60" i="3"/>
  <c r="E52" i="3"/>
  <c r="E44" i="3"/>
  <c r="E32" i="3"/>
  <c r="E151" i="3"/>
  <c r="E135" i="3"/>
  <c r="E119" i="3"/>
  <c r="E103" i="3"/>
  <c r="E87" i="3"/>
  <c r="E71" i="3"/>
  <c r="E55" i="3"/>
  <c r="E39" i="3"/>
  <c r="E23" i="3"/>
  <c r="AS6" i="3"/>
  <c r="AA6" i="3"/>
  <c r="AR6" i="3"/>
  <c r="AB6" i="3"/>
  <c r="Q6" i="3"/>
  <c r="E98" i="3"/>
  <c r="E94" i="3"/>
  <c r="E90" i="3"/>
  <c r="E86" i="3"/>
  <c r="E82" i="3"/>
  <c r="E78" i="3"/>
  <c r="E74" i="3"/>
  <c r="E70" i="3"/>
  <c r="E66" i="3"/>
  <c r="E62" i="3"/>
  <c r="E58" i="3"/>
  <c r="E54" i="3"/>
  <c r="E50" i="3"/>
  <c r="E46" i="3"/>
  <c r="E42" i="3"/>
  <c r="E36" i="3"/>
  <c r="E28" i="3"/>
  <c r="E20" i="3"/>
  <c r="E147" i="3"/>
  <c r="E139" i="3"/>
  <c r="E131" i="3"/>
  <c r="E123" i="3"/>
  <c r="E115" i="3"/>
  <c r="E107" i="3"/>
  <c r="E99" i="3"/>
  <c r="E91" i="3"/>
  <c r="E83" i="3"/>
  <c r="E75" i="3"/>
  <c r="E67" i="3"/>
  <c r="E59" i="3"/>
  <c r="E51" i="3"/>
  <c r="E43" i="3"/>
  <c r="E35" i="3"/>
  <c r="E27" i="3"/>
  <c r="E19" i="3"/>
  <c r="E14" i="3"/>
  <c r="AO6" i="3"/>
  <c r="AG6" i="3"/>
  <c r="W6" i="3"/>
  <c r="L6" i="3"/>
  <c r="AN6" i="3"/>
  <c r="AF6" i="3"/>
  <c r="X6" i="3"/>
  <c r="N6" i="3"/>
  <c r="M6" i="3"/>
  <c r="E38" i="3"/>
  <c r="E34" i="3"/>
  <c r="E30" i="3"/>
  <c r="E26" i="3"/>
  <c r="E22"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5" i="3"/>
  <c r="E13" i="3"/>
  <c r="AQ6" i="3"/>
  <c r="AM6" i="3"/>
  <c r="AI6" i="3"/>
  <c r="AE6" i="3"/>
  <c r="Y6" i="3"/>
  <c r="U6" i="3"/>
  <c r="P6" i="3"/>
  <c r="AY6" i="3"/>
  <c r="D3" i="6"/>
  <c r="AP6" i="3"/>
  <c r="AL6" i="3"/>
  <c r="AH6" i="3"/>
  <c r="AD6" i="3"/>
  <c r="Z6" i="3"/>
  <c r="V6" i="3"/>
  <c r="R6" i="3"/>
  <c r="J6" i="3"/>
  <c r="O6" i="3"/>
  <c r="BN6" i="3"/>
  <c r="AY17" i="3"/>
  <c r="AY25" i="3"/>
  <c r="AY33" i="3"/>
  <c r="AY41" i="3"/>
  <c r="AY49" i="3"/>
  <c r="AY57" i="3"/>
  <c r="AY65" i="3"/>
  <c r="AY73" i="3"/>
  <c r="AY81" i="3"/>
  <c r="AY86" i="3"/>
  <c r="AY90"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BA6" i="3"/>
  <c r="BE6" i="3"/>
  <c r="BI6" i="3"/>
  <c r="BM6" i="3"/>
  <c r="BQ6"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C6" i="3"/>
  <c r="W33" i="79"/>
  <c r="U33" i="79"/>
  <c r="S33" i="78"/>
  <c r="S33" i="79"/>
  <c r="W33" i="78"/>
  <c r="U33" i="78"/>
  <c r="AY92" i="3"/>
  <c r="AY88" i="3"/>
  <c r="AY84" i="3"/>
  <c r="AY77" i="3"/>
  <c r="AY69" i="3"/>
  <c r="AY61" i="3"/>
  <c r="AY53" i="3"/>
  <c r="AY45" i="3"/>
  <c r="AY37" i="3"/>
  <c r="AY29" i="3"/>
  <c r="AY21" i="3"/>
  <c r="AY13" i="3"/>
  <c r="BF6" i="3"/>
  <c r="BS6" i="3"/>
  <c r="BO6" i="3"/>
  <c r="BK6" i="3"/>
  <c r="BG6" i="3"/>
  <c r="BC6"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79" i="3"/>
  <c r="AY75" i="3"/>
  <c r="AY71" i="3"/>
  <c r="AY67" i="3"/>
  <c r="AY63" i="3"/>
  <c r="AY59" i="3"/>
  <c r="AY55" i="3"/>
  <c r="AY51" i="3"/>
  <c r="AY47" i="3"/>
  <c r="AY43" i="3"/>
  <c r="AY39" i="3"/>
  <c r="AY35" i="3"/>
  <c r="AY31" i="3"/>
  <c r="AY27" i="3"/>
  <c r="AY23" i="3"/>
  <c r="AY19" i="3"/>
  <c r="AY15" i="3"/>
  <c r="BR6" i="3"/>
  <c r="BJ6" i="3"/>
  <c r="BB6" i="3"/>
  <c r="H6" i="3"/>
  <c r="E6"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P6" i="3"/>
  <c r="BL6" i="3"/>
  <c r="BH6" i="3"/>
  <c r="BD6" i="3"/>
  <c r="W33" i="21"/>
  <c r="S33" i="21"/>
  <c r="U33" i="21"/>
  <c r="E63" i="40"/>
  <c r="F63" i="40"/>
  <c r="B2" i="40"/>
  <c r="B4" i="11"/>
  <c r="B5" i="11"/>
  <c r="E45" i="9"/>
  <c r="E46" i="9"/>
  <c r="B5" i="43"/>
  <c r="D5" i="6"/>
  <c r="D6" i="6"/>
  <c r="D8" i="6"/>
  <c r="D10" i="6"/>
  <c r="D12" i="6"/>
  <c r="D14" i="6"/>
  <c r="H19" i="6"/>
  <c r="D20" i="6"/>
  <c r="H21" i="6"/>
  <c r="D22" i="6"/>
  <c r="H23" i="6"/>
  <c r="D24" i="6"/>
  <c r="H25" i="6"/>
  <c r="D26" i="6"/>
  <c r="D28" i="6"/>
  <c r="K38" i="9"/>
  <c r="C14" i="66"/>
  <c r="F45" i="9"/>
  <c r="F46" i="9"/>
  <c r="B4" i="43"/>
  <c r="D9" i="6"/>
  <c r="D11" i="6"/>
  <c r="D13" i="6"/>
  <c r="D15" i="6"/>
  <c r="D19" i="6"/>
  <c r="H20" i="6"/>
  <c r="D21" i="6"/>
  <c r="H22" i="6"/>
  <c r="D23" i="6"/>
  <c r="H24" i="6"/>
  <c r="D25" i="6"/>
  <c r="H26" i="6"/>
  <c r="D29" i="6"/>
  <c r="C22" i="4"/>
  <c r="R25" i="6"/>
  <c r="R23" i="6"/>
  <c r="R10" i="1"/>
  <c r="R21" i="6"/>
  <c r="R19" i="6"/>
  <c r="D27" i="6"/>
  <c r="D30" i="6"/>
  <c r="H27" i="6"/>
  <c r="D16" i="6"/>
  <c r="A20" i="51"/>
  <c r="B15" i="63"/>
  <c r="A20" i="64"/>
  <c r="A6" i="51"/>
  <c r="B7" i="63"/>
  <c r="A6" i="64"/>
  <c r="N5" i="54"/>
  <c r="B43" i="63"/>
  <c r="R26" i="6"/>
  <c r="R24" i="6"/>
  <c r="R22" i="6"/>
  <c r="R20" i="6"/>
  <c r="B3" i="40"/>
  <c r="B4" i="40"/>
  <c r="B5" i="40"/>
  <c r="R8" i="1"/>
  <c r="R9" i="1"/>
  <c r="R7" i="1"/>
  <c r="R12" i="1"/>
  <c r="R11" i="1"/>
  <c r="R13" i="1"/>
  <c r="D31" i="6"/>
  <c r="R27" i="6"/>
  <c r="R6" i="1"/>
  <c r="M23" i="44"/>
  <c r="F37" i="44"/>
  <c r="M21" i="15"/>
  <c r="J20" i="15"/>
  <c r="J17" i="15"/>
  <c r="J16" i="15"/>
  <c r="J25" i="15"/>
  <c r="F62" i="15"/>
  <c r="C61" i="15"/>
  <c r="C58" i="15"/>
  <c r="C57" i="15"/>
  <c r="C66" i="15"/>
  <c r="C67" i="15"/>
  <c r="C70" i="15"/>
  <c r="R16" i="1"/>
  <c r="J22" i="44"/>
  <c r="J19" i="44"/>
  <c r="J18" i="44"/>
  <c r="J27" i="44"/>
  <c r="C36" i="44"/>
  <c r="C33" i="44"/>
  <c r="C32" i="44"/>
  <c r="C42" i="44"/>
  <c r="I5" i="6"/>
  <c r="I6" i="6"/>
  <c r="L51" i="15"/>
  <c r="C13" i="39"/>
  <c r="H13" i="39"/>
  <c r="C11" i="79"/>
  <c r="C11" i="78"/>
  <c r="C11" i="21"/>
  <c r="Q68" i="15"/>
  <c r="Q70" i="15"/>
  <c r="Q69" i="15"/>
  <c r="J39" i="15"/>
  <c r="J40" i="15"/>
  <c r="Q71" i="44"/>
  <c r="Q70" i="44"/>
  <c r="C44" i="44"/>
  <c r="C45" i="44"/>
  <c r="B2" i="44"/>
  <c r="C43" i="15"/>
  <c r="J42" i="15"/>
  <c r="J43" i="15"/>
  <c r="Q48" i="15"/>
  <c r="Q54" i="15"/>
  <c r="Q57" i="15"/>
  <c r="Q63" i="15"/>
  <c r="Q66" i="15"/>
  <c r="Q76" i="15"/>
  <c r="C46" i="15"/>
  <c r="J13" i="39"/>
  <c r="F13" i="39"/>
  <c r="B3" i="44"/>
  <c r="B5" i="44"/>
  <c r="B4" i="44"/>
  <c r="S13" i="39"/>
  <c r="AA13" i="39"/>
  <c r="W13" i="39"/>
  <c r="AC13" i="39"/>
  <c r="AB13" i="39"/>
  <c r="U13" i="39"/>
  <c r="B3" i="15"/>
  <c r="E8" i="12"/>
  <c r="G48" i="78"/>
  <c r="U11" i="78"/>
  <c r="U11" i="79"/>
  <c r="G48" i="79"/>
  <c r="S11" i="79"/>
  <c r="W11" i="21"/>
  <c r="I48" i="21"/>
  <c r="I52" i="21"/>
  <c r="J52" i="21"/>
  <c r="S11" i="78"/>
  <c r="I48" i="78"/>
  <c r="I52" i="78"/>
  <c r="J52" i="78"/>
  <c r="W11" i="78"/>
  <c r="W11" i="79"/>
  <c r="I48" i="79"/>
  <c r="U11" i="21"/>
  <c r="G48" i="21"/>
  <c r="S11" i="21"/>
  <c r="G53" i="21"/>
  <c r="H53" i="21"/>
  <c r="G52" i="21"/>
  <c r="H52" i="21"/>
  <c r="I52" i="79"/>
  <c r="J52" i="79"/>
  <c r="E48" i="78"/>
  <c r="E48" i="79"/>
  <c r="I53" i="79"/>
  <c r="J53" i="79"/>
  <c r="G53" i="79"/>
  <c r="H53" i="79"/>
  <c r="G52" i="79"/>
  <c r="H52" i="79"/>
  <c r="E48" i="21"/>
  <c r="G53" i="78"/>
  <c r="H53" i="78"/>
  <c r="G52" i="78"/>
  <c r="H52" i="78"/>
  <c r="I53" i="21"/>
  <c r="J53" i="21"/>
  <c r="E52" i="21"/>
  <c r="F52" i="21"/>
  <c r="E53" i="21"/>
  <c r="F53" i="21"/>
  <c r="C48" i="79"/>
  <c r="I53" i="78"/>
  <c r="J53" i="78"/>
  <c r="E53" i="78"/>
  <c r="F53" i="78"/>
  <c r="E52" i="78"/>
  <c r="F52" i="78"/>
  <c r="C48" i="21"/>
  <c r="E52" i="79"/>
  <c r="F52" i="79"/>
  <c r="E53" i="79"/>
  <c r="F53" i="79"/>
  <c r="C48" i="78"/>
  <c r="F8" i="12"/>
  <c r="D8" i="12"/>
  <c r="C8" i="12"/>
  <c r="L9" i="12"/>
  <c r="B5" i="12"/>
  <c r="B3" i="12"/>
  <c r="L44" i="9"/>
  <c r="B4" i="12"/>
  <c r="D20" i="9"/>
  <c r="D21" i="9"/>
  <c r="B1" i="66"/>
  <c r="C7" i="66"/>
  <c r="C8" i="66"/>
  <c r="B2" i="66"/>
  <c r="D7" i="66"/>
  <c r="D8" i="66"/>
  <c r="E16" i="66"/>
  <c r="F16" i="66"/>
  <c r="G15" i="66"/>
  <c r="F15" i="66"/>
  <c r="E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2" i="9"/>
  <c r="D14" i="66"/>
  <c r="B5" i="66"/>
  <c r="H28" i="69"/>
  <c r="C5" i="66"/>
  <c r="D5" i="66"/>
  <c r="H34" i="69"/>
  <c r="C44" i="9"/>
  <c r="G14" i="66"/>
  <c r="B6" i="66"/>
  <c r="D6" i="66"/>
  <c r="C6" i="66"/>
  <c r="N69" i="9"/>
  <c r="D63" i="9"/>
  <c r="D71" i="9"/>
  <c r="D66" i="9"/>
  <c r="N72" i="9"/>
  <c r="C103" i="9"/>
  <c r="C111" i="9"/>
  <c r="C104" i="9"/>
  <c r="C113" i="9"/>
  <c r="C114" i="9"/>
  <c r="C115" i="9"/>
  <c r="D76" i="9"/>
  <c r="D74" i="9"/>
  <c r="N74" i="9"/>
  <c r="D77" i="9"/>
  <c r="N75" i="9"/>
  <c r="O77" i="9"/>
  <c r="O79" i="9"/>
  <c r="O80" i="9"/>
  <c r="Q77" i="9"/>
  <c r="O81" i="9"/>
  <c r="M83" i="9"/>
  <c r="N83" i="9"/>
  <c r="M84" i="9"/>
  <c r="N84" i="9"/>
  <c r="M85" i="9"/>
  <c r="N85" i="9"/>
  <c r="M86" i="9"/>
  <c r="N86" i="9"/>
  <c r="M87" i="9"/>
  <c r="N87" i="9"/>
  <c r="M88" i="9"/>
  <c r="N88" i="9"/>
  <c r="N89" i="9"/>
  <c r="O89" i="9"/>
  <c r="O78" i="9"/>
  <c r="C90" i="9"/>
  <c r="C96" i="9"/>
  <c r="C91" i="9"/>
  <c r="C97" i="9"/>
  <c r="C98" i="9"/>
  <c r="C99" i="9"/>
  <c r="E98" i="9"/>
  <c r="E99" i="9"/>
  <c r="O39" i="9"/>
  <c r="K29" i="9"/>
  <c r="K30" i="9"/>
  <c r="R6" i="54"/>
  <c r="B50" i="63"/>
  <c r="E114" i="9"/>
  <c r="E115" i="9"/>
  <c r="C82" i="9"/>
  <c r="C81" i="9"/>
  <c r="C85" i="9"/>
  <c r="C86" i="9"/>
  <c r="D72" i="9"/>
  <c r="D70" i="9"/>
  <c r="E14" i="66"/>
  <c r="F14" i="66"/>
  <c r="E44" i="9"/>
  <c r="F44" i="9"/>
  <c r="D44" i="9"/>
  <c r="C33" i="9"/>
  <c r="N38" i="9"/>
  <c r="K28" i="9"/>
  <c r="O38" i="9"/>
  <c r="K25" i="9"/>
  <c r="E42" i="9"/>
  <c r="P5" i="54"/>
  <c r="B46" i="63"/>
  <c r="R5" i="54"/>
  <c r="B48" i="63"/>
  <c r="N68" i="9"/>
  <c r="D42" i="9"/>
  <c r="Q5" i="54"/>
  <c r="B47" i="63"/>
  <c r="O43" i="9"/>
  <c r="M38" i="9"/>
  <c r="K27" i="9"/>
  <c r="K26" i="9"/>
  <c r="C35" i="9"/>
  <c r="F42" i="9"/>
  <c r="B4" i="39"/>
  <c r="C21" i="9"/>
  <c r="G21" i="9"/>
  <c r="M16" i="12"/>
  <c r="B3" i="39"/>
  <c r="C20" i="9"/>
  <c r="G20" i="9"/>
  <c r="N43" i="9"/>
  <c r="D27" i="9"/>
  <c r="G22" i="9"/>
  <c r="D22" i="9"/>
  <c r="B5" i="39"/>
  <c r="L43" i="9"/>
  <c r="I49" i="39"/>
  <c r="E49" i="39"/>
  <c r="I54" i="39"/>
  <c r="J54" i="39"/>
  <c r="G49" i="39"/>
  <c r="E54" i="39"/>
  <c r="F54" i="39"/>
  <c r="E53" i="39"/>
  <c r="F53" i="39"/>
  <c r="C49" i="39"/>
  <c r="G54" i="39"/>
  <c r="H54" i="39"/>
  <c r="G53" i="39"/>
  <c r="H53" i="39"/>
  <c r="I53" i="39"/>
  <c r="J53" i="39"/>
  <c r="F12" i="40"/>
  <c r="S12" i="40"/>
  <c r="U12" i="39"/>
  <c r="S12" i="39"/>
  <c r="H12" i="40"/>
  <c r="AB12" i="40"/>
  <c r="J12" i="40"/>
  <c r="W12" i="40"/>
  <c r="U12" i="40"/>
  <c r="W12" i="39"/>
  <c r="AA12" i="40"/>
  <c r="AC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<sst xmlns="http://schemas.openxmlformats.org/spreadsheetml/2006/main" count="9449" uniqueCount="3737">
  <si>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</si>
  <si>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</si>
  <si>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</si>
  <si>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</si>
  <si>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</si>
  <si>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</si>
  <si>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</si>
  <si>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</si>
  <si>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</si>
  <si>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</si>
  <si>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</si>
  <si>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</si>
  <si>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</si>
  <si>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</si>
  <si>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</si>
  <si>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</si>
  <si>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</si>
  <si>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</si>
  <si>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</si>
  <si>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</si>
  <si>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</si>
  <si>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</si>
  <si>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</si>
  <si>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</si>
  <si>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</si>
  <si>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</si>
  <si>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</si>
  <si>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</si>
  <si>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</si>
  <si>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</si>
  <si>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</si>
  <si>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</si>
  <si>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</si>
  <si>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</si>
  <si>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</si>
  <si>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</si>
  <si>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</si>
  <si>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</si>
  <si>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</si>
  <si>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</si>
  <si>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</si>
  <si>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</si>
  <si>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</si>
  <si>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</si>
  <si>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</si>
  <si>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</si>
  <si>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</si>
  <si>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</si>
  <si>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</si>
  <si>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</si>
  <si>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</si>
  <si>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</si>
  <si>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</si>
  <si>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</si>
  <si>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</si>
  <si>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</si>
  <si>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</si>
  <si>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</si>
  <si>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</si>
  <si>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</si>
  <si>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</si>
  <si>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</si>
  <si>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</si>
  <si>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</si>
  <si>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</si>
  <si>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</si>
  <si>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</si>
  <si>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</si>
  <si>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</si>
  <si>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</si>
  <si>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</si>
  <si>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</si>
  <si>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</si>
  <si>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</si>
  <si>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</si>
  <si>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</si>
  <si>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</si>
  <si>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</si>
  <si>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</si>
  <si>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</si>
  <si>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</si>
  <si>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</si>
  <si>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</si>
  <si>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</si>
  <si>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</si>
  <si>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</si>
  <si>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</si>
  <si>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</si>
  <si>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</si>
  <si>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</si>
  <si>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</si>
  <si>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</si>
  <si>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</si>
  <si>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</si>
  <si>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</si>
  <si>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</si>
  <si>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</si>
  <si>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</si>
  <si>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</si>
  <si>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</si>
  <si>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</si>
  <si>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</si>
  <si>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</si>
  <si>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</si>
  <si>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</si>
  <si>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</si>
  <si>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</si>
  <si>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</si>
  <si>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</si>
  <si>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</si>
  <si>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</si>
  <si>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</si>
  <si>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</si>
  <si>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</si>
  <si>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</si>
  <si>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</si>
  <si>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</si>
  <si>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</si>
  <si>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</si>
  <si>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</si>
  <si>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</si>
  <si>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</si>
  <si>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</si>
  <si>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</si>
  <si>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</si>
  <si>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</si>
  <si>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</si>
  <si>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</si>
  <si>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</si>
  <si>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</si>
  <si>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</si>
  <si>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</si>
  <si>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</si>
  <si>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</si>
  <si>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</si>
  <si>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</si>
  <si>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</si>
  <si>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</si>
  <si>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</si>
  <si>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</si>
  <si>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</si>
  <si>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</si>
  <si>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</si>
  <si>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</si>
  <si>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</si>
  <si>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</si>
  <si>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</si>
  <si>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</si>
  <si>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</si>
  <si>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</si>
  <si>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</si>
  <si>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</si>
  <si>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</si>
  <si>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</si>
  <si>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</si>
  <si>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</si>
  <si>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</si>
  <si>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</si>
  <si>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</si>
  <si>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</si>
  <si>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</si>
  <si>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</si>
  <si>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</si>
  <si>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</si>
  <si>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</si>
  <si>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</si>
  <si>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</si>
  <si>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</si>
  <si>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</si>
  <si>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</si>
  <si>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</si>
  <si>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</si>
  <si>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</si>
  <si>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</si>
  <si>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</si>
  <si>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</si>
  <si>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</si>
  <si>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</si>
  <si>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</si>
  <si>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</si>
  <si>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</si>
  <si>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</si>
  <si>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</si>
  <si>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</si>
  <si>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</si>
  <si>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</si>
  <si>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</si>
  <si>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</si>
  <si>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</si>
  <si>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</si>
  <si>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</si>
  <si>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</si>
  <si>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</si>
  <si>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</si>
  <si>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</si>
  <si>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</si>
  <si>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</si>
  <si>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</si>
  <si>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</si>
  <si>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</si>
  <si>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</si>
  <si>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</si>
  <si>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</si>
  <si>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</si>
  <si>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</si>
  <si>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</si>
  <si>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</si>
  <si>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</si>
  <si>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</si>
  <si>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</si>
  <si>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</si>
  <si>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</si>
  <si>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</si>
  <si>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</si>
  <si>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</si>
  <si>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</si>
  <si>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</si>
  <si>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</si>
  <si>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</si>
  <si>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</si>
  <si>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</si>
  <si>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</si>
  <si>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</si>
  <si>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</si>
  <si>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</si>
  <si>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</si>
  <si>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</si>
  <si>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</si>
  <si>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</si>
  <si>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</si>
  <si>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</si>
  <si>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</si>
  <si>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</si>
  <si>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</si>
  <si>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</si>
  <si>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</si>
  <si>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</si>
  <si>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</si>
  <si>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</si>
  <si>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</si>
  <si>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</si>
  <si>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</si>
  <si>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</si>
  <si>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</si>
  <si>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</si>
  <si>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</si>
  <si>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</si>
  <si>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</si>
  <si>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</si>
  <si>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</si>
  <si>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</si>
  <si>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</si>
  <si>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</si>
  <si>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</si>
  <si>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</si>
  <si>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</si>
  <si>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</si>
  <si>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</si>
  <si>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</si>
  <si>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</si>
  <si>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</si>
  <si>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</si>
  <si>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</si>
  <si>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</si>
  <si>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</si>
  <si>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</si>
  <si>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</si>
  <si>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</si>
  <si>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</si>
  <si>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</si>
  <si>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</si>
  <si>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</si>
  <si>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</si>
  <si>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</si>
  <si>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</si>
  <si>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</si>
  <si>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</si>
  <si>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</si>
  <si>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</si>
  <si>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</si>
  <si>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</si>
  <si>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</si>
  <si>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</si>
  <si>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</si>
  <si>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</si>
  <si>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</si>
  <si>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</si>
  <si>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</si>
  <si>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</si>
  <si>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</si>
  <si>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</si>
  <si>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</si>
  <si>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</si>
  <si>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</si>
  <si>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</si>
  <si>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</si>
  <si>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</si>
  <si>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</si>
  <si>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</si>
  <si>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</si>
  <si>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</si>
  <si>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</si>
  <si>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</si>
  <si>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</si>
  <si>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</si>
  <si>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</si>
  <si>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</si>
  <si>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</si>
  <si>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</si>
  <si>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</si>
  <si>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</si>
  <si>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</si>
  <si>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</si>
  <si>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</si>
  <si>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</si>
  <si>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</si>
  <si>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</si>
  <si>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</si>
  <si>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</si>
  <si>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</si>
  <si>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</si>
  <si>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</si>
  <si>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</si>
  <si>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</si>
  <si>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</si>
  <si>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</si>
  <si>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</si>
  <si>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</si>
  <si>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</si>
  <si>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</si>
  <si>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</si>
  <si>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</si>
  <si>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</si>
  <si>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</si>
  <si>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</si>
  <si>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</si>
  <si>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</si>
  <si>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</si>
  <si>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</si>
  <si>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</si>
  <si>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</si>
  <si>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</si>
  <si>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</si>
  <si>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</si>
  <si>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</si>
  <si>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</si>
  <si>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</si>
  <si>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</si>
  <si>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</si>
  <si>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</si>
  <si>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</si>
  <si>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</si>
  <si>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</si>
  <si>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</si>
  <si>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</si>
  <si>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</si>
  <si>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</si>
  <si>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</si>
  <si>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</si>
  <si>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</si>
  <si>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</si>
  <si>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</si>
  <si>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</si>
  <si>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</si>
  <si>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</si>
  <si>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</si>
  <si>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</si>
  <si>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</si>
  <si>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</si>
  <si>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</si>
  <si>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</si>
  <si>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</si>
  <si>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</si>
  <si>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</si>
  <si>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</si>
  <si>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</si>
  <si>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</si>
  <si>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</si>
  <si>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</si>
  <si>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</si>
  <si>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</si>
  <si>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</si>
  <si>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</si>
  <si>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</si>
  <si>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</si>
  <si>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</si>
  <si>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</si>
  <si>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</si>
  <si>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</si>
  <si>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</si>
  <si>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</si>
  <si>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</si>
  <si>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</si>
  <si>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</si>
  <si>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</si>
  <si>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</si>
  <si>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</si>
  <si>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</si>
  <si>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</si>
  <si>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</si>
  <si>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</si>
  <si>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</si>
  <si>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</si>
  <si>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</si>
  <si>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</si>
  <si>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</si>
  <si>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</si>
  <si>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</si>
  <si>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</si>
  <si>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</si>
  <si>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</si>
  <si>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</si>
  <si>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</si>
  <si>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</si>
  <si>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</si>
  <si>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</si>
  <si>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</si>
  <si>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</si>
  <si>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</si>
  <si>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</si>
  <si>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</si>
  <si>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</si>
  <si>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</si>
  <si>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</si>
  <si>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</si>
  <si>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</si>
  <si>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</si>
  <si>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</si>
  <si>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</si>
  <si>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</si>
  <si>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</si>
  <si>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</si>
  <si>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</si>
  <si>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</si>
  <si>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</si>
  <si>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</si>
  <si>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</si>
  <si>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</si>
  <si>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</si>
  <si>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</si>
  <si>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</si>
  <si>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</si>
  <si>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</si>
  <si>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</si>
  <si>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</si>
  <si>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</si>
  <si>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</si>
  <si>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</si>
  <si>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</si>
  <si>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</si>
  <si>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</si>
  <si>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</si>
  <si>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</si>
  <si>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</si>
  <si>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</si>
  <si>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</si>
  <si>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</si>
  <si>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</si>
  <si>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</si>
  <si>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</si>
  <si>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</si>
  <si>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</si>
  <si>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</si>
  <si>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</si>
  <si>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</si>
  <si>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</si>
  <si>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</si>
  <si>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</si>
  <si>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</si>
  <si>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</si>
  <si>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</si>
  <si>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</si>
  <si>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</si>
  <si>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</si>
  <si>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</si>
  <si>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</si>
  <si>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</si>
  <si>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</si>
  <si>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</si>
  <si>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</si>
  <si>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</si>
  <si>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</si>
  <si>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</si>
  <si>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</si>
  <si>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</si>
  <si>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</si>
  <si>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</si>
  <si>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</si>
  <si>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</si>
  <si>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</si>
  <si>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</si>
  <si>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</si>
  <si>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</si>
  <si>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</si>
  <si>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</si>
  <si>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</si>
  <si>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</si>
  <si>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</si>
  <si>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</si>
  <si>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</si>
  <si>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</si>
  <si>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</si>
  <si>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</si>
  <si>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</si>
  <si>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</si>
  <si>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</si>
  <si>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</si>
  <si>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</si>
  <si>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</si>
  <si>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</si>
  <si>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</si>
  <si>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</si>
  <si>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</si>
  <si>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</si>
  <si>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</si>
  <si>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</si>
  <si>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</si>
  <si>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</si>
  <si>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</si>
  <si>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</si>
  <si>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</si>
  <si>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</si>
  <si>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</si>
  <si>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</si>
  <si>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</si>
  <si>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</si>
  <si>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</si>
  <si>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</si>
  <si>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</si>
  <si>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</si>
  <si>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</si>
  <si>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</si>
  <si>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</si>
  <si>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</si>
  <si>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</si>
  <si>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</si>
  <si>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</si>
  <si>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</si>
  <si>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</si>
  <si>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</si>
  <si>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</si>
  <si>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</si>
  <si>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</si>
  <si>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</si>
  <si>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</si>
  <si>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</si>
  <si>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</si>
  <si>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</si>
  <si>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</si>
  <si>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</si>
  <si>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</si>
  <si>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</si>
  <si>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</si>
  <si>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</si>
  <si>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</si>
  <si>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</si>
  <si>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</si>
  <si>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</si>
  <si>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</si>
  <si>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</si>
  <si>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</si>
  <si>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</si>
  <si>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</si>
  <si>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</si>
  <si>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</si>
  <si>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</si>
  <si>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</si>
  <si>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</si>
  <si>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</si>
  <si>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</si>
  <si>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</si>
  <si>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</si>
  <si>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</si>
  <si>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</si>
  <si>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</si>
  <si>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</si>
  <si>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</si>
  <si>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</si>
  <si>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</si>
  <si>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</si>
  <si>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</si>
  <si>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</si>
  <si>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</si>
  <si>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</si>
  <si>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</si>
  <si>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</si>
  <si>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</si>
  <si>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</si>
  <si>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</si>
  <si>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</si>
  <si>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</si>
  <si>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</si>
  <si>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</si>
  <si>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</si>
  <si>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</si>
  <si>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</si>
  <si>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</si>
  <si>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</si>
  <si>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</si>
  <si>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</si>
  <si>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</si>
  <si>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</si>
  <si>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</si>
  <si>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</si>
  <si>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</si>
  <si>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</si>
  <si>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</si>
  <si>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</si>
  <si>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</si>
  <si>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</si>
  <si>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</si>
  <si>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</si>
  <si>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</si>
  <si>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</si>
  <si>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</si>
  <si>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</si>
  <si>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</si>
  <si>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</si>
  <si>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</si>
  <si>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</si>
  <si>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</si>
  <si>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</si>
  <si>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</si>
  <si>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</si>
  <si>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</si>
  <si>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</si>
  <si>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</si>
  <si>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</si>
  <si>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</si>
  <si>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</si>
  <si>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</si>
  <si>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</si>
  <si>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</si>
  <si>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</si>
  <si>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</si>
  <si>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</si>
  <si>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</si>
  <si>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</si>
  <si>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</si>
  <si>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</si>
  <si>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</si>
  <si>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</si>
  <si>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</si>
  <si>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</si>
  <si>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</si>
  <si>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</si>
  <si>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</si>
  <si>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</si>
  <si>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</si>
  <si>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</si>
  <si>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</si>
  <si>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</si>
  <si>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</si>
  <si>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</si>
  <si>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</si>
  <si>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</si>
  <si>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</si>
  <si>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</si>
  <si>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</si>
  <si>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</si>
  <si>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</si>
  <si>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</si>
  <si>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</si>
  <si>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</si>
  <si>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</si>
  <si>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</si>
  <si>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</si>
  <si>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</si>
  <si>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</si>
  <si>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</si>
  <si>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</si>
  <si>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</si>
  <si>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</si>
  <si>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</si>
  <si>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</si>
  <si>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</si>
  <si>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</si>
  <si>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</si>
  <si>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</si>
  <si>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</si>
  <si>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</si>
  <si>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</si>
  <si>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</si>
  <si>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</si>
  <si>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</si>
  <si>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</si>
  <si>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</si>
  <si>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</si>
  <si>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</si>
  <si>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</si>
  <si>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</si>
  <si>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</si>
  <si>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</si>
  <si>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</si>
  <si>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</si>
  <si>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</si>
  <si>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</si>
  <si>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</si>
  <si>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</si>
  <si>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</si>
  <si>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</si>
  <si>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</si>
  <si>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</si>
  <si>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</si>
  <si>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</si>
  <si>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</si>
  <si>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</si>
  <si>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</si>
  <si>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</si>
  <si>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</si>
  <si>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</si>
  <si>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</si>
  <si>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</si>
  <si>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</si>
  <si>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</si>
  <si>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</si>
  <si>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</si>
  <si>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</si>
  <si>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</si>
  <si>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</si>
  <si>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</si>
  <si>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</si>
  <si>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</si>
  <si>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</si>
  <si>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</si>
  <si>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</si>
  <si>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</si>
  <si>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</si>
  <si>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</si>
  <si>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</si>
  <si>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</si>
  <si>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</si>
  <si>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</si>
  <si>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</si>
  <si>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</si>
  <si>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</si>
  <si>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</si>
  <si>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</si>
  <si>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</si>
  <si>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</si>
  <si>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</si>
  <si>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</si>
  <si>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</si>
  <si>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</si>
  <si>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</si>
  <si>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</si>
  <si>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</si>
  <si>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</si>
  <si>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</si>
  <si>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</si>
  <si>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</si>
  <si>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</si>
  <si>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</si>
  <si>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</si>
  <si>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</si>
  <si>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</si>
  <si>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</si>
  <si>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</si>
  <si>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</si>
  <si>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</si>
  <si>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</si>
  <si>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</si>
  <si>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</si>
  <si>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</si>
  <si>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</si>
  <si>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</si>
  <si>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</si>
  <si>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</si>
  <si>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</si>
  <si>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</si>
  <si>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</si>
  <si>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</si>
  <si>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</si>
  <si>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</si>
  <si>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</si>
  <si>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</si>
  <si>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</si>
  <si>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</si>
  <si>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</si>
  <si>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</si>
  <si>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</si>
  <si>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</si>
  <si>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</si>
  <si>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</si>
  <si>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</si>
  <si>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</si>
  <si>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</si>
  <si>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</si>
  <si>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</si>
  <si>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</si>
  <si>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</si>
  <si>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</si>
  <si>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</si>
  <si>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</si>
  <si>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</si>
  <si>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</si>
  <si>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</si>
  <si>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</si>
  <si>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</si>
  <si>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</si>
  <si>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</si>
  <si>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</si>
  <si>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</si>
  <si>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</si>
  <si>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</si>
  <si>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</si>
  <si>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</si>
  <si>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</si>
  <si>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</si>
  <si>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</si>
  <si>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</si>
  <si>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</si>
  <si>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</si>
  <si>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</si>
  <si>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</si>
  <si>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</si>
  <si>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</si>
  <si>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</si>
  <si>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</si>
  <si>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</si>
  <si>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</si>
  <si>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</si>
  <si>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</si>
  <si>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</si>
  <si>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</si>
  <si>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</si>
  <si>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</si>
  <si>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</si>
  <si>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</si>
  <si>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</si>
  <si>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</si>
  <si>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</si>
  <si>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</si>
  <si>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</si>
  <si>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</si>
  <si>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</si>
  <si>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</si>
  <si>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</si>
  <si>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</si>
  <si>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</si>
  <si>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</si>
  <si>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</si>
  <si>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</si>
  <si>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</si>
  <si>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</si>
  <si>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</si>
  <si>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</si>
  <si>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</si>
  <si>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</si>
  <si>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</si>
  <si>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</si>
  <si>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</si>
  <si>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</si>
  <si>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</si>
  <si>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</si>
  <si>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</si>
  <si>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</si>
  <si>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</si>
  <si>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</si>
  <si>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</si>
  <si>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</si>
  <si>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</si>
  <si>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</si>
  <si>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</si>
  <si>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</si>
  <si>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</si>
  <si>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</si>
  <si>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</si>
  <si>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</si>
  <si>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</si>
  <si>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</si>
  <si>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</si>
  <si>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</si>
  <si>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</si>
  <si>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</si>
  <si>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</si>
  <si>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</si>
  <si>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</si>
  <si>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</si>
  <si>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</si>
  <si>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</si>
  <si>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</si>
  <si>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</si>
  <si>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</si>
  <si>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</si>
  <si>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</si>
  <si>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</si>
  <si>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</si>
  <si>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</si>
  <si>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</si>
  <si>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</si>
  <si>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</si>
  <si>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</si>
  <si>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</si>
  <si>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</si>
  <si>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</si>
  <si>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</si>
  <si>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</si>
  <si>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</si>
  <si>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</si>
  <si>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</si>
  <si>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</si>
  <si>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</si>
  <si>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</si>
  <si>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</si>
  <si>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</si>
  <si>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</si>
  <si>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</si>
  <si>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</si>
  <si>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</si>
  <si>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</si>
  <si>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</si>
  <si>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</si>
  <si>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</si>
  <si>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</si>
  <si>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</si>
  <si>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</si>
  <si>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</si>
  <si>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</si>
  <si>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</si>
  <si>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</si>
  <si>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</si>
  <si>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</si>
  <si>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</si>
  <si>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</si>
  <si>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</si>
  <si>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</si>
  <si>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</si>
  <si>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</si>
  <si>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</si>
  <si>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</si>
  <si>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</si>
  <si>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</si>
  <si>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</si>
  <si>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</si>
  <si>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</si>
  <si>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</si>
  <si>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</si>
  <si>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</si>
  <si>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</si>
  <si>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</si>
  <si>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</si>
  <si>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</si>
  <si>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</si>
  <si>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</si>
  <si>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</si>
  <si>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</si>
  <si>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</si>
  <si>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</si>
  <si>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</si>
  <si>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</si>
  <si>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</si>
  <si>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</si>
  <si>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</si>
  <si>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</si>
  <si>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</si>
  <si>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</si>
  <si>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</si>
  <si>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</si>
  <si>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</si>
  <si>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</si>
  <si>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</si>
  <si>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</si>
  <si>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</si>
  <si>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</si>
  <si>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</si>
  <si>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</si>
  <si>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</si>
  <si>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</si>
  <si>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</si>
  <si>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</si>
  <si>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</si>
  <si>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</si>
  <si>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</si>
  <si>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</si>
  <si>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</si>
  <si>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</si>
  <si>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</si>
  <si>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</si>
  <si>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</si>
  <si>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</si>
  <si>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</si>
  <si>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</si>
  <si>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</si>
  <si>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</si>
  <si>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</si>
  <si>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</si>
  <si>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</si>
  <si>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</si>
  <si>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</si>
  <si>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</si>
  <si>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</si>
  <si>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</si>
  <si>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</si>
  <si>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</si>
  <si>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</si>
  <si>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</si>
  <si>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</si>
  <si>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</si>
  <si>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</si>
  <si>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</si>
  <si>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</si>
  <si>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</si>
  <si>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</si>
  <si>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</si>
  <si>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</si>
  <si>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</si>
  <si>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</si>
  <si>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</si>
  <si>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</si>
  <si>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</si>
  <si>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</si>
  <si>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</si>
  <si>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</si>
  <si>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</si>
  <si>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</si>
  <si>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</si>
  <si>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</si>
  <si>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</si>
  <si>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</si>
  <si>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</si>
  <si>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</si>
  <si>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</si>
  <si>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</si>
  <si>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</si>
  <si>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</si>
  <si>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</si>
  <si>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</si>
  <si>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</si>
  <si>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</si>
  <si>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</si>
  <si>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</si>
  <si>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</si>
  <si>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</si>
  <si>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</si>
  <si>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</si>
  <si>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</si>
  <si>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</si>
  <si>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</si>
  <si>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</si>
  <si>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</si>
  <si>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</si>
  <si>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</si>
  <si>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</si>
  <si>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</si>
  <si>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</si>
  <si>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</si>
  <si>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</si>
  <si>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</si>
  <si>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</si>
  <si>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</si>
  <si>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</si>
  <si>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</si>
  <si>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</si>
  <si>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</si>
  <si>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</si>
  <si>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</si>
  <si>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</si>
  <si>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</si>
  <si>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</si>
  <si>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</si>
  <si>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</si>
  <si>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</si>
  <si>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</si>
  <si>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</si>
  <si>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</si>
  <si>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</si>
  <si>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</si>
  <si>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</si>
  <si>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</si>
  <si>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</si>
  <si>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</si>
  <si>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</si>
  <si>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</si>
  <si>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</si>
  <si>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</si>
  <si>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</si>
  <si>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</si>
  <si>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</si>
  <si>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</si>
  <si>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</si>
  <si>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</si>
  <si>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</si>
  <si>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</si>
  <si>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</si>
  <si>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</si>
  <si>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</si>
  <si>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</si>
  <si>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</si>
  <si>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</si>
  <si>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</si>
  <si>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</si>
  <si>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</si>
  <si>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</si>
  <si>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</si>
  <si>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</si>
  <si>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</si>
  <si>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</si>
  <si>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</si>
  <si>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</si>
  <si>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</si>
  <si>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</si>
  <si>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</si>
  <si>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</si>
  <si>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</si>
  <si>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</si>
  <si>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</si>
  <si>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</si>
  <si>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</si>
  <si>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</si>
  <si>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</si>
  <si>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</si>
  <si>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</si>
  <si>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</si>
  <si>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</si>
  <si>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</si>
  <si>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</si>
  <si>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</si>
  <si>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</si>
  <si>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</si>
  <si>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</si>
  <si>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</si>
  <si>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</si>
  <si>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</si>
  <si>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</si>
  <si>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</si>
  <si>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</si>
  <si>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</si>
  <si>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</si>
  <si>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</si>
  <si>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</si>
  <si>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</si>
  <si>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</si>
  <si>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</si>
  <si>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</si>
  <si>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</si>
  <si>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</si>
  <si>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</si>
  <si>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</si>
  <si>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</si>
  <si>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</si>
  <si>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</si>
  <si>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</si>
  <si>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</si>
  <si>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</si>
  <si>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</si>
  <si>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</si>
  <si>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</si>
  <si>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</si>
  <si>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</si>
  <si>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</si>
  <si>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</si>
  <si>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</si>
  <si>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</si>
  <si>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</si>
  <si>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</si>
  <si>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</si>
  <si>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</si>
  <si>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</si>
  <si>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</si>
  <si>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</si>
  <si>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</si>
  <si>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</si>
  <si>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</si>
  <si>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</si>
  <si>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</si>
  <si>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</si>
  <si>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</si>
  <si>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</si>
  <si>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</si>
  <si>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</si>
  <si>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</si>
  <si>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</si>
  <si>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</si>
  <si>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</si>
  <si>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</si>
  <si>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</si>
  <si>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</si>
  <si>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</si>
  <si>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</si>
  <si>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</si>
  <si>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</si>
  <si>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</si>
  <si>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</si>
  <si>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</si>
  <si>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</si>
  <si>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</si>
  <si>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</si>
  <si>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</si>
  <si>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</si>
  <si>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</si>
  <si>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</si>
  <si>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</si>
  <si>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</si>
  <si>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</si>
  <si>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</si>
  <si>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</si>
  <si>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</si>
  <si>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</si>
  <si>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</si>
  <si>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</si>
  <si>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</si>
  <si>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</si>
  <si>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</si>
  <si>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</si>
  <si>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</si>
  <si>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</si>
  <si>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</si>
  <si>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</si>
  <si>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</si>
  <si>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</si>
  <si>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</si>
  <si>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</si>
  <si>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</si>
  <si>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</si>
  <si>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</si>
  <si>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</si>
  <si>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</si>
  <si>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</si>
  <si>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</si>
  <si>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</si>
  <si>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</si>
  <si>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</si>
  <si>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</si>
  <si>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</si>
  <si>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</si>
  <si>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</si>
  <si>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</si>
  <si>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</si>
  <si>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</si>
  <si>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</si>
  <si>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</si>
  <si>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</si>
  <si>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</si>
  <si>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</si>
  <si>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</si>
  <si>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</si>
  <si>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</si>
  <si>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</si>
  <si>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</si>
  <si>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</si>
  <si>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</si>
  <si>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</si>
  <si>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</si>
  <si>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</si>
  <si>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</si>
  <si>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</si>
  <si>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</si>
  <si>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</si>
  <si>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</si>
  <si>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</si>
  <si>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</si>
  <si>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</si>
  <si>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</si>
  <si>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</si>
  <si>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</si>
  <si>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</si>
  <si>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</si>
  <si>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</si>
  <si>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</si>
  <si>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</si>
  <si>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</si>
  <si>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</si>
  <si>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</si>
  <si>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</si>
  <si>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</si>
  <si>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</si>
  <si>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</si>
  <si>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</si>
  <si>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</si>
  <si>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</si>
  <si>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</si>
  <si>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</si>
  <si>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</si>
  <si>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</si>
  <si>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</si>
  <si>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</si>
  <si>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</si>
  <si>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</si>
  <si>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</si>
  <si>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</si>
  <si>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</si>
  <si>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</si>
  <si>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</si>
  <si>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</si>
  <si>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</si>
  <si>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</si>
  <si>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</si>
  <si>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</si>
  <si>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</si>
  <si>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</si>
  <si>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</si>
  <si>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</si>
  <si>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</si>
  <si>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</si>
  <si>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</si>
  <si>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</si>
  <si>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</si>
  <si>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</si>
  <si>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</si>
  <si>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</si>
  <si>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</si>
  <si>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</si>
  <si>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</si>
  <si>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</si>
  <si>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</si>
  <si>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</si>
  <si>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</si>
  <si>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</si>
  <si>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</si>
  <si>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</si>
  <si>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</si>
  <si>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</si>
  <si>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</si>
  <si>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</si>
  <si>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</si>
  <si>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</si>
  <si>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</si>
  <si>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</si>
  <si>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</si>
  <si>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</si>
  <si>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</si>
  <si>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</si>
  <si>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</si>
  <si>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</si>
  <si>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</si>
  <si>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</si>
  <si>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</si>
  <si>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</si>
  <si>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</si>
  <si>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</si>
  <si>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</si>
  <si>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</si>
  <si>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</si>
  <si>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</si>
  <si>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</si>
  <si>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</si>
  <si>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</si>
  <si>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</si>
  <si>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</si>
  <si>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</si>
  <si>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</si>
  <si>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</si>
  <si>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</si>
  <si>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</si>
  <si>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</si>
  <si>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</si>
  <si>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</si>
  <si>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</si>
  <si>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</si>
  <si>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</si>
  <si>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</si>
  <si>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</si>
  <si>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</si>
  <si>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</si>
  <si>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</si>
  <si>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</si>
  <si>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</si>
  <si>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</si>
  <si>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</si>
  <si>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</si>
  <si>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</si>
  <si>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</si>
  <si>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</si>
  <si>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</si>
  <si>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</si>
  <si>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</si>
  <si>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</si>
  <si>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</si>
  <si>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</si>
  <si>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</si>
  <si>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</si>
  <si>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</si>
  <si>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</si>
  <si>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</si>
  <si>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</si>
  <si>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</si>
  <si>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</si>
  <si>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</si>
  <si>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</si>
  <si>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</si>
  <si>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</si>
  <si>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</si>
  <si>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</si>
  <si>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</si>
  <si>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</si>
  <si>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</si>
  <si>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</si>
  <si>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</si>
  <si>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</si>
  <si>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</si>
  <si>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</si>
  <si>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</si>
  <si>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</si>
  <si>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</si>
  <si>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</si>
  <si>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</si>
  <si>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</si>
  <si>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</si>
  <si>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</si>
  <si>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</si>
  <si>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</si>
  <si>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</si>
  <si>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</si>
  <si>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</si>
  <si>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</si>
  <si>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</si>
  <si>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</si>
  <si>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</si>
  <si>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</si>
  <si>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</si>
  <si>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</si>
  <si>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</si>
  <si>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</si>
  <si>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</si>
  <si>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</si>
  <si>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</si>
  <si>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</si>
  <si>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</si>
  <si>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</si>
  <si>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</si>
  <si>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</si>
  <si>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</si>
  <si>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</si>
  <si>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</si>
  <si>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</si>
  <si>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</si>
  <si>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</si>
  <si>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</si>
  <si>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</si>
  <si>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</si>
  <si>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</si>
  <si>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</si>
  <si>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</si>
  <si>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</si>
  <si>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</si>
  <si>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</si>
  <si>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</si>
  <si>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</si>
  <si>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</si>
  <si>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</si>
  <si>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</si>
  <si>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</si>
  <si>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</si>
  <si>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</si>
  <si>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</si>
  <si>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</si>
  <si>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</si>
  <si>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</si>
  <si>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</si>
  <si>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</si>
  <si>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</si>
  <si>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</si>
  <si>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</si>
  <si>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</si>
  <si>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</si>
  <si>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</si>
  <si>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</si>
  <si>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</si>
  <si>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</si>
  <si>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</si>
  <si>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</si>
  <si>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</si>
  <si>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</si>
  <si>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</si>
  <si>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</si>
  <si>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</si>
  <si>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</si>
  <si>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</si>
  <si>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</si>
  <si>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</si>
  <si>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</si>
  <si>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</si>
  <si>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</si>
  <si>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</si>
  <si>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</si>
  <si>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</si>
  <si>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</si>
  <si>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</si>
  <si>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</si>
  <si>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</si>
  <si>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</si>
  <si>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</si>
  <si>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</si>
  <si>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</si>
  <si>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</si>
  <si>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</si>
  <si>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</si>
  <si>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</si>
  <si>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</si>
  <si>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</si>
  <si>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</si>
  <si>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</si>
  <si>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</si>
  <si>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</si>
  <si>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</si>
  <si>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</si>
  <si>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</si>
  <si>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</si>
  <si>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</si>
  <si>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</si>
  <si>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</si>
  <si>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</si>
  <si>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</si>
  <si>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</si>
  <si>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</si>
  <si>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</si>
  <si>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</si>
  <si>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</si>
  <si>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</si>
  <si>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</si>
  <si>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</si>
  <si>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</si>
  <si>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</si>
  <si>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</si>
  <si>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</si>
  <si>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</si>
  <si>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</si>
  <si>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</si>
  <si>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</si>
  <si>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</si>
  <si>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</si>
  <si>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</si>
  <si>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</si>
  <si>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</si>
  <si>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</si>
  <si>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</si>
  <si>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</si>
  <si>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</si>
  <si>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</si>
  <si>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</si>
  <si>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</si>
  <si>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</si>
  <si>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</si>
  <si>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</si>
  <si>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</si>
  <si>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</si>
  <si>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</si>
  <si>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</si>
  <si>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</si>
  <si>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</si>
  <si>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</si>
  <si>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</si>
  <si>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</si>
  <si>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</si>
  <si>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</si>
  <si>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</si>
  <si>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</si>
  <si>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</si>
  <si>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</si>
  <si>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</si>
  <si>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</si>
  <si>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</si>
  <si>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</si>
  <si>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</si>
  <si>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</si>
  <si>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</si>
  <si>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</si>
  <si>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</si>
  <si>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</si>
  <si>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</si>
  <si>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</si>
  <si>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</si>
  <si>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</si>
  <si>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</si>
  <si>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</si>
  <si>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</si>
  <si>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</si>
  <si>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</si>
  <si>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</si>
  <si>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</si>
  <si>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</si>
  <si>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</si>
  <si>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</si>
  <si>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</si>
  <si>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</si>
  <si>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</si>
  <si>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</si>
  <si>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</si>
  <si>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</si>
  <si>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</si>
  <si>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</si>
  <si>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</si>
  <si>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</si>
  <si>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</si>
  <si>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</si>
  <si>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</si>
  <si>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</si>
  <si>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</si>
  <si>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</si>
  <si>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</si>
  <si>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</si>
  <si>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</si>
  <si>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</si>
  <si>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</si>
  <si>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</si>
  <si>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</si>
  <si>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</si>
  <si>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</si>
  <si>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</si>
  <si>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</si>
  <si>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</si>
  <si>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</si>
  <si>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</si>
  <si>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</si>
  <si>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</si>
  <si>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</si>
  <si>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</si>
  <si>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</si>
  <si>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</si>
  <si>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</si>
  <si>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</si>
  <si>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</si>
  <si>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</si>
  <si>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</si>
  <si>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</si>
  <si>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</si>
  <si>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</si>
  <si>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</si>
  <si>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</si>
  <si>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</si>
  <si>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</si>
  <si>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</si>
  <si>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</si>
  <si>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</si>
  <si>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</si>
  <si>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</si>
  <si>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</si>
  <si>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</si>
  <si>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</si>
  <si>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</si>
  <si>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</si>
  <si>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</si>
  <si>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</si>
  <si>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</si>
  <si>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</si>
  <si>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</si>
  <si>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</si>
  <si>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</si>
  <si>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</si>
  <si>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</si>
  <si>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</si>
  <si>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</si>
  <si>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</si>
  <si>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</si>
  <si>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</si>
  <si>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</si>
  <si>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</si>
  <si>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</si>
  <si>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</si>
  <si>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</si>
  <si>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</si>
  <si>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</si>
  <si>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</si>
  <si>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</si>
  <si>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</si>
  <si>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</si>
  <si>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</si>
  <si>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</si>
  <si>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</si>
  <si>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</si>
  <si>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</si>
  <si>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</si>
  <si>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</si>
  <si>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</si>
  <si>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</si>
  <si>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</si>
  <si>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</si>
  <si>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</si>
  <si>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</si>
  <si>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</si>
  <si>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</si>
  <si>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</si>
  <si>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</si>
  <si>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</si>
  <si>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</si>
  <si>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</si>
  <si>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</si>
  <si>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</si>
  <si>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</si>
  <si>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</si>
  <si>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</si>
  <si>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</si>
  <si>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</si>
  <si>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</si>
  <si>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</si>
  <si>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</si>
  <si>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</si>
  <si>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</si>
  <si>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</si>
  <si>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</si>
  <si>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</si>
  <si>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</si>
  <si>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</si>
  <si>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</si>
  <si>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</si>
  <si>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</si>
  <si>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</si>
  <si>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</si>
  <si>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</si>
  <si>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</si>
  <si>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</si>
  <si>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</si>
  <si>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</si>
  <si>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</si>
  <si>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</si>
  <si>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</si>
  <si>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</si>
  <si>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</si>
  <si>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</si>
  <si>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</si>
  <si>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</si>
  <si>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</si>
  <si>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</si>
  <si>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</si>
  <si>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</si>
  <si>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</si>
  <si>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</si>
  <si>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</si>
  <si>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</si>
  <si>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</si>
  <si>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</si>
  <si>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</si>
  <si>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</si>
  <si>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</si>
  <si>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</si>
  <si>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</si>
  <si>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</si>
  <si>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</si>
  <si>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</si>
  <si>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</si>
  <si>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</si>
  <si>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</si>
  <si>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</si>
  <si>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</si>
  <si>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</si>
  <si>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</si>
  <si>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</si>
  <si>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</si>
  <si>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</si>
  <si>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</si>
  <si>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</si>
  <si>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</si>
  <si>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</si>
  <si>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</si>
  <si>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</si>
  <si>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</si>
  <si>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</si>
  <si>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</si>
  <si>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</si>
  <si>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</si>
  <si>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</si>
  <si>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</si>
  <si>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</si>
  <si>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</si>
  <si>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</si>
  <si>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</si>
  <si>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</si>
  <si>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</si>
  <si>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</si>
  <si>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</si>
  <si>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</si>
  <si>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</si>
  <si>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</si>
  <si>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</si>
  <si>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</si>
  <si>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</si>
  <si>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</si>
  <si>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</si>
  <si>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</si>
  <si>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</si>
  <si>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</si>
  <si>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</si>
  <si>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</si>
  <si>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</si>
  <si>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</si>
  <si>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</si>
  <si>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</si>
  <si>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</si>
  <si>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</si>
  <si>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</si>
  <si>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</si>
  <si>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</si>
  <si>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</si>
  <si>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</si>
  <si>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</si>
  <si>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</si>
  <si>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</si>
  <si>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</si>
  <si>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</si>
  <si>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</si>
  <si>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</si>
  <si>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</si>
  <si>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</si>
  <si>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</si>
  <si>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</si>
  <si>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</si>
  <si>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</si>
  <si>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</si>
  <si>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</si>
  <si>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</si>
  <si>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</si>
  <si>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</si>
  <si>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</si>
  <si>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</si>
  <si>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</si>
  <si>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</si>
  <si>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</si>
  <si>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</si>
  <si>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</si>
  <si>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</si>
  <si>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</si>
  <si>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</si>
  <si>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</si>
  <si>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</si>
  <si>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</si>
  <si>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</si>
  <si>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</si>
  <si>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</si>
  <si>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</si>
  <si>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</si>
  <si>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</si>
  <si>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</si>
  <si>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</si>
  <si>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</si>
  <si>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</si>
  <si>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</si>
  <si>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</si>
  <si>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</si>
  <si>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</si>
  <si>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</si>
  <si>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</si>
  <si>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</si>
  <si>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</si>
  <si>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</si>
  <si>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</si>
  <si>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</si>
  <si>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</si>
  <si>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</si>
  <si>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</si>
  <si>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</si>
  <si>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</si>
  <si>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</si>
  <si>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</si>
  <si>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</si>
  <si>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</si>
  <si>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</si>
  <si>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</si>
  <si>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</si>
  <si>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</si>
  <si>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</si>
  <si>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</si>
  <si>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</si>
  <si>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</si>
  <si>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</si>
  <si>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</si>
  <si>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</si>
  <si>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</si>
  <si>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</si>
  <si>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</si>
  <si>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</si>
  <si>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</si>
  <si>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</si>
  <si>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</si>
  <si>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</si>
  <si>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</si>
  <si>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</si>
  <si>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</si>
  <si>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</si>
  <si>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</si>
  <si>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</si>
  <si>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</si>
  <si>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</si>
  <si>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</si>
  <si>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</si>
  <si>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</si>
  <si>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</si>
  <si>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</si>
  <si>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</si>
  <si>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</si>
  <si>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</si>
  <si>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</si>
  <si>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</si>
  <si>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</si>
  <si>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</si>
  <si>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</si>
  <si>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</si>
  <si>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</si>
  <si>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</si>
  <si>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</si>
  <si>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</si>
  <si>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</si>
  <si>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</si>
  <si>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</si>
  <si>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</si>
  <si>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</si>
  <si>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</si>
  <si>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</si>
  <si>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</si>
  <si>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</si>
  <si>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</si>
  <si>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</si>
  <si>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</si>
  <si>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</si>
  <si>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</si>
  <si>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</si>
  <si>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</si>
  <si>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</si>
  <si>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</si>
  <si>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</si>
  <si>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</si>
  <si>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</si>
  <si>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</si>
  <si>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</si>
  <si>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</si>
  <si>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</si>
  <si>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</si>
  <si>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</si>
  <si>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</si>
  <si>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</si>
  <si>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</si>
  <si>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</si>
  <si>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</si>
  <si>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</si>
  <si>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</si>
  <si>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</si>
  <si>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</si>
  <si>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</si>
  <si>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</si>
  <si>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</si>
  <si>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</si>
  <si>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</si>
  <si>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</si>
  <si>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</si>
  <si>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</si>
  <si>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</si>
  <si>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</si>
  <si>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</si>
  <si>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</si>
  <si>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</si>
  <si>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</si>
  <si>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</si>
  <si>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</si>
  <si>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</si>
  <si>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</si>
  <si>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</si>
  <si>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</si>
  <si>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</si>
  <si>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</si>
  <si>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</si>
  <si>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</si>
  <si>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</si>
  <si>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</si>
  <si>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</si>
  <si>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</si>
  <si>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</si>
  <si>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</si>
  <si>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</si>
  <si>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</si>
  <si>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</si>
  <si>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</si>
  <si>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</si>
  <si>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</si>
  <si>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</si>
  <si>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</si>
  <si>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</si>
  <si>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</si>
  <si>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</si>
  <si>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</si>
  <si>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</si>
  <si>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</si>
  <si>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</si>
  <si>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</si>
  <si>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</si>
  <si>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</si>
  <si>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</si>
  <si>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</si>
  <si>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</si>
  <si>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</si>
  <si>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</si>
  <si>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</si>
  <si>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</si>
  <si>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</si>
  <si>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</si>
  <si>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</si>
  <si>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</si>
  <si>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</si>
  <si>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</si>
  <si>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</si>
  <si>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</si>
  <si>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</si>
  <si>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</si>
  <si>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</si>
  <si>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</si>
  <si>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</si>
  <si>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</si>
  <si>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</si>
  <si>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</si>
  <si>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</si>
  <si>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</si>
  <si>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</si>
  <si>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</si>
  <si>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</si>
  <si>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</si>
  <si>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</si>
  <si>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</si>
  <si>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</si>
  <si>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</si>
  <si>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</si>
  <si>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</si>
  <si>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</si>
  <si>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</si>
  <si>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</si>
  <si>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</si>
  <si>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</si>
  <si>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</si>
  <si>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</si>
  <si>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</si>
  <si>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</si>
  <si>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</si>
  <si>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</si>
  <si>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</si>
  <si>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</si>
  <si>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</si>
  <si>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</si>
  <si>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</si>
  <si>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</si>
  <si>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</si>
  <si>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</si>
  <si>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</si>
  <si>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</si>
  <si>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</si>
  <si>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</si>
  <si>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</si>
  <si>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</si>
  <si>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</si>
  <si>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</si>
  <si>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</si>
  <si>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</si>
  <si>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</si>
  <si>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</si>
  <si>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</si>
  <si>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</si>
  <si>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</si>
  <si>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</si>
  <si>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</si>
  <si>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</si>
  <si>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</si>
  <si>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</si>
  <si>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</si>
  <si>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</si>
  <si>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</si>
  <si>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</si>
  <si>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</si>
  <si>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</si>
  <si>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</si>
  <si>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</si>
  <si>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</si>
  <si>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</si>
  <si>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</si>
  <si>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</si>
  <si>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</si>
  <si>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</si>
  <si>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</si>
  <si>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</si>
  <si>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</si>
  <si>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</si>
  <si>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</si>
  <si>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</si>
  <si>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</si>
  <si>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</si>
  <si>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</si>
  <si>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</si>
  <si>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</si>
  <si>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</si>
  <si>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</si>
  <si>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</si>
  <si>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</si>
  <si>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</si>
  <si>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</si>
  <si>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</si>
  <si>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</si>
  <si>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</si>
  <si>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</si>
  <si>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</si>
  <si>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</si>
  <si>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</si>
  <si>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</si>
  <si>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</si>
  <si>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</si>
  <si>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</si>
  <si>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</si>
  <si>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</si>
  <si>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</si>
  <si>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</si>
  <si>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</si>
  <si>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</si>
  <si>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</si>
  <si>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</si>
  <si>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</si>
  <si>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</si>
  <si>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</si>
  <si>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</si>
  <si>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</si>
  <si>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</si>
  <si>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</si>
  <si>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</si>
  <si>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</si>
  <si>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</si>
  <si>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</si>
  <si>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</si>
  <si>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</si>
  <si>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</si>
  <si>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</si>
  <si>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</si>
  <si>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</si>
  <si>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</si>
  <si>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</si>
  <si>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</si>
  <si>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</si>
  <si>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</si>
  <si>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</si>
  <si>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</si>
  <si>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</si>
  <si>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</si>
  <si>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</si>
  <si>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</si>
  <si>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</si>
  <si>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</si>
  <si>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</si>
  <si>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</si>
  <si>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</si>
  <si>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</si>
  <si>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</si>
  <si>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</si>
  <si>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</si>
  <si>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</si>
  <si>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</si>
  <si>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</si>
  <si>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</si>
  <si>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</si>
  <si>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</si>
  <si>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</si>
  <si>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</si>
  <si>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</si>
  <si>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</si>
  <si>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</si>
  <si>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</si>
  <si>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</si>
  <si>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</si>
  <si>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</si>
  <si>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</si>
  <si>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</si>
  <si>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</si>
  <si>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</si>
  <si>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</si>
  <si>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</si>
  <si>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</si>
  <si>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</si>
  <si>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</si>
  <si>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</si>
  <si>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</si>
  <si>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</si>
  <si>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</si>
  <si>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</si>
  <si>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</si>
  <si>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</si>
  <si>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</si>
  <si>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</si>
  <si>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</si>
  <si>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</si>
  <si>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</si>
  <si>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</si>
  <si>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</si>
  <si>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</si>
  <si>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</si>
  <si>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</si>
  <si>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</si>
  <si>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</si>
  <si>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</si>
  <si>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</si>
  <si>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</si>
  <si>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</si>
  <si>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</si>
  <si>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</si>
  <si>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</si>
  <si>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</si>
  <si>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</si>
  <si>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</si>
  <si>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</si>
  <si>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</si>
  <si>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</si>
  <si>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</si>
  <si>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</si>
  <si>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</si>
  <si>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</si>
  <si>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</si>
  <si>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</si>
  <si>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</si>
  <si>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</si>
  <si>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</si>
  <si>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</si>
  <si>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</si>
  <si>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</si>
  <si>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</si>
  <si>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</si>
  <si>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</si>
  <si>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</si>
  <si>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</si>
  <si>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</si>
  <si>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</si>
  <si>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</si>
  <si>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</si>
  <si>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</si>
  <si>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</si>
  <si>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</si>
  <si>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</si>
  <si>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</si>
  <si>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</si>
  <si>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</si>
  <si>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</si>
  <si>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</si>
  <si>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</si>
  <si>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</si>
  <si>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</si>
  <si>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</si>
  <si>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</si>
  <si>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</si>
  <si>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</si>
  <si>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</si>
  <si>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</si>
  <si>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</si>
  <si>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</si>
  <si>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</si>
  <si>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</si>
  <si>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</si>
  <si>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</si>
  <si>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</si>
  <si>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</si>
  <si>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</si>
  <si>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</si>
  <si>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</si>
  <si>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</si>
  <si>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</si>
  <si>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</si>
  <si>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</si>
  <si>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</si>
  <si>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</si>
  <si>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</si>
  <si>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</si>
  <si>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</si>
  <si>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</si>
  <si>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</si>
  <si>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</si>
  <si>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</si>
  <si>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</si>
  <si>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</si>
  <si>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</si>
  <si>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</si>
  <si>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</si>
  <si>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</si>
  <si>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</si>
  <si>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</si>
  <si>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</si>
  <si>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</si>
  <si>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</si>
  <si>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</si>
  <si>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</si>
  <si>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</si>
  <si>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</si>
  <si>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</si>
  <si>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</si>
  <si>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</si>
  <si>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</si>
  <si>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</si>
  <si>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</si>
  <si>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</si>
  <si>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</si>
  <si>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</si>
  <si>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</si>
  <si>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</si>
  <si>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</si>
  <si>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</si>
  <si>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</si>
  <si>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</si>
  <si>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</si>
  <si>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</si>
  <si>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</si>
  <si>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</si>
  <si>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</si>
  <si>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</si>
  <si>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</si>
  <si>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</si>
  <si>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</si>
  <si>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</si>
  <si>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</si>
  <si>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</si>
  <si>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</si>
  <si>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</si>
  <si>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</si>
  <si>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</si>
  <si>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</si>
  <si>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</si>
  <si>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</si>
  <si>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</si>
  <si>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</si>
  <si>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</si>
  <si>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</si>
  <si>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</si>
  <si>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</si>
  <si>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</si>
  <si>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</si>
  <si>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</si>
  <si>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</si>
  <si>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</si>
  <si>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</si>
  <si>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</si>
  <si>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</si>
  <si>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</si>
  <si>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</si>
  <si>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</si>
  <si>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</si>
  <si>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</si>
  <si>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</si>
  <si>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</si>
  <si>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</si>
  <si>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</si>
  <si>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</si>
  <si>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</si>
  <si>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</si>
  <si>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</si>
  <si>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</si>
  <si>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</si>
  <si>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</si>
  <si>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</si>
  <si>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</si>
  <si>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</si>
  <si>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</si>
  <si>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</si>
  <si>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</si>
  <si>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</si>
  <si>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</si>
  <si>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</si>
  <si>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</si>
  <si>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</si>
  <si>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</si>
  <si>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</si>
  <si>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</si>
  <si>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</si>
  <si>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</si>
  <si>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</si>
  <si>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</si>
  <si>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</si>
  <si>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</si>
  <si>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</si>
  <si>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</si>
  <si>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</si>
  <si>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</si>
  <si>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</si>
  <si>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</si>
  <si>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</si>
  <si>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</si>
  <si>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</si>
  <si>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</si>
  <si>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</si>
  <si>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</si>
  <si>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</si>
  <si>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</si>
  <si>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</si>
  <si>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</si>
  <si>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</si>
  <si>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</si>
  <si>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</si>
  <si>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</si>
  <si>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</si>
  <si>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</si>
  <si>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</si>
  <si>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</si>
  <si>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</si>
  <si>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</si>
  <si>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</si>
  <si>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</si>
  <si>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</si>
  <si>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</si>
  <si>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</si>
  <si>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</si>
  <si>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</si>
  <si>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</si>
  <si>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</si>
  <si>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</si>
  <si>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</si>
  <si>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</si>
  <si>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</si>
  <si>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</si>
  <si>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</si>
  <si>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</si>
  <si>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</si>
  <si>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</si>
  <si>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</si>
  <si>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</si>
  <si>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</si>
  <si>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</si>
  <si>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</si>
  <si>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</si>
  <si>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</si>
  <si>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</si>
  <si>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</si>
  <si>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</si>
  <si>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</si>
  <si>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</si>
  <si>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</si>
  <si>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</si>
  <si>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</si>
  <si>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</si>
  <si>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</si>
  <si>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</si>
  <si>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</si>
  <si>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</si>
  <si>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</si>
  <si>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</si>
  <si>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</si>
  <si>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</si>
  <si>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</si>
  <si>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</si>
  <si>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</si>
  <si>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</si>
  <si>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</si>
  <si>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</si>
  <si>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</si>
  <si>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</si>
  <si>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</si>
  <si>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</si>
  <si>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</si>
  <si>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</si>
  <si>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</si>
  <si>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</si>
  <si>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</si>
  <si>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</si>
  <si>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</si>
  <si>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</si>
  <si>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</si>
  <si>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</si>
  <si>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</si>
  <si>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</si>
  <si>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</si>
  <si>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</si>
  <si>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</si>
  <si>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</si>
  <si>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</si>
  <si>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</si>
  <si>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</si>
  <si>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</si>
  <si>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</si>
  <si>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</si>
  <si>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</si>
  <si>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</si>
  <si>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</si>
  <si>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</si>
  <si>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</si>
  <si>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</si>
  <si>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</si>
  <si>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</si>
  <si>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</si>
  <si>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</si>
  <si>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</si>
  <si>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</si>
  <si>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</si>
  <si>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</si>
  <si>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</si>
  <si>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</si>
  <si>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</si>
  <si>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</si>
  <si>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</si>
  <si>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</si>
  <si>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</si>
  <si>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</si>
  <si>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</si>
  <si>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</si>
  <si>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</si>
  <si>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</si>
  <si>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</si>
  <si>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</si>
  <si>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</si>
  <si>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</si>
  <si>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</si>
  <si>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</si>
  <si>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</si>
  <si>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</si>
  <si>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</si>
  <si>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</si>
  <si>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</si>
  <si>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</si>
  <si>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</si>
  <si>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</si>
  <si>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</si>
  <si>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</si>
  <si>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</si>
  <si>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</si>
  <si>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</si>
  <si>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</si>
  <si>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</si>
  <si>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</si>
  <si>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</si>
  <si>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</si>
  <si>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</si>
  <si>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</si>
  <si>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</si>
  <si>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</si>
  <si>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</si>
  <si>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</si>
  <si>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</si>
  <si>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</si>
  <si>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</si>
  <si>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</si>
  <si>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</si>
  <si>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</si>
  <si>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</si>
  <si>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</si>
  <si>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</si>
  <si>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</si>
  <si>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</si>
  <si>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</si>
  <si>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</si>
  <si>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</si>
  <si>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</si>
  <si>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</si>
  <si>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</si>
  <si>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</si>
  <si>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</si>
  <si>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</si>
  <si>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</si>
  <si>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</si>
  <si>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</si>
  <si>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</si>
  <si>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</si>
  <si>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</si>
  <si>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</si>
  <si>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</si>
  <si>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</si>
  <si>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</si>
  <si>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</si>
  <si>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</si>
  <si>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</si>
  <si>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</si>
  <si>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</si>
  <si>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</si>
  <si>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</si>
  <si>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</si>
  <si>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</si>
  <si>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</si>
  <si>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</si>
  <si>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</si>
  <si>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</si>
  <si>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</si>
  <si>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</si>
  <si>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</si>
  <si>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</si>
  <si>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</si>
  <si>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</si>
  <si>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</si>
  <si>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</si>
  <si>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</si>
  <si>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</si>
  <si>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</si>
  <si>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</si>
  <si>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</si>
  <si>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</si>
  <si>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</si>
  <si>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</si>
  <si>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</si>
  <si>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</si>
  <si>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</si>
  <si>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</si>
  <si>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</si>
  <si>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</si>
  <si>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</si>
  <si>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</si>
  <si>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</si>
  <si>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</si>
  <si>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</si>
  <si>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</si>
  <si>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</si>
  <si>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</si>
  <si>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</si>
  <si>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</si>
  <si>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</si>
  <si>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</si>
  <si>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</si>
  <si>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</si>
  <si>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</si>
  <si>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</si>
  <si>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</si>
  <si>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</si>
  <si>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</si>
  <si>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</si>
  <si>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</si>
  <si>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</si>
  <si>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</si>
  <si>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</si>
  <si>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</si>
  <si>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</si>
  <si>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</si>
  <si>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</si>
  <si>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</si>
  <si>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</si>
  <si>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</si>
  <si>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</si>
  <si>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</si>
  <si>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</si>
  <si>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</si>
  <si>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</si>
  <si>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</si>
  <si>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</si>
  <si>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</si>
  <si>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</si>
  <si>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</si>
  <si>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</si>
  <si>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</si>
  <si>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</si>
  <si>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</si>
  <si>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</si>
  <si>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</si>
  <si>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</si>
  <si>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</si>
  <si>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</si>
  <si>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</si>
  <si>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</si>
  <si>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</si>
  <si>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</si>
  <si>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</si>
  <si>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</si>
  <si>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</si>
  <si>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</si>
  <si>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</si>
  <si>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</si>
  <si>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</si>
  <si>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</si>
  <si>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</si>
  <si>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</si>
  <si>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</si>
  <si>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</si>
  <si>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</si>
  <si>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</si>
  <si>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</si>
  <si>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</si>
  <si>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</si>
  <si>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</si>
  <si>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</si>
  <si>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</si>
  <si>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</si>
  <si>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</si>
  <si>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</si>
  <si>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</si>
  <si>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</si>
  <si>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</si>
  <si>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</si>
  <si>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</si>
  <si>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</si>
  <si>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</si>
  <si>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</si>
  <si>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</si>
  <si>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</si>
  <si>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</si>
  <si>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</si>
  <si>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</si>
  <si>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</si>
  <si>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</si>
  <si>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</si>
  <si>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</si>
  <si>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</si>
  <si>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</si>
  <si>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</si>
  <si>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</si>
  <si>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</si>
  <si>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</si>
  <si>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</si>
  <si>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</si>
  <si>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</si>
  <si>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</si>
  <si>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</si>
  <si>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</si>
  <si>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</si>
  <si>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</si>
  <si>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</si>
  <si>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</si>
  <si>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</si>
  <si>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</si>
  <si>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</si>
  <si>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</si>
  <si>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</si>
  <si>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</si>
  <si>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</si>
  <si>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</si>
  <si>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</si>
  <si>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</si>
  <si>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</si>
  <si>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</si>
  <si>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</si>
  <si>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</si>
  <si>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</si>
  <si>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</si>
  <si>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</si>
  <si>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</si>
  <si>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</si>
  <si>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</si>
  <si>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</si>
  <si>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</si>
  <si>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</si>
  <si>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</si>
  <si>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</si>
  <si>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</si>
  <si>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</si>
  <si>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</si>
  <si>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</si>
  <si>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</si>
  <si>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</si>
  <si>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</si>
  <si>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</si>
  <si>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</si>
  <si>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</si>
  <si>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</si>
  <si>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</si>
  <si>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</si>
  <si>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</si>
  <si>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</si>
  <si>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</si>
  <si>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</si>
  <si>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</si>
  <si>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</si>
  <si>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</si>
  <si>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</si>
  <si>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</si>
  <si>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</si>
  <si>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</si>
  <si>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</si>
  <si>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</si>
  <si>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</si>
  <si>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</si>
  <si>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</si>
  <si>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</si>
  <si>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</si>
  <si>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</si>
  <si>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</si>
  <si>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</si>
  <si>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</si>
  <si>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</si>
  <si>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</si>
  <si>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</si>
  <si>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</si>
  <si>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</si>
  <si>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</si>
  <si>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</si>
  <si>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</si>
  <si>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</si>
  <si>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</si>
  <si>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</si>
  <si>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</si>
  <si>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</si>
  <si>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</si>
  <si>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</si>
  <si>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</si>
  <si>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</si>
  <si>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</si>
  <si>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</si>
  <si>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</si>
  <si>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</si>
  <si>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</si>
  <si>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</si>
  <si>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</si>
  <si>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</si>
  <si>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</si>
  <si>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</si>
  <si>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</si>
  <si>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</si>
  <si>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</si>
  <si>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</si>
  <si>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</si>
  <si>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</si>
  <si>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</si>
  <si>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</si>
  <si>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</si>
  <si>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</si>
  <si>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</si>
  <si>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</si>
  <si>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</si>
  <si>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</si>
  <si>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</si>
  <si>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</si>
  <si>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</si>
  <si>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</si>
  <si>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</si>
  <si>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</si>
  <si>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</si>
  <si>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</si>
  <si>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</si>
  <si>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</si>
  <si>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</si>
  <si>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</si>
  <si>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</si>
  <si>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</si>
  <si>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</si>
  <si>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</si>
  <si>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</si>
  <si>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</si>
  <si>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</si>
  <si>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</si>
  <si>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</si>
  <si>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</si>
  <si>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</si>
  <si>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</si>
  <si>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</si>
  <si>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</si>
  <si>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</si>
  <si>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</si>
  <si>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</si>
  <si>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</si>
  <si>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</si>
  <si>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</si>
  <si>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</si>
  <si>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</si>
  <si>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</si>
  <si>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</si>
  <si>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</si>
  <si>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</si>
  <si>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</si>
  <si>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</si>
  <si>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</si>
  <si>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</si>
  <si>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</si>
  <si>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</si>
  <si>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</si>
  <si>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</si>
  <si>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</si>
  <si>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</si>
  <si>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</si>
  <si>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</si>
  <si>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</si>
  <si>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</si>
  <si>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</si>
  <si>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</si>
  <si>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</si>
  <si>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</si>
  <si>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</si>
  <si>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</si>
  <si>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</si>
  <si>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</si>
  <si>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</si>
  <si>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</si>
  <si>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</si>
  <si>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</si>
  <si>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</si>
  <si>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</si>
  <si>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</si>
  <si>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</si>
  <si>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</si>
  <si>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</si>
  <si>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</si>
  <si>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</si>
  <si>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</si>
  <si>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</si>
  <si>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</si>
  <si>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</si>
  <si>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</si>
  <si>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</si>
  <si>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</si>
  <si>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</si>
  <si>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</si>
  <si>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</si>
  <si>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</si>
  <si>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</si>
  <si>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</si>
  <si>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</si>
  <si>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</si>
  <si>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</si>
  <si>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</si>
  <si>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</si>
  <si>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</si>
  <si>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</si>
  <si>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</si>
  <si>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</si>
  <si>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</si>
  <si>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</si>
  <si>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</si>
  <si>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</si>
  <si>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</si>
  <si>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</si>
  <si>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</si>
  <si>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</si>
  <si>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</si>
  <si>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</si>
  <si>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</si>
  <si>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</si>
  <si>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</si>
  <si>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</si>
  <si>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</si>
  <si>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</si>
  <si>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</si>
  <si>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</si>
  <si>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</si>
  <si>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</si>
  <si>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</si>
  <si>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</si>
  <si>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</si>
  <si>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</si>
  <si>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</si>
  <si>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</si>
  <si>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</si>
  <si>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</si>
  <si>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</si>
  <si>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</si>
  <si>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</si>
  <si>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</si>
  <si>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</si>
  <si>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</si>
  <si>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</si>
  <si>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</si>
  <si>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</si>
  <si>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</si>
  <si>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</si>
  <si>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</si>
  <si>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</si>
  <si>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</si>
  <si>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</si>
  <si>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</si>
  <si>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</si>
  <si>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</si>
  <si>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</si>
  <si>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</si>
  <si>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</si>
  <si>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</si>
  <si>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</si>
  <si>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</si>
  <si>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</si>
  <si>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</si>
  <si>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</si>
  <si>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</si>
  <si>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</si>
  <si>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</si>
  <si>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</si>
  <si>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</si>
  <si>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</si>
  <si>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</si>
  <si>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</si>
  <si>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</si>
  <si>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</si>
  <si>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</si>
  <si>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</si>
  <si>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</si>
  <si>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</si>
  <si>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</si>
  <si>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</si>
  <si>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</si>
  <si>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</si>
  <si>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</si>
  <si>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</si>
  <si>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</si>
  <si>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</si>
  <si>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</si>
  <si>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</si>
  <si>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</si>
  <si>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</si>
  <si>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</si>
  <si>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</si>
  <si>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</si>
  <si>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</si>
  <si>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</si>
  <si>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</si>
  <si>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</si>
  <si>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</si>
  <si>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</si>
  <si>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</si>
  <si>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</si>
  <si>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</si>
  <si>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</si>
  <si>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</si>
  <si>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</si>
  <si>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</si>
  <si>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</si>
  <si>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</si>
  <si>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</si>
  <si>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</si>
  <si>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</si>
  <si>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</si>
  <si>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</si>
  <si>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</si>
  <si>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</si>
  <si>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</si>
  <si>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</si>
  <si>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</si>
  <si>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</si>
  <si>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</si>
  <si>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廊坊市</t>
  </si>
  <si>
    <t>廊坊市</t>
    <phoneticPr fontId="6" type="noConversion"/>
  </si>
  <si>
    <t>永清县别古庄镇小荆垡村西北</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</si>
  <si>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</si>
  <si>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</si>
  <si>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</si>
  <si>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</si>
  <si>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</si>
  <si>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</si>
  <si>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</si>
  <si>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</si>
  <si>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</si>
  <si>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</si>
  <si>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</si>
  <si>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</si>
  <si>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</si>
  <si>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永清县李黄庄村村南</t>
  </si>
  <si>
    <t>住宅用地</t>
  </si>
  <si>
    <t>大于或等于1.3并且小于或等于2</t>
  </si>
  <si>
    <t>挂牌</t>
  </si>
  <si>
    <t>2019-06-20</t>
  </si>
  <si>
    <t>永清县新创云杰房地产开发有限公司</t>
  </si>
  <si>
    <t>0星</t>
  </si>
  <si>
    <t>永清县城内朱家坟村西</t>
  </si>
  <si>
    <t>2018-06-28</t>
  </si>
  <si>
    <t>廊坊赫锋房地产开发有限公司</t>
  </si>
  <si>
    <t>永清县永清镇南关厢村武隆路东侧</t>
  </si>
  <si>
    <t>大于或等于1.3并且小于或等于1.51</t>
  </si>
  <si>
    <t>廊坊德丰房地产开发有限公司</t>
  </si>
  <si>
    <t>永清县李黄庄村</t>
  </si>
  <si>
    <t>永清永燕房地产开发有限公司</t>
  </si>
  <si>
    <t>永清县北关小学南</t>
  </si>
  <si>
    <t>大于或等于1.3并且小于或等于1.8</t>
  </si>
  <si>
    <t>永清县裕丰房地产开发有限公司</t>
  </si>
  <si>
    <t>永清县城内武隆路东侧</t>
  </si>
  <si>
    <t>大于或等于1.3并且小于或等于3.77</t>
  </si>
  <si>
    <t>2018-01-16</t>
  </si>
  <si>
    <t>永清县城内益昌路西侧明珠超市西</t>
  </si>
  <si>
    <t>廊坊市明珠房地产开发有限公司</t>
  </si>
  <si>
    <t>永清县北关村北廊霸路北侧</t>
  </si>
  <si>
    <t>招标</t>
  </si>
  <si>
    <t>2017-12-09</t>
  </si>
  <si>
    <t>廊坊万科房地产开发有限公司、北京万科企业有限公司</t>
  </si>
  <si>
    <t>永清县高新技术产业开发区菜园村</t>
  </si>
  <si>
    <t>永清荣之地房地产开发有限公司、荣盛房地产发展股份有限公司</t>
  </si>
  <si>
    <t>永清县曹家务乡北曹家务村</t>
  </si>
  <si>
    <t>2017-08-09</t>
  </si>
  <si>
    <t>廊坊金泽房地产开发有限公司</t>
  </si>
  <si>
    <t>永清县菜园村东北</t>
  </si>
  <si>
    <t>2017-07-03</t>
  </si>
  <si>
    <t>荣盛房地产发展股份有限公司、永清荣恒房地产开发有限公司</t>
  </si>
  <si>
    <t>东胜房地产开发集团有限公司、廊坊拓达房地产开发有限公司</t>
  </si>
  <si>
    <t>永清县谭其营村北</t>
  </si>
  <si>
    <t>廊坊益田投资开发有限公司、廊坊益田房地产开发有限公司</t>
  </si>
  <si>
    <t>永清县谭其营村南、大良村北</t>
  </si>
  <si>
    <t>永清县朱家坟村</t>
  </si>
  <si>
    <t>大于或等于1.3并且小于或等于2.5</t>
  </si>
  <si>
    <t>2017-06-12</t>
  </si>
  <si>
    <t>永清县澳凯房地产开发有限公司</t>
  </si>
  <si>
    <t>永清县南关二村西侧</t>
  </si>
  <si>
    <t>等于1.3</t>
  </si>
  <si>
    <t>永清县悦海房地产开发有限公司</t>
  </si>
  <si>
    <t>永清县城内金雀街北侧</t>
  </si>
  <si>
    <t>大于或等于1.3并且小于或等于2.6</t>
  </si>
  <si>
    <t>永清县永清镇南关二村西</t>
  </si>
  <si>
    <t>大于或等于1.3并且小于或等于3.28</t>
  </si>
  <si>
    <t>廊坊新驰程房产开发有限公司</t>
  </si>
  <si>
    <t>永清县大良村北</t>
  </si>
  <si>
    <t>2017-06-08</t>
  </si>
  <si>
    <t>廊坊益田房地产开发有限公司、廊坊益田投资开发有限公司</t>
  </si>
  <si>
    <t>永清县柴庄子村西部</t>
  </si>
  <si>
    <t>大于或等于1.3并且小于或等于2.35</t>
  </si>
  <si>
    <t>廊坊景丰房地产开发有限公司、华夏幸福基业股份有限公司</t>
  </si>
  <si>
    <t>永清县谭其营村南</t>
  </si>
  <si>
    <t>永清县谭其营村西</t>
  </si>
  <si>
    <t>2017-03-15</t>
  </si>
  <si>
    <t>永清县刘其营村东</t>
  </si>
  <si>
    <t>大于或等于1.3并且小于或等于3.3</t>
  </si>
  <si>
    <t>2017-01-16</t>
  </si>
  <si>
    <t>廊坊市东岳房地产开发有限公司</t>
  </si>
  <si>
    <t>永清县裕丰街北侧</t>
  </si>
  <si>
    <t>大于或等于1.3并且小于或等于3.1</t>
  </si>
  <si>
    <t>永清县新发房地产开发有限公司</t>
  </si>
  <si>
    <t>永清县永清镇武隆路东侧</t>
  </si>
  <si>
    <t>大于或等于1.3并且小于或等于4.09</t>
  </si>
  <si>
    <t>永清县武隆路北段西侧</t>
  </si>
  <si>
    <t>大于或等于1.3并且小于或等于5.5</t>
  </si>
  <si>
    <t>廊坊卓立房地产开发有限公司</t>
  </si>
  <si>
    <t>永清县贾八里庄村西</t>
  </si>
  <si>
    <t>2016-12-28</t>
  </si>
  <si>
    <t>永清孔雀城房地产开发有限公司、华夏幸福基业股份有限公司</t>
  </si>
  <si>
    <t>永清县东八里庄村南</t>
  </si>
  <si>
    <t>永清县菜园村东</t>
  </si>
  <si>
    <t>大于或等于1.5并且小于或等于2</t>
  </si>
  <si>
    <t>2016-12-23</t>
  </si>
  <si>
    <t>永清聚信地产开发有限公司</t>
  </si>
  <si>
    <t>永清县朱家坟村中</t>
  </si>
  <si>
    <t>大于或等于1.3并且小于或等于3.602</t>
  </si>
  <si>
    <t>2016-05-08</t>
  </si>
  <si>
    <t>永清县韩村镇杨家营村南</t>
  </si>
  <si>
    <t>廊坊喜乐嘉房地产开发有限公司</t>
  </si>
  <si>
    <t>永清县韩庄村北</t>
  </si>
  <si>
    <t>永清盛世佳成房地产开发有限公司</t>
  </si>
  <si>
    <t>永清县永清镇南关二村</t>
  </si>
  <si>
    <t>大于或等于1并且小于或等于11</t>
  </si>
  <si>
    <t>2016-03-05</t>
  </si>
  <si>
    <t>永清县皓腾房地产开发有限公司</t>
  </si>
  <si>
    <t>永清县李黄庄村西北</t>
  </si>
  <si>
    <t>永清融华房地产开发有限公司</t>
  </si>
  <si>
    <t>永清县北曹家务村</t>
  </si>
  <si>
    <t>地上</t>
  </si>
  <si>
    <t>普通住宅</t>
  </si>
  <si>
    <t>一般</t>
  </si>
  <si>
    <t>一般</t>
    <phoneticPr fontId="3" type="noConversion"/>
  </si>
  <si>
    <t>一般</t>
    <phoneticPr fontId="3" type="noConversion"/>
  </si>
  <si>
    <t>七通</t>
  </si>
  <si>
    <t>七通</t>
    <phoneticPr fontId="3" type="noConversion"/>
  </si>
  <si>
    <t>住宅</t>
    <phoneticPr fontId="26" type="noConversion"/>
  </si>
  <si>
    <t>70</t>
    <phoneticPr fontId="26" type="noConversion"/>
  </si>
  <si>
    <t>公寓</t>
  </si>
  <si>
    <t>地下</t>
  </si>
  <si>
    <t>车库</t>
  </si>
  <si>
    <t>不动产收益法</t>
  </si>
  <si>
    <t>规则</t>
    <phoneticPr fontId="26" type="noConversion"/>
  </si>
  <si>
    <t>较规则</t>
  </si>
  <si>
    <t>较规则</t>
    <phoneticPr fontId="26" type="noConversion"/>
  </si>
  <si>
    <t>较不规则</t>
    <phoneticPr fontId="26" type="noConversion"/>
  </si>
  <si>
    <t>不规则</t>
    <phoneticPr fontId="26" type="noConversion"/>
  </si>
  <si>
    <t>高速路</t>
  </si>
  <si>
    <t>高速路</t>
    <phoneticPr fontId="26" type="noConversion"/>
  </si>
  <si>
    <t>快速路</t>
    <phoneticPr fontId="26" type="noConversion"/>
  </si>
  <si>
    <t>城市主干道</t>
  </si>
  <si>
    <t>城市主干道</t>
    <phoneticPr fontId="26" type="noConversion"/>
  </si>
  <si>
    <t>城市次干道</t>
    <phoneticPr fontId="26" type="noConversion"/>
  </si>
  <si>
    <t>支路</t>
  </si>
  <si>
    <t>支路</t>
    <phoneticPr fontId="26" type="noConversion"/>
  </si>
  <si>
    <t>较好</t>
  </si>
  <si>
    <t>楼面地价</t>
  </si>
  <si>
    <t>较差</t>
  </si>
  <si>
    <t>车位</t>
  </si>
  <si>
    <t>比较法-住宅、综合</t>
  </si>
  <si>
    <t>剩余法-待开发</t>
  </si>
  <si>
    <t>土地（套用方法）</t>
  </si>
  <si>
    <t>按租金收入计税</t>
  </si>
  <si>
    <t>钢混</t>
  </si>
  <si>
    <t>否</t>
  </si>
  <si>
    <t>企业</t>
  </si>
  <si>
    <t>使用权面积</t>
    <phoneticPr fontId="228" type="noConversion"/>
  </si>
  <si>
    <t>序号</t>
    <phoneticPr fontId="228" type="noConversion"/>
  </si>
  <si>
    <t>名称</t>
    <phoneticPr fontId="228" type="noConversion"/>
  </si>
  <si>
    <t>地上建筑面积</t>
    <phoneticPr fontId="228" type="noConversion"/>
  </si>
  <si>
    <t>地下建筑面积</t>
    <phoneticPr fontId="228" type="noConversion"/>
  </si>
  <si>
    <t>合计</t>
    <phoneticPr fontId="228" type="noConversion"/>
  </si>
  <si>
    <t>合计</t>
    <phoneticPr fontId="228" type="noConversion"/>
  </si>
  <si>
    <t>A2</t>
    <phoneticPr fontId="228" type="noConversion"/>
  </si>
  <si>
    <t>A3</t>
    <phoneticPr fontId="228" type="noConversion"/>
  </si>
  <si>
    <t>A1</t>
    <phoneticPr fontId="228" type="noConversion"/>
  </si>
  <si>
    <t>B2</t>
    <phoneticPr fontId="228" type="noConversion"/>
  </si>
  <si>
    <t>B3</t>
    <phoneticPr fontId="228" type="noConversion"/>
  </si>
  <si>
    <t>B1</t>
    <phoneticPr fontId="228" type="noConversion"/>
  </si>
  <si>
    <t>C2</t>
    <phoneticPr fontId="228" type="noConversion"/>
  </si>
  <si>
    <t>C1</t>
    <phoneticPr fontId="228" type="noConversion"/>
  </si>
  <si>
    <t>2号地4组团</t>
    <phoneticPr fontId="228" type="noConversion"/>
  </si>
  <si>
    <t>总建筑面积</t>
    <phoneticPr fontId="228" type="noConversion"/>
  </si>
  <si>
    <t>高层</t>
  </si>
  <si>
    <t>高层</t>
    <phoneticPr fontId="3" type="noConversion"/>
  </si>
  <si>
    <t>别墅</t>
  </si>
  <si>
    <t>别墅</t>
    <phoneticPr fontId="3" type="noConversion"/>
  </si>
  <si>
    <t>永清生态城1号地面积总表</t>
    <phoneticPr fontId="228" type="noConversion"/>
  </si>
  <si>
    <t>楼栋类型</t>
  </si>
  <si>
    <t>楼号</t>
  </si>
  <si>
    <t>楼栋数</t>
    <phoneticPr fontId="228" type="noConversion"/>
  </si>
  <si>
    <t>住宅户数（户）</t>
    <phoneticPr fontId="228" type="noConversion"/>
  </si>
  <si>
    <t>层数
（地上/地下）</t>
    <phoneticPr fontId="228" type="noConversion"/>
  </si>
  <si>
    <t>单栋地上面积（㎡）</t>
    <phoneticPr fontId="228" type="noConversion"/>
  </si>
  <si>
    <t>单栋地下面积（㎡）</t>
    <phoneticPr fontId="228" type="noConversion"/>
  </si>
  <si>
    <t>单栋总面积（㎡）</t>
    <phoneticPr fontId="228" type="noConversion"/>
  </si>
  <si>
    <t>楼栋地上总面积（㎡）</t>
    <phoneticPr fontId="228" type="noConversion"/>
  </si>
  <si>
    <t>楼栋地下总面积（㎡）</t>
    <phoneticPr fontId="228" type="noConversion"/>
  </si>
  <si>
    <t>楼栋总面积（㎡）</t>
    <phoneticPr fontId="228" type="noConversion"/>
  </si>
  <si>
    <t>备注</t>
  </si>
  <si>
    <t>配套</t>
  </si>
  <si>
    <t>生活配套</t>
    <phoneticPr fontId="228" type="noConversion"/>
  </si>
  <si>
    <t>1#楼</t>
  </si>
  <si>
    <t>3F/0</t>
    <phoneticPr fontId="228" type="noConversion"/>
  </si>
  <si>
    <t>幼儿园</t>
    <phoneticPr fontId="228" type="noConversion"/>
  </si>
  <si>
    <t>3#楼</t>
  </si>
  <si>
    <t>3F/0</t>
    <phoneticPr fontId="228" type="noConversion"/>
  </si>
  <si>
    <t>幼儿园</t>
  </si>
  <si>
    <t>高层住宅</t>
  </si>
  <si>
    <t>一拼</t>
  </si>
  <si>
    <t>2#</t>
  </si>
  <si>
    <t>6F/B1</t>
    <phoneticPr fontId="228" type="noConversion"/>
  </si>
  <si>
    <t>多层住宅</t>
    <phoneticPr fontId="228" type="noConversion"/>
  </si>
  <si>
    <t>4#、5#</t>
  </si>
  <si>
    <t>18F/B1</t>
    <phoneticPr fontId="228" type="noConversion"/>
  </si>
  <si>
    <t>高层住宅</t>
    <phoneticPr fontId="228" type="noConversion"/>
  </si>
  <si>
    <t>二拼</t>
  </si>
  <si>
    <t>12#、13#</t>
  </si>
  <si>
    <t>7#-10#、14#、17#</t>
  </si>
  <si>
    <t>18F/B2</t>
    <phoneticPr fontId="228" type="noConversion"/>
  </si>
  <si>
    <t>高层住宅
地下二面积计入车库</t>
    <phoneticPr fontId="228" type="noConversion"/>
  </si>
  <si>
    <t>18#</t>
  </si>
  <si>
    <t>高层住宅
屋顶设置消防水箱
地下二面积计入车库</t>
    <phoneticPr fontId="228" type="noConversion"/>
  </si>
  <si>
    <t>三拼</t>
  </si>
  <si>
    <t>6#、11#</t>
  </si>
  <si>
    <t>15#、16#</t>
  </si>
  <si>
    <t>联排</t>
  </si>
  <si>
    <t>小联排6联</t>
    <phoneticPr fontId="228" type="noConversion"/>
  </si>
  <si>
    <t>64#-67#、77#-80#、90#-93#</t>
  </si>
  <si>
    <t>4F/B1</t>
    <phoneticPr fontId="228" type="noConversion"/>
  </si>
  <si>
    <t>大联排4联</t>
    <phoneticPr fontId="228" type="noConversion"/>
  </si>
  <si>
    <t>53#、96#、</t>
    <phoneticPr fontId="228" type="noConversion"/>
  </si>
  <si>
    <t>104#</t>
    <phoneticPr fontId="228" type="noConversion"/>
  </si>
  <si>
    <t>大联排6联</t>
    <phoneticPr fontId="228" type="noConversion"/>
  </si>
  <si>
    <t>51#、52#、68#、69#、70#、81#、82#、83#、94#、95#</t>
    <phoneticPr fontId="228" type="noConversion"/>
  </si>
  <si>
    <t>105#、106#</t>
    <phoneticPr fontId="228" type="noConversion"/>
  </si>
  <si>
    <t>叠拼</t>
  </si>
  <si>
    <t>两拼</t>
    <phoneticPr fontId="228" type="noConversion"/>
  </si>
  <si>
    <t>54#-63#、71#、72#、74#、75#、76#、84#-89#、97#、98#、99#、101#、102#、103#、107#-113#、116#-122#、125#-129#、131#、133#、134#、137#-140#、142#-146#、149#、150#、153#、154#、157#、158#、167#、170#-174#</t>
    <phoneticPr fontId="228" type="noConversion"/>
  </si>
  <si>
    <t>156#、160#、164#、165#、168#、169#</t>
    <phoneticPr fontId="228" type="noConversion"/>
  </si>
  <si>
    <t>155#</t>
    <phoneticPr fontId="228" type="noConversion"/>
  </si>
  <si>
    <t>多层住宅
屋顶设置消防水箱</t>
    <phoneticPr fontId="228" type="noConversion"/>
  </si>
  <si>
    <t>73#、100#、114#、115#、123#、124#、130#、132#、135#、136#、141#、147#、148#、151#、152#、159#、162#、163#、166#、175#、176#</t>
    <phoneticPr fontId="228" type="noConversion"/>
  </si>
  <si>
    <t>161#</t>
    <phoneticPr fontId="228" type="noConversion"/>
  </si>
  <si>
    <t>类独栋</t>
    <phoneticPr fontId="228" type="noConversion"/>
  </si>
  <si>
    <t>22#-24#、26#-28#、30#-33#、41#、43-46#</t>
    <phoneticPr fontId="228" type="noConversion"/>
  </si>
  <si>
    <t>4F/B2</t>
    <phoneticPr fontId="228" type="noConversion"/>
  </si>
  <si>
    <t>21#、25#、29#、37#-39#、42#</t>
    <phoneticPr fontId="228" type="noConversion"/>
  </si>
  <si>
    <t>34#、35#</t>
    <phoneticPr fontId="228" type="noConversion"/>
  </si>
  <si>
    <t>20#、48#-50#</t>
    <phoneticPr fontId="228" type="noConversion"/>
  </si>
  <si>
    <t>47#</t>
    <phoneticPr fontId="228" type="noConversion"/>
  </si>
  <si>
    <t>36#、40#</t>
    <phoneticPr fontId="228" type="noConversion"/>
  </si>
  <si>
    <t>19#</t>
    <phoneticPr fontId="228" type="noConversion"/>
  </si>
  <si>
    <t>地库</t>
    <phoneticPr fontId="228" type="noConversion"/>
  </si>
  <si>
    <t>0/B1</t>
    <phoneticPr fontId="228" type="noConversion"/>
  </si>
  <si>
    <t>地下车库</t>
    <phoneticPr fontId="228" type="noConversion"/>
  </si>
  <si>
    <t>永清国瑞生态城1号地A区1期</t>
    <phoneticPr fontId="228" type="noConversion"/>
  </si>
  <si>
    <t>A区1期占地面积（㎡）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</si>
  <si>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</si>
  <si>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</si>
  <si>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</si>
  <si>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</si>
  <si>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</si>
  <si>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</si>
  <si>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</si>
  <si>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</si>
  <si>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</si>
  <si>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</si>
  <si>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</si>
  <si>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</si>
  <si>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</si>
  <si>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双拼</t>
    <phoneticPr fontId="228" type="noConversion"/>
  </si>
  <si>
    <t>28#、30#-33#、41#</t>
  </si>
  <si>
    <t>29#、37#-39#</t>
  </si>
  <si>
    <t>34#、35#</t>
  </si>
  <si>
    <t>三拼</t>
    <phoneticPr fontId="228" type="noConversion"/>
  </si>
  <si>
    <t>叠拼</t>
    <phoneticPr fontId="228" type="noConversion"/>
  </si>
  <si>
    <t>二拼</t>
    <phoneticPr fontId="228" type="noConversion"/>
  </si>
  <si>
    <t>153#、154#、157#、158#、167#、170#-174#</t>
    <phoneticPr fontId="228" type="noConversion"/>
  </si>
  <si>
    <t>4F/B1</t>
    <phoneticPr fontId="228" type="noConversion"/>
  </si>
  <si>
    <t>多层住宅,屋顶设置水箱间</t>
    <phoneticPr fontId="228" type="noConversion"/>
  </si>
  <si>
    <t>三拼</t>
    <phoneticPr fontId="228" type="noConversion"/>
  </si>
  <si>
    <t>159#、162#、163#、166#、175#、176#</t>
    <phoneticPr fontId="228" type="noConversion"/>
  </si>
  <si>
    <t>多层住宅</t>
    <phoneticPr fontId="228" type="noConversion"/>
  </si>
  <si>
    <t>161#</t>
    <phoneticPr fontId="228" type="noConversion"/>
  </si>
  <si>
    <t>住宅地上</t>
    <phoneticPr fontId="228" type="noConversion"/>
  </si>
  <si>
    <t>住宅+地库合计</t>
    <phoneticPr fontId="228" type="noConversion"/>
  </si>
  <si>
    <t>住宅地下</t>
    <phoneticPr fontId="228" type="noConversion"/>
  </si>
  <si>
    <t>永清国瑞生态城1号地A区2期</t>
    <phoneticPr fontId="228" type="noConversion"/>
  </si>
  <si>
    <t>车库</t>
    <phoneticPr fontId="228" type="noConversion"/>
  </si>
  <si>
    <t>A区2期占地面积（㎡）</t>
    <phoneticPr fontId="228" type="noConversion"/>
  </si>
  <si>
    <t>43#-46#</t>
    <phoneticPr fontId="228" type="noConversion"/>
  </si>
  <si>
    <t>42#</t>
    <phoneticPr fontId="228" type="noConversion"/>
  </si>
  <si>
    <t>107#-110#、119#-122#、125#、133#、134#、137#  、138#、145#、146#、149#、150#</t>
    <phoneticPr fontId="228" type="noConversion"/>
  </si>
  <si>
    <t>123#、124#、135#、136#、147#、148#</t>
    <phoneticPr fontId="228" type="noConversion"/>
  </si>
  <si>
    <t>联排</t>
    <phoneticPr fontId="228" type="noConversion"/>
  </si>
  <si>
    <t>永清国瑞生态城1号地A区3期</t>
    <phoneticPr fontId="228" type="noConversion"/>
  </si>
  <si>
    <t>A区3期占地面积（㎡）</t>
    <phoneticPr fontId="228" type="noConversion"/>
  </si>
  <si>
    <t>地库</t>
    <phoneticPr fontId="228" type="noConversion"/>
  </si>
  <si>
    <t>地下车库</t>
    <phoneticPr fontId="228" type="noConversion"/>
  </si>
  <si>
    <t>0/B1</t>
    <phoneticPr fontId="228" type="noConversion"/>
  </si>
  <si>
    <t>A区合计</t>
    <phoneticPr fontId="228" type="noConversion"/>
  </si>
  <si>
    <t>差值</t>
    <phoneticPr fontId="228" type="noConversion"/>
  </si>
  <si>
    <t>永清国瑞生态城1号地B区1期</t>
    <phoneticPr fontId="228" type="noConversion"/>
  </si>
  <si>
    <t>B区1期占地面积（㎡）</t>
    <phoneticPr fontId="228" type="noConversion"/>
  </si>
  <si>
    <t>叠拼</t>
    <phoneticPr fontId="228" type="noConversion"/>
  </si>
  <si>
    <t>二拼</t>
    <phoneticPr fontId="228" type="noConversion"/>
  </si>
  <si>
    <t>永清国瑞生态城1号地B区2期</t>
    <phoneticPr fontId="228" type="noConversion"/>
  </si>
  <si>
    <t>B区2期占地面积（㎡）</t>
    <phoneticPr fontId="228" type="noConversion"/>
  </si>
  <si>
    <t>住宅地上</t>
    <phoneticPr fontId="228" type="noConversion"/>
  </si>
  <si>
    <t>多层住宅</t>
    <phoneticPr fontId="228" type="noConversion"/>
  </si>
  <si>
    <t>住宅地下</t>
    <phoneticPr fontId="228" type="noConversion"/>
  </si>
  <si>
    <t>地库</t>
    <phoneticPr fontId="228" type="noConversion"/>
  </si>
  <si>
    <t>地下车库</t>
    <phoneticPr fontId="228" type="noConversion"/>
  </si>
  <si>
    <t>0/B1</t>
    <phoneticPr fontId="228" type="noConversion"/>
  </si>
  <si>
    <t>地下车库</t>
    <phoneticPr fontId="228" type="noConversion"/>
  </si>
  <si>
    <t>车库</t>
    <phoneticPr fontId="228" type="noConversion"/>
  </si>
  <si>
    <t>住宅+地库合计</t>
    <phoneticPr fontId="228" type="noConversion"/>
  </si>
  <si>
    <t>永清国瑞生态城1号地B区3期</t>
    <phoneticPr fontId="228" type="noConversion"/>
  </si>
  <si>
    <t>B区3期占地面积（㎡）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</si>
  <si>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</si>
  <si>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</si>
  <si>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</si>
  <si>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</si>
  <si>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</si>
  <si>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</si>
  <si>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</si>
  <si>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</si>
  <si>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</si>
  <si>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</si>
  <si>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</si>
  <si>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</si>
  <si>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</si>
  <si>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住宅地上</t>
    <phoneticPr fontId="228" type="noConversion"/>
  </si>
  <si>
    <t>类独栋</t>
    <phoneticPr fontId="228" type="noConversion"/>
  </si>
  <si>
    <t>双拼</t>
    <phoneticPr fontId="228" type="noConversion"/>
  </si>
  <si>
    <t>20#</t>
    <phoneticPr fontId="228" type="noConversion"/>
  </si>
  <si>
    <t>高层</t>
    <phoneticPr fontId="228" type="noConversion"/>
  </si>
  <si>
    <t>二拼（一）</t>
    <phoneticPr fontId="228" type="noConversion"/>
  </si>
  <si>
    <t>17#</t>
    <phoneticPr fontId="228" type="noConversion"/>
  </si>
  <si>
    <t>高层住宅</t>
    <phoneticPr fontId="228" type="noConversion"/>
  </si>
  <si>
    <t>二拼（二）</t>
    <phoneticPr fontId="228" type="noConversion"/>
  </si>
  <si>
    <t>18#</t>
    <phoneticPr fontId="228" type="noConversion"/>
  </si>
  <si>
    <t>18F/B2</t>
    <phoneticPr fontId="228" type="noConversion"/>
  </si>
  <si>
    <t>高层住宅
屋顶设置消防水箱
地下二层面积计入车库</t>
    <phoneticPr fontId="228" type="noConversion"/>
  </si>
  <si>
    <t>三拼</t>
    <phoneticPr fontId="228" type="noConversion"/>
  </si>
  <si>
    <t>15#、16#</t>
    <phoneticPr fontId="228" type="noConversion"/>
  </si>
  <si>
    <t>18F/B2</t>
    <phoneticPr fontId="228" type="noConversion"/>
  </si>
  <si>
    <t>高层住宅
地下二层面积计入车库</t>
    <phoneticPr fontId="228" type="noConversion"/>
  </si>
  <si>
    <t>B区合计</t>
    <phoneticPr fontId="228" type="noConversion"/>
  </si>
  <si>
    <t>修规</t>
    <phoneticPr fontId="228" type="noConversion"/>
  </si>
  <si>
    <t>永清国瑞生态城1号地C区1期</t>
    <phoneticPr fontId="228" type="noConversion"/>
  </si>
  <si>
    <t>C区1期占地面积（㎡）</t>
    <phoneticPr fontId="228" type="noConversion"/>
  </si>
  <si>
    <t>楼栋类型</t>
    <phoneticPr fontId="228" type="noConversion"/>
  </si>
  <si>
    <t>楼栋</t>
    <phoneticPr fontId="228" type="noConversion"/>
  </si>
  <si>
    <t>栋数</t>
    <phoneticPr fontId="228" type="noConversion"/>
  </si>
  <si>
    <t>建筑高度（m）</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</si>
  <si>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</si>
  <si>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</si>
  <si>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</si>
  <si>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</si>
  <si>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高层</t>
    <phoneticPr fontId="228" type="noConversion"/>
  </si>
  <si>
    <t>二拼（一）</t>
    <phoneticPr fontId="228" type="noConversion"/>
  </si>
  <si>
    <t>7#-10#、14#</t>
    <phoneticPr fontId="228" type="noConversion"/>
  </si>
  <si>
    <t>地下车库
地下二层面积计入车库</t>
    <phoneticPr fontId="228" type="noConversion"/>
  </si>
  <si>
    <t>永清国瑞生态城1号地C区2期</t>
    <phoneticPr fontId="228" type="noConversion"/>
  </si>
  <si>
    <t>C区2期占地面积（㎡）</t>
    <phoneticPr fontId="228" type="noConversion"/>
  </si>
  <si>
    <t>配套</t>
    <phoneticPr fontId="228" type="noConversion"/>
  </si>
  <si>
    <t>生活配套</t>
    <phoneticPr fontId="228" type="noConversion"/>
  </si>
  <si>
    <t>1#</t>
    <phoneticPr fontId="228" type="noConversion"/>
  </si>
  <si>
    <t>4F/0</t>
    <phoneticPr fontId="228" type="noConversion"/>
  </si>
  <si>
    <t>多层公建（已批复）</t>
    <phoneticPr fontId="228" type="noConversion"/>
  </si>
  <si>
    <t>3#</t>
    <phoneticPr fontId="228" type="noConversion"/>
  </si>
  <si>
    <t>多层</t>
    <phoneticPr fontId="228" type="noConversion"/>
  </si>
  <si>
    <t>一拼</t>
    <phoneticPr fontId="228" type="noConversion"/>
  </si>
  <si>
    <t>2#</t>
    <phoneticPr fontId="228" type="noConversion"/>
  </si>
  <si>
    <t>4#、5#</t>
    <phoneticPr fontId="228" type="noConversion"/>
  </si>
  <si>
    <t>12#、13#</t>
    <phoneticPr fontId="228" type="noConversion"/>
  </si>
  <si>
    <t>6#、11#</t>
    <phoneticPr fontId="228" type="noConversion"/>
  </si>
  <si>
    <t>C区合计</t>
    <phoneticPr fontId="228" type="noConversion"/>
  </si>
  <si>
    <t>验算</t>
    <phoneticPr fontId="228" type="noConversion"/>
  </si>
  <si>
    <t>小计</t>
    <phoneticPr fontId="228" type="noConversion"/>
  </si>
  <si>
    <t>小计</t>
    <phoneticPr fontId="228" type="noConversion"/>
  </si>
  <si>
    <t>合计</t>
    <phoneticPr fontId="228" type="noConversion"/>
  </si>
  <si>
    <t>小计</t>
    <phoneticPr fontId="3" type="noConversion"/>
  </si>
  <si>
    <t>合计</t>
    <phoneticPr fontId="3" type="noConversion"/>
  </si>
  <si>
    <t>2号地3组团2</t>
    <phoneticPr fontId="228" type="noConversion"/>
  </si>
  <si>
    <t>2号地3组团1</t>
    <phoneticPr fontId="228" type="noConversion"/>
  </si>
  <si>
    <t>1号地</t>
    <phoneticPr fontId="228" type="noConversion"/>
  </si>
  <si>
    <t>2号地3组团</t>
    <phoneticPr fontId="228" type="noConversion"/>
  </si>
  <si>
    <t>车位（地下）</t>
    <phoneticPr fontId="228" type="noConversion"/>
  </si>
  <si>
    <t>配套</t>
    <phoneticPr fontId="228" type="noConversion"/>
  </si>
  <si>
    <t>幼儿园</t>
    <phoneticPr fontId="228" type="noConversion"/>
  </si>
  <si>
    <t>需求</t>
    <phoneticPr fontId="15" type="noConversion"/>
  </si>
  <si>
    <t>测算</t>
    <phoneticPr fontId="15" type="noConversion"/>
  </si>
  <si>
    <t>合计</t>
    <phoneticPr fontId="228" type="noConversion"/>
  </si>
  <si>
    <t>吴薇</t>
  </si>
  <si>
    <t>郑燚</t>
  </si>
  <si>
    <t>廊坊国瑞房地产开发有限公司</t>
    <phoneticPr fontId="6" type="noConversion"/>
  </si>
  <si>
    <t>渤海银行</t>
    <phoneticPr fontId="6" type="noConversion"/>
  </si>
  <si>
    <t>城镇住宅用地</t>
    <phoneticPr fontId="6" type="noConversion"/>
  </si>
  <si>
    <t>住宅</t>
    <phoneticPr fontId="6" type="noConversion"/>
  </si>
  <si>
    <t>《国有土地使用证》[永国用（2011）第018号]等8套</t>
    <phoneticPr fontId="6" type="noConversion"/>
  </si>
  <si>
    <t>一致</t>
  </si>
  <si>
    <t>符合</t>
  </si>
  <si>
    <t>《建设工程规划许可证》[]、《出让合同》[]</t>
    <phoneticPr fontId="3" type="noConversion"/>
  </si>
  <si>
    <t>居住项目</t>
  </si>
  <si>
    <t>无</t>
  </si>
  <si>
    <t>场地平整</t>
  </si>
  <si>
    <t>平整</t>
  </si>
  <si>
    <t>通路</t>
  </si>
  <si>
    <t>通电</t>
  </si>
  <si>
    <t>通讯</t>
  </si>
  <si>
    <t>A区主要技术经济指标</t>
    <phoneticPr fontId="228" type="noConversion"/>
  </si>
  <si>
    <t>项目</t>
    <phoneticPr fontId="228" type="noConversion"/>
  </si>
  <si>
    <t>1号地</t>
    <phoneticPr fontId="228" type="noConversion"/>
  </si>
  <si>
    <t>用地面积</t>
    <phoneticPr fontId="228" type="noConversion"/>
  </si>
  <si>
    <t>总建筑面积</t>
  </si>
  <si>
    <t>总建筑面积</t>
    <phoneticPr fontId="228" type="noConversion"/>
  </si>
  <si>
    <t>地下建筑面积</t>
  </si>
  <si>
    <t>地下建筑面积</t>
    <phoneticPr fontId="228" type="noConversion"/>
  </si>
  <si>
    <t>车库建筑面积</t>
    <phoneticPr fontId="228" type="noConversion"/>
  </si>
  <si>
    <t>户数</t>
  </si>
  <si>
    <t>户数</t>
    <phoneticPr fontId="228" type="noConversion"/>
  </si>
  <si>
    <t>指标</t>
    <phoneticPr fontId="228" type="noConversion"/>
  </si>
  <si>
    <t>单位</t>
    <phoneticPr fontId="228" type="noConversion"/>
  </si>
  <si>
    <t>地上建筑面积</t>
  </si>
  <si>
    <t>地上建筑面积</t>
    <phoneticPr fontId="228" type="noConversion"/>
  </si>
  <si>
    <t>容积率</t>
    <phoneticPr fontId="228" type="noConversion"/>
  </si>
  <si>
    <t>㎡</t>
    <phoneticPr fontId="228" type="noConversion"/>
  </si>
  <si>
    <t>/</t>
    <phoneticPr fontId="228" type="noConversion"/>
  </si>
  <si>
    <t>户</t>
    <phoneticPr fontId="228" type="noConversion"/>
  </si>
  <si>
    <t>B区主要技术经济指标</t>
    <phoneticPr fontId="228" type="noConversion"/>
  </si>
  <si>
    <t>C区主要技术经济指标</t>
    <phoneticPr fontId="228" type="noConversion"/>
  </si>
  <si>
    <t>其中：配套建筑面积</t>
    <phoneticPr fontId="228" type="noConversion"/>
  </si>
  <si>
    <t>其中：高层住宅建筑面积</t>
    <phoneticPr fontId="228" type="noConversion"/>
  </si>
  <si>
    <t>其中：高层住宅建筑面积</t>
    <phoneticPr fontId="228" type="noConversion"/>
  </si>
  <si>
    <t>其中：住宅地下室建筑面积</t>
    <phoneticPr fontId="228" type="noConversion"/>
  </si>
  <si>
    <t>其中：车库建筑面积</t>
    <phoneticPr fontId="228" type="noConversion"/>
  </si>
  <si>
    <t>其中：多层住宅建筑面积</t>
    <phoneticPr fontId="228" type="noConversion"/>
  </si>
  <si>
    <t>地上建筑面积</t>
    <phoneticPr fontId="228" type="noConversion"/>
  </si>
  <si>
    <t>地下建筑面积</t>
    <phoneticPr fontId="228" type="noConversion"/>
  </si>
  <si>
    <t>其中：多层住宅建筑面积</t>
    <phoneticPr fontId="228" type="noConversion"/>
  </si>
  <si>
    <t>2号地3组团-单体建筑内容一览表（规证）</t>
    <phoneticPr fontId="228" type="noConversion"/>
  </si>
  <si>
    <t>建筑类型</t>
  </si>
  <si>
    <t>层数</t>
  </si>
  <si>
    <t>建筑基底面积</t>
  </si>
  <si>
    <t>一层面积</t>
  </si>
  <si>
    <t>标准层面积</t>
  </si>
  <si>
    <t>机房层面积</t>
  </si>
  <si>
    <t>1#</t>
  </si>
  <si>
    <t>3#</t>
  </si>
  <si>
    <t>4#</t>
  </si>
  <si>
    <t>5#</t>
  </si>
  <si>
    <t>6#</t>
  </si>
  <si>
    <t>7#</t>
  </si>
  <si>
    <t>8#</t>
  </si>
  <si>
    <t>9#</t>
  </si>
  <si>
    <t>10#</t>
  </si>
  <si>
    <t>11#</t>
  </si>
  <si>
    <t>12#</t>
  </si>
  <si>
    <t>商业配套</t>
  </si>
  <si>
    <t>13#</t>
  </si>
  <si>
    <t>地下车库面积</t>
  </si>
  <si>
    <t>地上面积合计</t>
  </si>
  <si>
    <t>地下面积合计</t>
  </si>
  <si>
    <t>占地面积</t>
    <phoneticPr fontId="228" type="noConversion"/>
  </si>
  <si>
    <t>2号地4组团-单体建筑内容一览表（规证）</t>
    <phoneticPr fontId="228" type="noConversion"/>
  </si>
  <si>
    <t>总建筑面积</t>
    <phoneticPr fontId="228" type="noConversion"/>
  </si>
  <si>
    <t>地下面积合计（报规）</t>
    <phoneticPr fontId="228" type="noConversion"/>
  </si>
  <si>
    <t>占地面积</t>
    <phoneticPr fontId="228" type="noConversion"/>
  </si>
  <si>
    <t>土地证</t>
    <phoneticPr fontId="228" type="noConversion"/>
  </si>
  <si>
    <t>规证</t>
    <phoneticPr fontId="228" type="noConversion"/>
  </si>
  <si>
    <t>1号地综合经济技术指标</t>
    <phoneticPr fontId="228" type="noConversion"/>
  </si>
  <si>
    <t>规划总用地面积</t>
    <phoneticPr fontId="228" type="noConversion"/>
  </si>
  <si>
    <t>绿化总面积</t>
    <phoneticPr fontId="228" type="noConversion"/>
  </si>
  <si>
    <t>公共绿地面积</t>
    <phoneticPr fontId="228" type="noConversion"/>
  </si>
  <si>
    <t>建筑基地总面积</t>
    <phoneticPr fontId="228" type="noConversion"/>
  </si>
  <si>
    <t>地上建筑面积</t>
    <phoneticPr fontId="228" type="noConversion"/>
  </si>
  <si>
    <t>其中：住宅建筑面积</t>
    <phoneticPr fontId="228" type="noConversion"/>
  </si>
  <si>
    <t>其中：配套公共服务设施面积</t>
    <phoneticPr fontId="228" type="noConversion"/>
  </si>
  <si>
    <t xml:space="preserve">  其中：多层建筑面积</t>
    <phoneticPr fontId="228" type="noConversion"/>
  </si>
  <si>
    <t xml:space="preserve">  其中：高层建筑面积</t>
    <phoneticPr fontId="228" type="noConversion"/>
  </si>
  <si>
    <t xml:space="preserve">  其中：幼儿园</t>
    <phoneticPr fontId="228" type="noConversion"/>
  </si>
  <si>
    <t>地下建筑面积</t>
    <phoneticPr fontId="228" type="noConversion"/>
  </si>
  <si>
    <t>其中：住宅地下室面积</t>
    <phoneticPr fontId="228" type="noConversion"/>
  </si>
  <si>
    <t>居住人口</t>
    <phoneticPr fontId="228" type="noConversion"/>
  </si>
  <si>
    <t>建筑密度</t>
    <phoneticPr fontId="228" type="noConversion"/>
  </si>
  <si>
    <t>绿地率</t>
    <phoneticPr fontId="228" type="noConversion"/>
  </si>
  <si>
    <t>总户数</t>
    <phoneticPr fontId="228" type="noConversion"/>
  </si>
  <si>
    <t>其中：多层总户数</t>
    <phoneticPr fontId="228" type="noConversion"/>
  </si>
  <si>
    <t>其中：高层总户数</t>
    <phoneticPr fontId="228" type="noConversion"/>
  </si>
  <si>
    <t>停车位</t>
    <phoneticPr fontId="228" type="noConversion"/>
  </si>
  <si>
    <t>其中：地上停车位</t>
    <phoneticPr fontId="228" type="noConversion"/>
  </si>
  <si>
    <t>其中：地下停车位</t>
    <phoneticPr fontId="228" type="noConversion"/>
  </si>
  <si>
    <t xml:space="preserve">  其中：卫生站</t>
    <phoneticPr fontId="228" type="noConversion"/>
  </si>
  <si>
    <t xml:space="preserve">  其中：文化活动中心</t>
    <phoneticPr fontId="228" type="noConversion"/>
  </si>
  <si>
    <t xml:space="preserve">  其中：室内文体活动中心</t>
    <phoneticPr fontId="228" type="noConversion"/>
  </si>
  <si>
    <t xml:space="preserve">  其中：托老所</t>
    <phoneticPr fontId="228" type="noConversion"/>
  </si>
  <si>
    <t xml:space="preserve">  其中：警卫室</t>
    <phoneticPr fontId="228" type="noConversion"/>
  </si>
  <si>
    <t xml:space="preserve">  其中：邮电局</t>
    <phoneticPr fontId="228" type="noConversion"/>
  </si>
  <si>
    <t xml:space="preserve">  其中：储蓄所</t>
    <phoneticPr fontId="228" type="noConversion"/>
  </si>
  <si>
    <t xml:space="preserve">  其中：社区居委会办公用房</t>
    <phoneticPr fontId="228" type="noConversion"/>
  </si>
  <si>
    <t xml:space="preserve">  其中：物业管理用房</t>
    <phoneticPr fontId="228" type="noConversion"/>
  </si>
  <si>
    <t xml:space="preserve">  其中：公厕</t>
    <phoneticPr fontId="228" type="noConversion"/>
  </si>
  <si>
    <t>人</t>
    <phoneticPr fontId="228" type="noConversion"/>
  </si>
  <si>
    <t>辆</t>
    <phoneticPr fontId="228" type="noConversion"/>
  </si>
  <si>
    <t>人均公共绿地面积1.37平方米</t>
    <phoneticPr fontId="228" type="noConversion"/>
  </si>
  <si>
    <t>3#楼</t>
    <phoneticPr fontId="228" type="noConversion"/>
  </si>
  <si>
    <t>1#三层局部</t>
    <phoneticPr fontId="228" type="noConversion"/>
  </si>
  <si>
    <t>1#二层局部</t>
    <phoneticPr fontId="228" type="noConversion"/>
  </si>
  <si>
    <t>1#四层局部</t>
    <phoneticPr fontId="228" type="noConversion"/>
  </si>
  <si>
    <t>1#一层局部</t>
    <phoneticPr fontId="228" type="noConversion"/>
  </si>
  <si>
    <t>1#三层局部</t>
    <phoneticPr fontId="228" type="noConversion"/>
  </si>
  <si>
    <t>1#二、三、四层局部</t>
    <phoneticPr fontId="228" type="noConversion"/>
  </si>
  <si>
    <t>其中：地下车库面积</t>
    <phoneticPr fontId="228" type="noConversion"/>
  </si>
  <si>
    <t>按3.2人/户计算</t>
    <phoneticPr fontId="228" type="noConversion"/>
  </si>
  <si>
    <t>其中拟建人防面积45288.18平方米，含51、54块地配建人防9854.89平方米</t>
    <phoneticPr fontId="228" type="noConversion"/>
  </si>
  <si>
    <t>A1期</t>
    <phoneticPr fontId="228" type="noConversion"/>
  </si>
  <si>
    <t>位置</t>
    <phoneticPr fontId="228" type="noConversion"/>
  </si>
  <si>
    <t>永清县韩村镇廊霸路南侧</t>
    <phoneticPr fontId="228" type="noConversion"/>
  </si>
  <si>
    <t>四至</t>
    <phoneticPr fontId="228" type="noConversion"/>
  </si>
  <si>
    <t>权属</t>
    <phoneticPr fontId="228" type="noConversion"/>
  </si>
  <si>
    <t>取地时间</t>
    <phoneticPr fontId="228" type="noConversion"/>
  </si>
  <si>
    <t>证书编号</t>
    <phoneticPr fontId="228" type="noConversion"/>
  </si>
  <si>
    <t>永国用（2011）第070号、永国用（2011）第069号</t>
    <phoneticPr fontId="228" type="noConversion"/>
  </si>
  <si>
    <t>用地性质</t>
    <phoneticPr fontId="228" type="noConversion"/>
  </si>
  <si>
    <t>城镇住宅用地</t>
    <phoneticPr fontId="228" type="noConversion"/>
  </si>
  <si>
    <t>规划总用地面积</t>
    <phoneticPr fontId="228" type="noConversion"/>
  </si>
  <si>
    <t>其中：建筑占地</t>
    <phoneticPr fontId="228" type="noConversion"/>
  </si>
  <si>
    <t>其中：道路广场</t>
    <phoneticPr fontId="228" type="noConversion"/>
  </si>
  <si>
    <t>其中：绿化占地</t>
    <phoneticPr fontId="228" type="noConversion"/>
  </si>
  <si>
    <t>总建筑面积</t>
    <phoneticPr fontId="228" type="noConversion"/>
  </si>
  <si>
    <t>其中：地上总建筑面积</t>
    <phoneticPr fontId="228" type="noConversion"/>
  </si>
  <si>
    <t>其中：地下总建筑面积</t>
    <phoneticPr fontId="228" type="noConversion"/>
  </si>
  <si>
    <t>490796.15（主要建设住宅楼及配套公共服务设施）</t>
    <phoneticPr fontId="228" type="noConversion"/>
  </si>
  <si>
    <t>300200（主要建设住宅地下室和地下车库）</t>
    <phoneticPr fontId="228" type="noConversion"/>
  </si>
  <si>
    <r>
      <rPr>
        <b/>
        <sz val="11"/>
        <color theme="1"/>
        <rFont val="黑体"/>
        <family val="3"/>
        <charset val="134"/>
      </rPr>
      <t>A区</t>
    </r>
    <r>
      <rPr>
        <sz val="11"/>
        <color theme="1"/>
        <rFont val="黑体"/>
        <family val="3"/>
        <charset val="134"/>
      </rPr>
      <t>总规划用地面积</t>
    </r>
    <phoneticPr fontId="228" type="noConversion"/>
  </si>
  <si>
    <r>
      <rPr>
        <b/>
        <sz val="11"/>
        <color theme="1"/>
        <rFont val="黑体"/>
        <family val="3"/>
        <charset val="134"/>
      </rPr>
      <t>A区</t>
    </r>
    <r>
      <rPr>
        <sz val="11"/>
        <color theme="1"/>
        <rFont val="黑体"/>
        <family val="3"/>
        <charset val="134"/>
      </rPr>
      <t>总建筑面积</t>
    </r>
    <phoneticPr fontId="228" type="noConversion"/>
  </si>
  <si>
    <r>
      <rPr>
        <b/>
        <sz val="11"/>
        <color theme="1"/>
        <rFont val="黑体"/>
        <family val="3"/>
        <charset val="134"/>
      </rPr>
      <t>A1期</t>
    </r>
    <r>
      <rPr>
        <sz val="11"/>
        <color theme="1"/>
        <rFont val="黑体"/>
        <family val="3"/>
        <charset val="134"/>
      </rPr>
      <t>总建筑面积</t>
    </r>
    <phoneticPr fontId="228" type="noConversion"/>
  </si>
  <si>
    <t>54942.21（主要38栋住宅楼，28#-35#、37#-39#、41#、36#、40#、153#、154#、156#-158#、160#、164#、165#、167#-174#、155#、159#、161#、162#、166#、175#、176#）</t>
    <phoneticPr fontId="228" type="noConversion"/>
  </si>
  <si>
    <t>东至A区三期项目、西至规划路、南至A区一期项目、北至B区一期</t>
    <phoneticPr fontId="228" type="noConversion"/>
  </si>
  <si>
    <t>永国用（2011）第074号、永国用（2011）第069号、永国用（2011）第020号</t>
    <phoneticPr fontId="228" type="noConversion"/>
  </si>
  <si>
    <t>A2期</t>
    <phoneticPr fontId="228" type="noConversion"/>
  </si>
  <si>
    <r>
      <rPr>
        <b/>
        <sz val="11"/>
        <color theme="1"/>
        <rFont val="黑体"/>
        <family val="3"/>
        <charset val="134"/>
      </rPr>
      <t>A2期</t>
    </r>
    <r>
      <rPr>
        <sz val="11"/>
        <color theme="1"/>
        <rFont val="黑体"/>
        <family val="3"/>
        <charset val="134"/>
      </rPr>
      <t>总建筑面积</t>
    </r>
    <phoneticPr fontId="228" type="noConversion"/>
  </si>
  <si>
    <t>48255.72（主要31栋住宅楼，42#-46#、107#-110#、119#-122#、125#、133#、134#、137#、138#、145#、146#、149#、150#、123#、124#、135#、136#、147#、148#、104#、105#、106#）</t>
    <phoneticPr fontId="228" type="noConversion"/>
  </si>
  <si>
    <t>A3期</t>
    <phoneticPr fontId="228" type="noConversion"/>
  </si>
  <si>
    <r>
      <rPr>
        <b/>
        <sz val="11"/>
        <color theme="1"/>
        <rFont val="黑体"/>
        <family val="3"/>
        <charset val="134"/>
      </rPr>
      <t>A3期</t>
    </r>
    <r>
      <rPr>
        <sz val="11"/>
        <color theme="1"/>
        <rFont val="黑体"/>
        <family val="3"/>
        <charset val="134"/>
      </rPr>
      <t>总建筑面积</t>
    </r>
    <phoneticPr fontId="228" type="noConversion"/>
  </si>
  <si>
    <t>东至辛屯村土地、西至规划路、南至贾家务村土地、北至1号地A区二、三期土地</t>
    <phoneticPr fontId="228" type="noConversion"/>
  </si>
  <si>
    <t>东至辛屯村土地、西至A区二期项目、南至A区一期项目、北至B区二、三期</t>
    <phoneticPr fontId="228" type="noConversion"/>
  </si>
  <si>
    <t>21#、25#</t>
    <phoneticPr fontId="228" type="noConversion"/>
  </si>
  <si>
    <t>22#-24#、26#、27#</t>
    <phoneticPr fontId="228" type="noConversion"/>
  </si>
  <si>
    <t>101#-103#、111#-113#、116#-118#、126#-129#、131#、139#、140#、
142#-144#</t>
    <phoneticPr fontId="228" type="noConversion"/>
  </si>
  <si>
    <t>100#、114#、115#、130#、132#、141#、151#、152#</t>
    <phoneticPr fontId="228" type="noConversion"/>
  </si>
  <si>
    <t>53250.74（主要34栋住宅楼，21#、25#、22#-24#、26#、27#、101#-103#、111#-113#、116#-118#、126#-129#、131#、139#、140#、142#-144#、100#、114#、115#、130#、132#、141#、151#、152#）</t>
    <phoneticPr fontId="228" type="noConversion"/>
  </si>
  <si>
    <t>B1期</t>
    <phoneticPr fontId="228" type="noConversion"/>
  </si>
  <si>
    <r>
      <rPr>
        <b/>
        <sz val="11"/>
        <color theme="1"/>
        <rFont val="黑体"/>
        <family val="3"/>
        <charset val="134"/>
      </rPr>
      <t>B1期</t>
    </r>
    <r>
      <rPr>
        <sz val="11"/>
        <color theme="1"/>
        <rFont val="黑体"/>
        <family val="3"/>
        <charset val="134"/>
      </rPr>
      <t>总建筑面积</t>
    </r>
    <phoneticPr fontId="228" type="noConversion"/>
  </si>
  <si>
    <t>东至B区二期项目、西至规划路、南至A区二期项目、北至C区一期项目</t>
    <phoneticPr fontId="228" type="noConversion"/>
  </si>
  <si>
    <t>永国用（2011）第018号、永国用（2011）第020号</t>
    <phoneticPr fontId="228" type="noConversion"/>
  </si>
  <si>
    <t>B区</t>
    <phoneticPr fontId="228" type="noConversion"/>
  </si>
  <si>
    <t>A区</t>
    <phoneticPr fontId="228" type="noConversion"/>
  </si>
  <si>
    <r>
      <rPr>
        <b/>
        <sz val="11"/>
        <color theme="1"/>
        <rFont val="黑体"/>
        <family val="3"/>
        <charset val="134"/>
      </rPr>
      <t>B区</t>
    </r>
    <r>
      <rPr>
        <sz val="11"/>
        <color theme="1"/>
        <rFont val="黑体"/>
        <family val="3"/>
        <charset val="134"/>
      </rPr>
      <t>总规划用地面积</t>
    </r>
    <phoneticPr fontId="228" type="noConversion"/>
  </si>
  <si>
    <r>
      <rPr>
        <b/>
        <sz val="11"/>
        <color theme="1"/>
        <rFont val="黑体"/>
        <family val="3"/>
        <charset val="134"/>
      </rPr>
      <t>B区</t>
    </r>
    <r>
      <rPr>
        <sz val="11"/>
        <color theme="1"/>
        <rFont val="黑体"/>
        <family val="3"/>
        <charset val="134"/>
      </rPr>
      <t>总建筑面积</t>
    </r>
    <phoneticPr fontId="228" type="noConversion"/>
  </si>
  <si>
    <r>
      <rPr>
        <b/>
        <sz val="11"/>
        <color theme="1"/>
        <rFont val="黑体"/>
        <family val="3"/>
        <charset val="134"/>
      </rPr>
      <t>B1期</t>
    </r>
    <r>
      <rPr>
        <sz val="11"/>
        <color theme="1"/>
        <rFont val="黑体"/>
        <family val="3"/>
        <charset val="134"/>
      </rPr>
      <t>总用地面积</t>
    </r>
    <phoneticPr fontId="228" type="noConversion"/>
  </si>
  <si>
    <r>
      <rPr>
        <b/>
        <sz val="11"/>
        <color theme="1"/>
        <rFont val="黑体"/>
        <family val="3"/>
        <charset val="134"/>
      </rPr>
      <t>A3期</t>
    </r>
    <r>
      <rPr>
        <sz val="11"/>
        <color theme="1"/>
        <rFont val="黑体"/>
        <family val="3"/>
        <charset val="134"/>
      </rPr>
      <t>总用地面积</t>
    </r>
    <phoneticPr fontId="228" type="noConversion"/>
  </si>
  <si>
    <r>
      <rPr>
        <b/>
        <sz val="11"/>
        <color theme="1"/>
        <rFont val="黑体"/>
        <family val="3"/>
        <charset val="134"/>
      </rPr>
      <t>A2期</t>
    </r>
    <r>
      <rPr>
        <sz val="11"/>
        <color theme="1"/>
        <rFont val="黑体"/>
        <family val="3"/>
        <charset val="134"/>
      </rPr>
      <t>总用地面积</t>
    </r>
    <phoneticPr fontId="228" type="noConversion"/>
  </si>
  <si>
    <r>
      <rPr>
        <b/>
        <sz val="11"/>
        <color theme="1"/>
        <rFont val="黑体"/>
        <family val="3"/>
        <charset val="134"/>
      </rPr>
      <t>A1期</t>
    </r>
    <r>
      <rPr>
        <sz val="11"/>
        <color theme="1"/>
        <rFont val="黑体"/>
        <family val="3"/>
        <charset val="134"/>
      </rPr>
      <t>总用地面积</t>
    </r>
    <phoneticPr fontId="228" type="noConversion"/>
  </si>
  <si>
    <t>48#-50#</t>
    <phoneticPr fontId="228" type="noConversion"/>
  </si>
  <si>
    <t>B2期</t>
    <phoneticPr fontId="228" type="noConversion"/>
  </si>
  <si>
    <r>
      <rPr>
        <b/>
        <sz val="11"/>
        <color theme="1"/>
        <rFont val="黑体"/>
        <family val="3"/>
        <charset val="134"/>
      </rPr>
      <t>B2期</t>
    </r>
    <r>
      <rPr>
        <sz val="11"/>
        <color theme="1"/>
        <rFont val="黑体"/>
        <family val="3"/>
        <charset val="134"/>
      </rPr>
      <t>总用地面积</t>
    </r>
    <phoneticPr fontId="228" type="noConversion"/>
  </si>
  <si>
    <r>
      <rPr>
        <b/>
        <sz val="11"/>
        <color theme="1"/>
        <rFont val="黑体"/>
        <family val="3"/>
        <charset val="134"/>
      </rPr>
      <t>B2期</t>
    </r>
    <r>
      <rPr>
        <sz val="11"/>
        <color theme="1"/>
        <rFont val="黑体"/>
        <family val="3"/>
        <charset val="134"/>
      </rPr>
      <t>总建筑面积</t>
    </r>
    <phoneticPr fontId="228" type="noConversion"/>
  </si>
  <si>
    <t>56#-63#、71#、72#、74#-76#、84#-89#、97#-99#</t>
    <phoneticPr fontId="228" type="noConversion"/>
  </si>
  <si>
    <t>35756.13（主要23栋住宅楼，56#-63#、71#、72#、74#-76#、84#-89#、97#-99#、73#）</t>
    <phoneticPr fontId="228" type="noConversion"/>
  </si>
  <si>
    <t>47#</t>
    <phoneticPr fontId="228" type="noConversion"/>
  </si>
  <si>
    <t>54#、55#</t>
    <phoneticPr fontId="228" type="noConversion"/>
  </si>
  <si>
    <t>53#、96#</t>
    <phoneticPr fontId="228" type="noConversion"/>
  </si>
  <si>
    <t>51#、52#、68#、69#、70#、81#、82#、83#、94#、95#</t>
    <phoneticPr fontId="228" type="noConversion"/>
  </si>
  <si>
    <t>64#-67#、77#-80#、90#-93#</t>
    <phoneticPr fontId="228" type="noConversion"/>
  </si>
  <si>
    <t>38711.42（主要30栋住宅楼，48#-50#、47#、54#、55#、53#、96#、51#、52#、68#、69#、70#、81#、82#、83#、94#、95#、64#-67#、77#-80#、90#-93#）</t>
    <phoneticPr fontId="228" type="noConversion"/>
  </si>
  <si>
    <t>B3期</t>
    <phoneticPr fontId="228" type="noConversion"/>
  </si>
  <si>
    <r>
      <rPr>
        <b/>
        <sz val="11"/>
        <color theme="1"/>
        <rFont val="黑体"/>
        <family val="3"/>
        <charset val="134"/>
      </rPr>
      <t>B3期</t>
    </r>
    <r>
      <rPr>
        <sz val="11"/>
        <color theme="1"/>
        <rFont val="黑体"/>
        <family val="3"/>
        <charset val="134"/>
      </rPr>
      <t>总用地面积</t>
    </r>
    <phoneticPr fontId="228" type="noConversion"/>
  </si>
  <si>
    <r>
      <rPr>
        <b/>
        <sz val="11"/>
        <color theme="1"/>
        <rFont val="黑体"/>
        <family val="3"/>
        <charset val="134"/>
      </rPr>
      <t>B3期</t>
    </r>
    <r>
      <rPr>
        <sz val="11"/>
        <color theme="1"/>
        <rFont val="黑体"/>
        <family val="3"/>
        <charset val="134"/>
      </rPr>
      <t>总建筑面积</t>
    </r>
    <phoneticPr fontId="228" type="noConversion"/>
  </si>
  <si>
    <t>东至辛屯村土地、西至B区二期项目、南至A区三期项目、北至C区一期项目</t>
    <phoneticPr fontId="228" type="noConversion"/>
  </si>
  <si>
    <t>80370.80（主要6栋住宅楼，20#、19#、18#、17#、15#、16#）</t>
    <phoneticPr fontId="228" type="noConversion"/>
  </si>
  <si>
    <t>C区</t>
    <phoneticPr fontId="228" type="noConversion"/>
  </si>
  <si>
    <r>
      <rPr>
        <b/>
        <sz val="11"/>
        <color theme="1"/>
        <rFont val="黑体"/>
        <family val="3"/>
        <charset val="134"/>
      </rPr>
      <t>C区</t>
    </r>
    <r>
      <rPr>
        <sz val="11"/>
        <color theme="1"/>
        <rFont val="黑体"/>
        <family val="3"/>
        <charset val="134"/>
      </rPr>
      <t>总规划用地面积</t>
    </r>
    <phoneticPr fontId="228" type="noConversion"/>
  </si>
  <si>
    <r>
      <rPr>
        <b/>
        <sz val="11"/>
        <color theme="1"/>
        <rFont val="黑体"/>
        <family val="3"/>
        <charset val="134"/>
      </rPr>
      <t>C区</t>
    </r>
    <r>
      <rPr>
        <sz val="11"/>
        <color theme="1"/>
        <rFont val="黑体"/>
        <family val="3"/>
        <charset val="134"/>
      </rPr>
      <t>总建筑面积</t>
    </r>
    <phoneticPr fontId="228" type="noConversion"/>
  </si>
  <si>
    <t>C1期</t>
    <phoneticPr fontId="228" type="noConversion"/>
  </si>
  <si>
    <r>
      <rPr>
        <b/>
        <sz val="11"/>
        <color theme="1"/>
        <rFont val="黑体"/>
        <family val="3"/>
        <charset val="134"/>
      </rPr>
      <t>C1期</t>
    </r>
    <r>
      <rPr>
        <sz val="11"/>
        <color theme="1"/>
        <rFont val="黑体"/>
        <family val="3"/>
        <charset val="134"/>
      </rPr>
      <t>总用地面积</t>
    </r>
    <phoneticPr fontId="228" type="noConversion"/>
  </si>
  <si>
    <r>
      <rPr>
        <b/>
        <sz val="11"/>
        <color theme="1"/>
        <rFont val="黑体"/>
        <family val="3"/>
        <charset val="134"/>
      </rPr>
      <t>C1期</t>
    </r>
    <r>
      <rPr>
        <sz val="11"/>
        <color theme="1"/>
        <rFont val="黑体"/>
        <family val="3"/>
        <charset val="134"/>
      </rPr>
      <t>总建筑面积</t>
    </r>
    <phoneticPr fontId="228" type="noConversion"/>
  </si>
  <si>
    <t>东至辛屯村土地、西至廊坊国盛房地产开发有限公司项目、南至B区项目、北至C区二期项目</t>
    <phoneticPr fontId="228" type="noConversion"/>
  </si>
  <si>
    <t>永国用（2011）第018号、永国用（2011）第019号</t>
    <phoneticPr fontId="228" type="noConversion"/>
  </si>
  <si>
    <t>76796.95（主要5栋住宅楼，7#-10#、14#）</t>
    <phoneticPr fontId="228" type="noConversion"/>
  </si>
  <si>
    <t>C2期</t>
    <phoneticPr fontId="228" type="noConversion"/>
  </si>
  <si>
    <r>
      <rPr>
        <b/>
        <sz val="11"/>
        <color theme="1"/>
        <rFont val="黑体"/>
        <family val="3"/>
        <charset val="134"/>
      </rPr>
      <t>C2期</t>
    </r>
    <r>
      <rPr>
        <sz val="11"/>
        <color theme="1"/>
        <rFont val="黑体"/>
        <family val="3"/>
        <charset val="134"/>
      </rPr>
      <t>总用地面积</t>
    </r>
    <phoneticPr fontId="228" type="noConversion"/>
  </si>
  <si>
    <r>
      <rPr>
        <b/>
        <sz val="11"/>
        <color theme="1"/>
        <rFont val="黑体"/>
        <family val="3"/>
        <charset val="134"/>
      </rPr>
      <t>C2期</t>
    </r>
    <r>
      <rPr>
        <sz val="11"/>
        <color theme="1"/>
        <rFont val="黑体"/>
        <family val="3"/>
        <charset val="134"/>
      </rPr>
      <t>总建筑面积</t>
    </r>
    <phoneticPr fontId="228" type="noConversion"/>
  </si>
  <si>
    <t>东至辛屯村、范庄村土地、西至廊坊国盛房地产开发有限公司项目、南至C区一期项目、北至廊坊国盛房地产开发有限公司项目</t>
    <phoneticPr fontId="228" type="noConversion"/>
  </si>
  <si>
    <t>永国用（2011）第019号</t>
    <phoneticPr fontId="228" type="noConversion"/>
  </si>
  <si>
    <t>102712.18（主要7栋住宅楼，2#、4#、5#、12#、13#、6#、11#，1栋生活配套1#，1栋幼儿园3#）</t>
    <phoneticPr fontId="228" type="noConversion"/>
  </si>
  <si>
    <t>东至B区三期项目、西至B区二期项目、南至A区三期项目、北至C区一期项目</t>
    <phoneticPr fontId="228" type="noConversion"/>
  </si>
  <si>
    <t>2号地</t>
    <phoneticPr fontId="228" type="noConversion"/>
  </si>
  <si>
    <t>永清县别古庄镇小荆垡村西北</t>
    <phoneticPr fontId="228" type="noConversion"/>
  </si>
  <si>
    <t>东至小荆垡村土地、南至小荆垡村土地、西至2号路、北至兴泰路</t>
    <phoneticPr fontId="228" type="noConversion"/>
  </si>
  <si>
    <t>3组团</t>
    <phoneticPr fontId="228" type="noConversion"/>
  </si>
  <si>
    <t>2号地综合经济技术指标</t>
    <phoneticPr fontId="228" type="noConversion"/>
  </si>
  <si>
    <t xml:space="preserve">  其中：公寓建筑面积</t>
    <phoneticPr fontId="228" type="noConversion"/>
  </si>
  <si>
    <t>其中：商业及配套面积</t>
    <phoneticPr fontId="228" type="noConversion"/>
  </si>
  <si>
    <t>其中：公寓建筑面积</t>
    <phoneticPr fontId="228" type="noConversion"/>
  </si>
  <si>
    <t>总户数</t>
    <phoneticPr fontId="228" type="noConversion"/>
  </si>
  <si>
    <t>居住人口</t>
    <phoneticPr fontId="228" type="noConversion"/>
  </si>
  <si>
    <t>建筑密度</t>
    <phoneticPr fontId="228" type="noConversion"/>
  </si>
  <si>
    <t>绿地率</t>
    <phoneticPr fontId="228" type="noConversion"/>
  </si>
  <si>
    <t>按3.2人每户计算</t>
    <phoneticPr fontId="228" type="noConversion"/>
  </si>
  <si>
    <t>人</t>
    <phoneticPr fontId="228" type="noConversion"/>
  </si>
  <si>
    <t>3组团主要技术经济指标</t>
    <phoneticPr fontId="228" type="noConversion"/>
  </si>
  <si>
    <t>4组团主要技术经济指标</t>
    <phoneticPr fontId="228" type="noConversion"/>
  </si>
  <si>
    <t xml:space="preserve">  其中：社区用房</t>
    <phoneticPr fontId="228" type="noConversion"/>
  </si>
  <si>
    <t>1#一、二层局部</t>
    <phoneticPr fontId="228" type="noConversion"/>
  </si>
  <si>
    <t xml:space="preserve">  其中：物业管理及业主委员会</t>
    <phoneticPr fontId="228" type="noConversion"/>
  </si>
  <si>
    <t xml:space="preserve">  其中：多层地下室面积</t>
    <phoneticPr fontId="228" type="noConversion"/>
  </si>
  <si>
    <t xml:space="preserve">  其中：高层地下室面积</t>
    <phoneticPr fontId="228" type="noConversion"/>
  </si>
  <si>
    <t>用地面积</t>
    <phoneticPr fontId="228" type="noConversion"/>
  </si>
  <si>
    <t>住宅平均层数</t>
    <phoneticPr fontId="228" type="noConversion"/>
  </si>
  <si>
    <t>层</t>
    <phoneticPr fontId="228" type="noConversion"/>
  </si>
  <si>
    <t xml:space="preserve">  其中：商业及配套面积</t>
    <phoneticPr fontId="228" type="noConversion"/>
  </si>
  <si>
    <t>其中：地上总建筑面积</t>
    <phoneticPr fontId="228" type="noConversion"/>
  </si>
  <si>
    <t>其中：地下总建筑面积</t>
    <phoneticPr fontId="228" type="noConversion"/>
  </si>
  <si>
    <t xml:space="preserve">  其中：地下车库建筑面积</t>
    <phoneticPr fontId="228" type="noConversion"/>
  </si>
  <si>
    <t>217239.55（10栋住宅楼（1#-10#）、1栋公寓（11#）、2栋商业配套（12#-13#）</t>
    <phoneticPr fontId="228" type="noConversion"/>
  </si>
  <si>
    <t>总规划用地面积</t>
    <phoneticPr fontId="228" type="noConversion"/>
  </si>
  <si>
    <t>4组团</t>
    <phoneticPr fontId="228" type="noConversion"/>
  </si>
  <si>
    <t>东至小荆垡村土地、南至3号路、西至2号路、北至小荆垡村土地</t>
    <phoneticPr fontId="228" type="noConversion"/>
  </si>
  <si>
    <t>总建筑面积</t>
    <phoneticPr fontId="228" type="noConversion"/>
  </si>
  <si>
    <t>107520（7栋住宅楼1#-7#）</t>
    <phoneticPr fontId="228" type="noConversion"/>
  </si>
  <si>
    <t xml:space="preserve">  其中：地下室总建筑面积</t>
    <phoneticPr fontId="228" type="noConversion"/>
  </si>
  <si>
    <t xml:space="preserve">  其中：地下室总建筑面积</t>
    <phoneticPr fontId="228" type="noConversion"/>
  </si>
  <si>
    <t>3组团</t>
    <phoneticPr fontId="3" type="noConversion"/>
  </si>
  <si>
    <t>4组团</t>
    <phoneticPr fontId="3" type="noConversion"/>
  </si>
  <si>
    <t>名称</t>
    <phoneticPr fontId="228" type="noConversion"/>
  </si>
  <si>
    <t>住宅地下</t>
    <phoneticPr fontId="228" type="noConversion"/>
  </si>
  <si>
    <t>住宅地上</t>
    <phoneticPr fontId="228" type="noConversion"/>
  </si>
  <si>
    <t>车库</t>
    <phoneticPr fontId="228" type="noConversion"/>
  </si>
  <si>
    <t>别墅地上</t>
    <phoneticPr fontId="228" type="noConversion"/>
  </si>
  <si>
    <t>售价</t>
  </si>
  <si>
    <t>森林新都孔雀城</t>
    <phoneticPr fontId="3" type="noConversion"/>
  </si>
  <si>
    <t>正常</t>
  </si>
  <si>
    <t>永清高新区京台高速出口</t>
    <phoneticPr fontId="3" type="noConversion"/>
  </si>
  <si>
    <t>住宅</t>
    <phoneticPr fontId="21" type="noConversion"/>
  </si>
  <si>
    <t>60-70（含）</t>
  </si>
  <si>
    <t>森林新都孔雀城</t>
    <phoneticPr fontId="228" type="noConversion"/>
  </si>
  <si>
    <t>毛坯</t>
  </si>
  <si>
    <t>高层</t>
    <phoneticPr fontId="228" type="noConversion"/>
  </si>
  <si>
    <t>洋房</t>
    <phoneticPr fontId="228" type="noConversion"/>
  </si>
  <si>
    <t>公寓</t>
    <phoneticPr fontId="228" type="noConversion"/>
  </si>
  <si>
    <t>别墅</t>
    <phoneticPr fontId="228" type="noConversion"/>
  </si>
  <si>
    <t>永清融创城</t>
    <phoneticPr fontId="228" type="noConversion"/>
  </si>
  <si>
    <r>
      <t>1</t>
    </r>
    <r>
      <rPr>
        <sz val="11"/>
        <color theme="1"/>
        <rFont val="宋体"/>
        <family val="3"/>
        <charset val="134"/>
        <scheme val="minor"/>
      </rPr>
      <t>4000（精装）</t>
    </r>
    <phoneticPr fontId="228" type="noConversion"/>
  </si>
  <si>
    <t>海伦堡</t>
    <phoneticPr fontId="228" type="noConversion"/>
  </si>
  <si>
    <t>荣盛阿尔卡迪亚永清花语城</t>
    <phoneticPr fontId="228" type="noConversion"/>
  </si>
  <si>
    <t>南北</t>
    <phoneticPr fontId="21" type="noConversion"/>
  </si>
  <si>
    <t>东南</t>
    <phoneticPr fontId="21" type="noConversion"/>
  </si>
  <si>
    <t>西南</t>
    <phoneticPr fontId="21" type="noConversion"/>
  </si>
  <si>
    <t>南</t>
    <phoneticPr fontId="21" type="noConversion"/>
  </si>
  <si>
    <t>东西</t>
    <phoneticPr fontId="21" type="noConversion"/>
  </si>
  <si>
    <t>东北</t>
    <phoneticPr fontId="21" type="noConversion"/>
  </si>
  <si>
    <t>西北</t>
    <phoneticPr fontId="21" type="noConversion"/>
  </si>
  <si>
    <t>东</t>
    <phoneticPr fontId="21" type="noConversion"/>
  </si>
  <si>
    <t>西</t>
    <phoneticPr fontId="21" type="noConversion"/>
  </si>
  <si>
    <t>北</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</si>
  <si>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</si>
  <si>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</si>
  <si>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</si>
  <si>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</si>
  <si>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</si>
  <si>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次</t>
    <phoneticPr fontId="21" type="noConversion"/>
  </si>
  <si>
    <t>别墅</t>
    <phoneticPr fontId="21" type="noConversion"/>
  </si>
  <si>
    <t>钢混</t>
    <phoneticPr fontId="21" type="noConversion"/>
  </si>
  <si>
    <t>砖混</t>
    <phoneticPr fontId="21" type="noConversion"/>
  </si>
  <si>
    <t>高档</t>
    <phoneticPr fontId="21" type="noConversion"/>
  </si>
  <si>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</si>
  <si>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</si>
  <si>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</si>
  <si>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</si>
  <si>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</si>
  <si>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</si>
  <si>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洋房</t>
    <phoneticPr fontId="21" type="noConversion"/>
  </si>
  <si>
    <t>高层</t>
    <phoneticPr fontId="21" type="noConversion"/>
  </si>
  <si>
    <t>车位</t>
    <phoneticPr fontId="3" type="noConversion"/>
  </si>
  <si>
    <t>配套</t>
    <phoneticPr fontId="3" type="noConversion"/>
  </si>
  <si>
    <t>精装</t>
    <phoneticPr fontId="21" type="noConversion"/>
  </si>
  <si>
    <t>普装</t>
    <phoneticPr fontId="21" type="noConversion"/>
  </si>
  <si>
    <t>简装</t>
    <phoneticPr fontId="21" type="noConversion"/>
  </si>
  <si>
    <t>毛坯</t>
    <phoneticPr fontId="21" type="noConversion"/>
  </si>
  <si>
    <t>海伦堡</t>
    <phoneticPr fontId="3" type="noConversion"/>
  </si>
  <si>
    <t>台湾新城恒山北路与新竹道交口</t>
    <phoneticPr fontId="21" type="noConversion"/>
  </si>
  <si>
    <t>昊业忆江南</t>
    <phoneticPr fontId="3" type="noConversion"/>
  </si>
  <si>
    <t>韩村镇西营村廊霸路南侧</t>
    <phoneticPr fontId="3" type="noConversion"/>
  </si>
  <si>
    <t>永清永清县大千路与廊霸路交汇处</t>
    <phoneticPr fontId="21" type="noConversion"/>
  </si>
  <si>
    <t>帕克先生的别墅</t>
    <phoneticPr fontId="3" type="noConversion"/>
  </si>
  <si>
    <t>1号地</t>
    <phoneticPr fontId="228" type="noConversion"/>
  </si>
  <si>
    <t>地上建筑面积</t>
    <phoneticPr fontId="228" type="noConversion"/>
  </si>
  <si>
    <t>地下建筑面积</t>
    <phoneticPr fontId="228" type="noConversion"/>
  </si>
  <si>
    <t>地下车库</t>
    <phoneticPr fontId="228" type="noConversion"/>
  </si>
  <si>
    <t>名称</t>
    <phoneticPr fontId="228" type="noConversion"/>
  </si>
  <si>
    <t>3组团</t>
    <phoneticPr fontId="228" type="noConversion"/>
  </si>
  <si>
    <t>4组团</t>
    <phoneticPr fontId="228" type="noConversion"/>
  </si>
  <si>
    <t>合计</t>
    <phoneticPr fontId="228" type="noConversion"/>
  </si>
  <si>
    <t>住宅61.54年、地下车库41.53年</t>
    <phoneticPr fontId="6" type="noConversion"/>
  </si>
  <si>
    <t>荣盛阿尔卡迪亚永清花语城</t>
    <phoneticPr fontId="3" type="noConversion"/>
  </si>
  <si>
    <t>益田道与榕花路交口</t>
    <phoneticPr fontId="3" type="noConversion"/>
  </si>
  <si>
    <t>南北</t>
  </si>
  <si>
    <t>高档</t>
  </si>
  <si>
    <t>普装</t>
  </si>
  <si>
    <t>专业</t>
  </si>
  <si>
    <t>独栋</t>
    <phoneticPr fontId="21" type="noConversion"/>
  </si>
  <si>
    <t>叠拼</t>
    <phoneticPr fontId="21" type="noConversion"/>
  </si>
  <si>
    <t>联排</t>
    <phoneticPr fontId="21" type="noConversion"/>
  </si>
  <si>
    <t>洋房</t>
  </si>
  <si>
    <t>洋房</t>
    <phoneticPr fontId="3" type="noConversion"/>
  </si>
  <si>
    <t>高层地上</t>
    <phoneticPr fontId="228" type="noConversion"/>
  </si>
  <si>
    <t>洋房地上</t>
    <phoneticPr fontId="228" type="noConversion"/>
  </si>
  <si>
    <t>洋房</t>
    <phoneticPr fontId="7" type="noConversion"/>
  </si>
  <si>
    <t>住宅地下</t>
    <phoneticPr fontId="228" type="noConversion"/>
  </si>
  <si>
    <t>自定义</t>
  </si>
  <si>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</si>
  <si>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</si>
  <si>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</si>
  <si>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</si>
  <si>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</si>
  <si>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</si>
  <si>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</si>
  <si>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</si>
  <si>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</si>
  <si>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</si>
  <si>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</si>
  <si>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廊坊国瑞房地产开发有限公司</t>
  </si>
  <si>
    <r>
      <t>4-</t>
    </r>
    <r>
      <rPr>
        <sz val="9"/>
        <color theme="1"/>
        <rFont val="华文细黑"/>
        <family val="3"/>
        <charset val="134"/>
      </rPr>
      <t>（</t>
    </r>
    <r>
      <rPr>
        <sz val="9"/>
        <color theme="1"/>
        <rFont val="Arial"/>
        <family val="2"/>
      </rPr>
      <t>25</t>
    </r>
    <r>
      <rPr>
        <sz val="9"/>
        <color theme="1"/>
        <rFont val="华文细黑"/>
        <family val="3"/>
        <charset val="134"/>
      </rPr>
      <t>）</t>
    </r>
    <r>
      <rPr>
        <sz val="9"/>
        <color theme="1"/>
        <rFont val="Arial"/>
        <family val="2"/>
      </rPr>
      <t>-010</t>
    </r>
    <r>
      <rPr>
        <sz val="9"/>
        <color theme="1"/>
        <rFont val="华文细黑"/>
        <family val="3"/>
        <charset val="134"/>
      </rPr>
      <t>等（具体地号详见附表）</t>
    </r>
  </si>
  <si>
    <r>
      <t>河北省廊坊市永清县韩村镇廊霸路南侧范庄村西南部（永清国瑞生态城）等共计</t>
    </r>
    <r>
      <rPr>
        <sz val="9"/>
        <color rgb="FF000000"/>
        <rFont val="Arial"/>
        <family val="2"/>
      </rPr>
      <t>6</t>
    </r>
    <r>
      <rPr>
        <sz val="9"/>
        <color rgb="FF000000"/>
        <rFont val="华文细黑"/>
        <family val="3"/>
        <charset val="134"/>
      </rPr>
      <t>宗住宅、地下车库用地</t>
    </r>
  </si>
  <si>
    <r>
      <t>永国用（</t>
    </r>
    <r>
      <rPr>
        <sz val="9"/>
        <color theme="1"/>
        <rFont val="Arial"/>
        <family val="2"/>
      </rPr>
      <t>2011</t>
    </r>
    <r>
      <rPr>
        <sz val="9"/>
        <color theme="1"/>
        <rFont val="华文细黑"/>
        <family val="3"/>
        <charset val="134"/>
      </rPr>
      <t>）第</t>
    </r>
    <r>
      <rPr>
        <sz val="9"/>
        <color theme="1"/>
        <rFont val="Arial"/>
        <family val="2"/>
      </rPr>
      <t>018</t>
    </r>
    <r>
      <rPr>
        <sz val="9"/>
        <color theme="1"/>
        <rFont val="华文细黑"/>
        <family val="3"/>
        <charset val="134"/>
      </rPr>
      <t>号、</t>
    </r>
    <r>
      <rPr>
        <sz val="9"/>
        <color theme="1"/>
        <rFont val="Arial"/>
        <family val="2"/>
      </rPr>
      <t>019</t>
    </r>
    <r>
      <rPr>
        <sz val="9"/>
        <color theme="1"/>
        <rFont val="华文细黑"/>
        <family val="3"/>
        <charset val="134"/>
      </rPr>
      <t>号、</t>
    </r>
    <r>
      <rPr>
        <sz val="9"/>
        <color theme="1"/>
        <rFont val="Arial"/>
        <family val="2"/>
      </rPr>
      <t>020</t>
    </r>
    <r>
      <rPr>
        <sz val="9"/>
        <color theme="1"/>
        <rFont val="华文细黑"/>
        <family val="3"/>
        <charset val="134"/>
      </rPr>
      <t>号、</t>
    </r>
    <r>
      <rPr>
        <sz val="9"/>
        <color theme="1"/>
        <rFont val="Arial"/>
        <family val="2"/>
      </rPr>
      <t>069</t>
    </r>
    <r>
      <rPr>
        <sz val="9"/>
        <color theme="1"/>
        <rFont val="华文细黑"/>
        <family val="3"/>
        <charset val="134"/>
      </rPr>
      <t>号、</t>
    </r>
    <r>
      <rPr>
        <sz val="9"/>
        <color theme="1"/>
        <rFont val="Arial"/>
        <family val="2"/>
      </rPr>
      <t>070</t>
    </r>
    <r>
      <rPr>
        <sz val="9"/>
        <color theme="1"/>
        <rFont val="华文细黑"/>
        <family val="3"/>
        <charset val="134"/>
      </rPr>
      <t>号、</t>
    </r>
    <r>
      <rPr>
        <sz val="9"/>
        <color theme="1"/>
        <rFont val="Arial"/>
        <family val="2"/>
      </rPr>
      <t>074</t>
    </r>
    <r>
      <rPr>
        <sz val="9"/>
        <color theme="1"/>
        <rFont val="华文细黑"/>
        <family val="3"/>
        <charset val="134"/>
      </rPr>
      <t>号</t>
    </r>
  </si>
  <si>
    <t>城镇住宅用地</t>
  </si>
  <si>
    <t>住宅、地下车库</t>
  </si>
  <si>
    <r>
      <t>不高于</t>
    </r>
    <r>
      <rPr>
        <sz val="9"/>
        <color theme="1"/>
        <rFont val="Arial"/>
        <family val="2"/>
      </rPr>
      <t>1.4</t>
    </r>
    <r>
      <rPr>
        <sz val="9"/>
        <color theme="1"/>
        <rFont val="华文细黑"/>
        <family val="3"/>
        <charset val="134"/>
      </rPr>
      <t>不低于</t>
    </r>
    <r>
      <rPr>
        <sz val="9"/>
        <color theme="1"/>
        <rFont val="Arial"/>
        <family val="2"/>
      </rPr>
      <t>1</t>
    </r>
  </si>
  <si>
    <t>红线外三通、宗地红线内场地平整</t>
  </si>
  <si>
    <r>
      <t>住宅</t>
    </r>
    <r>
      <rPr>
        <sz val="9"/>
        <color theme="1"/>
        <rFont val="Arial"/>
        <family val="2"/>
      </rPr>
      <t>61.5</t>
    </r>
    <r>
      <rPr>
        <sz val="9"/>
        <color theme="1"/>
        <rFont val="华文细黑"/>
        <family val="3"/>
        <charset val="134"/>
      </rPr>
      <t>年、地下车库</t>
    </r>
    <r>
      <rPr>
        <sz val="9"/>
        <color theme="1"/>
        <rFont val="Arial"/>
        <family val="2"/>
      </rPr>
      <t>41.5</t>
    </r>
    <r>
      <rPr>
        <sz val="9"/>
        <color theme="1"/>
        <rFont val="华文细黑"/>
        <family val="3"/>
        <charset val="134"/>
      </rPr>
      <t>年</t>
    </r>
  </si>
  <si>
    <t>廊坊国兴房地产开发有限公司</t>
  </si>
  <si>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-005</t>
    </r>
  </si>
  <si>
    <r>
      <t>河北省廊坊市永清县别古庄镇小荆垡村西北（永清国瑞生态城）</t>
    </r>
    <r>
      <rPr>
        <sz val="9"/>
        <color rgb="FF000000"/>
        <rFont val="Arial"/>
        <family val="2"/>
      </rPr>
      <t>1</t>
    </r>
    <r>
      <rPr>
        <sz val="9"/>
        <color rgb="FF000000"/>
        <rFont val="华文细黑"/>
        <family val="3"/>
        <charset val="134"/>
      </rPr>
      <t>宗住宅、商业、地下车库用地</t>
    </r>
  </si>
  <si>
    <r>
      <t>永国用（</t>
    </r>
    <r>
      <rPr>
        <sz val="9"/>
        <color theme="1"/>
        <rFont val="Arial"/>
        <family val="2"/>
      </rPr>
      <t>2012</t>
    </r>
    <r>
      <rPr>
        <sz val="9"/>
        <color theme="1"/>
        <rFont val="华文细黑"/>
        <family val="3"/>
        <charset val="134"/>
      </rPr>
      <t>）第</t>
    </r>
    <r>
      <rPr>
        <sz val="9"/>
        <color theme="1"/>
        <rFont val="Arial"/>
        <family val="2"/>
      </rPr>
      <t>059</t>
    </r>
    <r>
      <rPr>
        <sz val="9"/>
        <color theme="1"/>
        <rFont val="华文细黑"/>
        <family val="3"/>
        <charset val="134"/>
      </rPr>
      <t>号</t>
    </r>
  </si>
  <si>
    <t>住宅、商业及地下车库</t>
  </si>
  <si>
    <r>
      <t>住宅</t>
    </r>
    <r>
      <rPr>
        <sz val="9"/>
        <color theme="1"/>
        <rFont val="Arial"/>
        <family val="2"/>
      </rPr>
      <t>61.6</t>
    </r>
    <r>
      <rPr>
        <sz val="9"/>
        <color theme="1"/>
        <rFont val="华文细黑"/>
        <family val="3"/>
        <charset val="134"/>
      </rPr>
      <t>年、商业</t>
    </r>
    <r>
      <rPr>
        <sz val="9"/>
        <color theme="1"/>
        <rFont val="Arial"/>
        <family val="2"/>
      </rPr>
      <t>31.6</t>
    </r>
    <r>
      <rPr>
        <sz val="9"/>
        <color theme="1"/>
        <rFont val="华文细黑"/>
        <family val="3"/>
        <charset val="134"/>
      </rPr>
      <t>及地下车库</t>
    </r>
    <r>
      <rPr>
        <sz val="9"/>
        <color theme="1"/>
        <rFont val="Arial"/>
        <family val="2"/>
      </rPr>
      <t>41.6</t>
    </r>
    <r>
      <rPr>
        <sz val="9"/>
        <color theme="1"/>
        <rFont val="华文细黑"/>
        <family val="3"/>
        <charset val="134"/>
      </rPr>
      <t>年</t>
    </r>
  </si>
  <si>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-001</t>
    </r>
  </si>
  <si>
    <r>
      <t>河北省廊坊市永清县别古庄镇小荆垡村南（永清国瑞生态城）</t>
    </r>
    <r>
      <rPr>
        <sz val="9"/>
        <color rgb="FF000000"/>
        <rFont val="Arial"/>
        <family val="2"/>
      </rPr>
      <t>1</t>
    </r>
    <r>
      <rPr>
        <sz val="9"/>
        <color rgb="FF000000"/>
        <rFont val="华文细黑"/>
        <family val="3"/>
        <charset val="134"/>
      </rPr>
      <t>宗住宅、地下车库用地</t>
    </r>
  </si>
  <si>
    <r>
      <t>永国用（</t>
    </r>
    <r>
      <rPr>
        <sz val="9"/>
        <color theme="1"/>
        <rFont val="Arial"/>
        <family val="2"/>
      </rPr>
      <t>2013</t>
    </r>
    <r>
      <rPr>
        <sz val="9"/>
        <color theme="1"/>
        <rFont val="华文细黑"/>
        <family val="3"/>
        <charset val="134"/>
      </rPr>
      <t>）第</t>
    </r>
    <r>
      <rPr>
        <sz val="9"/>
        <color theme="1"/>
        <rFont val="Arial"/>
        <family val="2"/>
      </rPr>
      <t>060</t>
    </r>
    <r>
      <rPr>
        <sz val="9"/>
        <color theme="1"/>
        <rFont val="华文细黑"/>
        <family val="3"/>
        <charset val="134"/>
      </rPr>
      <t>号</t>
    </r>
  </si>
  <si>
    <r>
      <t>住宅</t>
    </r>
    <r>
      <rPr>
        <sz val="9"/>
        <color theme="1"/>
        <rFont val="Arial"/>
        <family val="2"/>
      </rPr>
      <t>61.6</t>
    </r>
    <r>
      <rPr>
        <sz val="9"/>
        <color theme="1"/>
        <rFont val="华文细黑"/>
        <family val="3"/>
        <charset val="134"/>
      </rPr>
      <t>年、地下车库</t>
    </r>
    <r>
      <rPr>
        <sz val="9"/>
        <color theme="1"/>
        <rFont val="Arial"/>
        <family val="2"/>
      </rPr>
      <t>41.6</t>
    </r>
    <r>
      <rPr>
        <sz val="9"/>
        <color theme="1"/>
        <rFont val="华文细黑"/>
        <family val="3"/>
        <charset val="134"/>
      </rPr>
      <t>年</t>
    </r>
  </si>
  <si>
    <t>币种：人民币</t>
  </si>
  <si>
    <t>城市次干道</t>
  </si>
  <si>
    <t>项目尾盘</t>
    <phoneticPr fontId="21" type="noConversion"/>
  </si>
  <si>
    <t>否</t>
    <phoneticPr fontId="21" type="noConversion"/>
  </si>
  <si>
    <t>否</t>
    <phoneticPr fontId="21" type="noConversion"/>
  </si>
  <si>
    <t>是</t>
    <phoneticPr fontId="21" type="noConversion"/>
  </si>
  <si>
    <t>是</t>
    <phoneticPr fontId="21" type="noConversion"/>
  </si>
  <si>
    <t>项目尾盘</t>
    <phoneticPr fontId="228" type="noConversion"/>
  </si>
  <si>
    <t>否</t>
    <phoneticPr fontId="228" type="noConversion"/>
  </si>
  <si>
    <t>是</t>
    <phoneticPr fontId="228" type="noConversion"/>
  </si>
  <si>
    <t>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</si>
</sst>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b/>
      <sz val="11"/>
      <color theme="1"/>
      <name val="黑体"/>
      <family val="3"/>
      <charset val="134"/>
    </font>
    <font>
      <sz val="11"/>
      <color indexed="8"/>
      <name val="黑体"/>
      <family val="3"/>
      <charset val="134"/>
    </font>
    <font>
      <b/>
      <sz val="11"/>
      <color indexed="8"/>
      <name val="黑体"/>
      <family val="3"/>
      <charset val="134"/>
    </font>
    <font>
      <sz val="12"/>
      <name val="宋体"/>
      <family val="3"/>
      <charset val="134"/>
      <scheme val="minor"/>
    </font>
    <font>
      <sz val="1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1"/>
      <color rgb="FF00B0F0"/>
      <name val="宋体"/>
      <family val="3"/>
      <charset val="134"/>
      <scheme val="minor"/>
    </font>
    <font>
      <b/>
      <sz val="12"/>
      <color theme="1"/>
      <name val="宋体"/>
      <family val="3"/>
      <charset val="134"/>
      <scheme val="minor"/>
    </font>
    <font>
      <sz val="11"/>
      <color rgb="FFFF0000"/>
      <name val="黑体"/>
      <family val="3"/>
      <charset val="134"/>
    </font>
    <font>
      <sz val="9"/>
      <color theme="1"/>
      <name val="华文细黑"/>
      <family val="3"/>
      <charset val="134"/>
    </font>
    <font>
      <sz val="9"/>
      <color rgb="FF000000"/>
      <name val="华文细黑"/>
      <family val="3"/>
      <charset val="134"/>
    </font>
    <font>
      <sz val="9"/>
      <color rgb="FF000000"/>
      <name val="Arial"/>
      <family val="2"/>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3" tint="0.39994506668294322"/>
        <bgColor indexed="64"/>
      </patternFill>
    </fill>
    <fill>
      <patternFill patternType="solid">
        <fgColor theme="5" tint="0.39997558519241921"/>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
      <left style="medium">
        <color rgb="FF404040"/>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0" fontId="274" fillId="0" borderId="0" xfId="1" applyFont="1">
      <alignment vertical="center"/>
    </xf>
    <xf numFmtId="0" fontId="274" fillId="0" borderId="2" xfId="1" applyFont="1" applyBorder="1" applyAlignment="1">
      <alignment horizontal="left" vertical="center"/>
    </xf>
    <xf numFmtId="0" fontId="275" fillId="0" borderId="2" xfId="1" applyFont="1" applyBorder="1" applyAlignment="1">
      <alignment horizontal="left" vertical="center"/>
    </xf>
    <xf numFmtId="0" fontId="145" fillId="0" borderId="0" xfId="1">
      <alignment vertical="center"/>
    </xf>
    <xf numFmtId="0" fontId="180" fillId="0" borderId="21" xfId="1" applyFont="1" applyBorder="1" applyAlignment="1">
      <alignment horizontal="center" vertical="center"/>
    </xf>
    <xf numFmtId="0" fontId="180" fillId="0" borderId="21" xfId="1" applyFont="1" applyBorder="1" applyAlignment="1">
      <alignment horizontal="center" vertical="center" wrapText="1"/>
    </xf>
    <xf numFmtId="0" fontId="180" fillId="0" borderId="51" xfId="1" applyFont="1" applyFill="1" applyBorder="1" applyAlignment="1">
      <alignment horizontal="center" vertical="center"/>
    </xf>
    <xf numFmtId="0" fontId="180" fillId="0" borderId="0" xfId="1" applyFont="1" applyFill="1" applyBorder="1" applyAlignment="1">
      <alignment horizontal="center" vertical="center" wrapText="1"/>
    </xf>
    <xf numFmtId="180" fontId="145" fillId="0" borderId="0" xfId="1" applyNumberFormat="1">
      <alignment vertical="center"/>
    </xf>
    <xf numFmtId="0" fontId="180" fillId="0" borderId="2" xfId="1" applyFont="1" applyBorder="1" applyAlignment="1">
      <alignment horizontal="center" vertical="center"/>
    </xf>
    <xf numFmtId="0" fontId="180" fillId="0" borderId="2" xfId="1" applyFont="1" applyBorder="1" applyAlignment="1">
      <alignment horizontal="center" vertical="center" wrapText="1"/>
    </xf>
    <xf numFmtId="49" fontId="180" fillId="0" borderId="2" xfId="1" applyNumberFormat="1" applyFont="1" applyBorder="1" applyAlignment="1">
      <alignment horizontal="center" vertical="center"/>
    </xf>
    <xf numFmtId="0" fontId="180" fillId="0" borderId="12" xfId="1" applyFont="1" applyBorder="1" applyAlignment="1">
      <alignment horizontal="center" vertical="center"/>
    </xf>
    <xf numFmtId="0" fontId="278" fillId="0" borderId="2" xfId="1" applyFont="1" applyBorder="1" applyAlignment="1">
      <alignment horizontal="center" vertical="center"/>
    </xf>
    <xf numFmtId="0" fontId="180" fillId="0" borderId="12" xfId="1" applyFont="1" applyBorder="1" applyAlignment="1">
      <alignment horizontal="center" vertical="center" wrapText="1"/>
    </xf>
    <xf numFmtId="0" fontId="279" fillId="0" borderId="0" xfId="1" applyFont="1">
      <alignment vertical="center"/>
    </xf>
    <xf numFmtId="0" fontId="145" fillId="0" borderId="0" xfId="1" applyFont="1">
      <alignment vertical="center"/>
    </xf>
    <xf numFmtId="0" fontId="180" fillId="0" borderId="11" xfId="1" applyFont="1" applyBorder="1" applyAlignment="1">
      <alignment horizontal="center" vertical="center"/>
    </xf>
    <xf numFmtId="0" fontId="180" fillId="0" borderId="9" xfId="1" applyFont="1" applyBorder="1" applyAlignment="1">
      <alignment horizontal="center" vertical="center" wrapText="1"/>
    </xf>
    <xf numFmtId="0" fontId="280" fillId="0" borderId="47" xfId="1" applyFont="1" applyBorder="1" applyAlignment="1">
      <alignment vertical="center"/>
    </xf>
    <xf numFmtId="0" fontId="280" fillId="0" borderId="44" xfId="1" applyFont="1" applyBorder="1" applyAlignment="1">
      <alignment horizontal="center" vertical="center"/>
    </xf>
    <xf numFmtId="0" fontId="280" fillId="0" borderId="44" xfId="1" applyFont="1" applyBorder="1" applyAlignment="1">
      <alignment vertical="center"/>
    </xf>
    <xf numFmtId="0" fontId="180" fillId="0" borderId="46" xfId="1" applyFont="1" applyBorder="1" applyAlignment="1">
      <alignment horizontal="center" vertical="center"/>
    </xf>
    <xf numFmtId="0" fontId="147" fillId="0" borderId="0" xfId="1" applyFont="1">
      <alignment vertical="center"/>
    </xf>
    <xf numFmtId="180" fontId="147" fillId="0" borderId="0" xfId="1" applyNumberFormat="1" applyFont="1">
      <alignment vertical="center"/>
    </xf>
    <xf numFmtId="0" fontId="180" fillId="0" borderId="52" xfId="1" applyFont="1" applyFill="1" applyBorder="1" applyAlignment="1">
      <alignment horizontal="center" vertical="center"/>
    </xf>
    <xf numFmtId="10" fontId="147" fillId="0" borderId="0" xfId="1" applyNumberFormat="1" applyFont="1">
      <alignment vertical="center"/>
    </xf>
    <xf numFmtId="0" fontId="145" fillId="17" borderId="2" xfId="1" applyFill="1" applyBorder="1">
      <alignment vertical="center"/>
    </xf>
    <xf numFmtId="0" fontId="281" fillId="17" borderId="29" xfId="1" applyFont="1" applyFill="1" applyBorder="1" applyAlignment="1">
      <alignment vertical="center"/>
    </xf>
    <xf numFmtId="0" fontId="281" fillId="17" borderId="30" xfId="1" applyFont="1" applyFill="1" applyBorder="1" applyAlignment="1">
      <alignment vertical="center"/>
    </xf>
    <xf numFmtId="0" fontId="278" fillId="0" borderId="11" xfId="1" applyFont="1" applyFill="1" applyBorder="1" applyAlignment="1">
      <alignment horizontal="center" vertical="center"/>
    </xf>
    <xf numFmtId="0" fontId="278" fillId="0" borderId="2" xfId="1" applyFont="1" applyFill="1" applyBorder="1" applyAlignment="1">
      <alignment horizontal="center" vertical="center"/>
    </xf>
    <xf numFmtId="0" fontId="278" fillId="0" borderId="21" xfId="1" applyFont="1" applyFill="1" applyBorder="1" applyAlignment="1">
      <alignment horizontal="center" vertical="center" wrapText="1"/>
    </xf>
    <xf numFmtId="0" fontId="278" fillId="0" borderId="2" xfId="1" applyFont="1" applyFill="1" applyBorder="1" applyAlignment="1">
      <alignment horizontal="center" vertical="center" wrapText="1"/>
    </xf>
    <xf numFmtId="0" fontId="278" fillId="0" borderId="12" xfId="1" applyFont="1" applyFill="1" applyBorder="1" applyAlignment="1">
      <alignment horizontal="center" vertical="center"/>
    </xf>
    <xf numFmtId="0" fontId="180" fillId="0" borderId="5" xfId="1" applyFont="1" applyBorder="1" applyAlignment="1">
      <alignment horizontal="center" vertical="center"/>
    </xf>
    <xf numFmtId="0" fontId="278" fillId="0" borderId="11" xfId="1" applyFont="1" applyFill="1" applyBorder="1" applyAlignment="1">
      <alignment horizontal="center" vertical="center" wrapText="1"/>
    </xf>
    <xf numFmtId="179" fontId="278" fillId="0" borderId="2" xfId="1" applyNumberFormat="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11" xfId="1" applyFont="1" applyBorder="1" applyAlignment="1">
      <alignment horizontal="center" vertical="center" wrapText="1"/>
    </xf>
    <xf numFmtId="0" fontId="278" fillId="0" borderId="1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lignment vertical="center"/>
    </xf>
    <xf numFmtId="0" fontId="278" fillId="0" borderId="43" xfId="1" applyFont="1" applyFill="1" applyBorder="1" applyAlignment="1">
      <alignment horizontal="center" vertical="center"/>
    </xf>
    <xf numFmtId="0" fontId="278" fillId="0" borderId="44" xfId="1" applyFont="1" applyFill="1" applyBorder="1" applyAlignment="1">
      <alignment horizontal="center" vertical="center"/>
    </xf>
    <xf numFmtId="0" fontId="278" fillId="0" borderId="46" xfId="1" applyFont="1" applyFill="1" applyBorder="1" applyAlignment="1">
      <alignment horizontal="center" vertical="center"/>
    </xf>
    <xf numFmtId="0" fontId="145" fillId="0" borderId="2" xfId="1" applyBorder="1">
      <alignment vertical="center"/>
    </xf>
    <xf numFmtId="0" fontId="145" fillId="0" borderId="0" xfId="1" applyBorder="1">
      <alignment vertical="center"/>
    </xf>
    <xf numFmtId="0" fontId="279" fillId="0" borderId="0" xfId="1" applyFont="1" applyFill="1" applyBorder="1">
      <alignment vertical="center"/>
    </xf>
    <xf numFmtId="0" fontId="279" fillId="0" borderId="65" xfId="1" applyFont="1" applyFill="1" applyBorder="1">
      <alignment vertical="center"/>
    </xf>
    <xf numFmtId="0" fontId="278" fillId="0" borderId="46" xfId="1" applyFont="1" applyFill="1" applyBorder="1">
      <alignment vertical="center"/>
    </xf>
    <xf numFmtId="180" fontId="145" fillId="6" borderId="2" xfId="1" applyNumberFormat="1" applyFill="1" applyBorder="1">
      <alignment vertical="center"/>
    </xf>
    <xf numFmtId="0" fontId="279" fillId="0" borderId="83" xfId="1" applyFont="1" applyFill="1" applyBorder="1">
      <alignment vertical="center"/>
    </xf>
    <xf numFmtId="0" fontId="279" fillId="0" borderId="83" xfId="1" applyFont="1" applyFill="1" applyBorder="1" applyAlignment="1">
      <alignment horizontal="center" vertical="center"/>
    </xf>
    <xf numFmtId="0" fontId="279" fillId="0" borderId="34" xfId="1" applyFont="1" applyFill="1" applyBorder="1">
      <alignment vertical="center"/>
    </xf>
    <xf numFmtId="0" fontId="283" fillId="0" borderId="0" xfId="1" applyFont="1" applyFill="1" applyBorder="1" applyAlignment="1">
      <alignment horizontal="center" vertical="center"/>
    </xf>
    <xf numFmtId="0" fontId="279" fillId="0" borderId="0" xfId="1" applyFont="1" applyFill="1" applyBorder="1" applyAlignment="1">
      <alignment horizontal="center" vertical="center"/>
    </xf>
    <xf numFmtId="0" fontId="279" fillId="0" borderId="0" xfId="1" applyFont="1" applyFill="1">
      <alignment vertical="center"/>
    </xf>
    <xf numFmtId="0" fontId="145" fillId="18" borderId="2" xfId="1" applyFill="1" applyBorder="1">
      <alignment vertical="center"/>
    </xf>
    <xf numFmtId="0" fontId="281" fillId="18" borderId="29" xfId="1" applyFont="1" applyFill="1" applyBorder="1" applyAlignment="1">
      <alignment vertical="center"/>
    </xf>
    <xf numFmtId="0" fontId="281" fillId="18" borderId="30" xfId="1" applyFont="1" applyFill="1" applyBorder="1" applyAlignment="1">
      <alignment vertical="center"/>
    </xf>
    <xf numFmtId="0" fontId="180" fillId="0" borderId="32" xfId="1" applyFont="1" applyBorder="1" applyAlignment="1">
      <alignment horizontal="center" vertical="center"/>
    </xf>
    <xf numFmtId="0" fontId="145" fillId="0" borderId="31" xfId="1" applyBorder="1">
      <alignment vertical="center"/>
    </xf>
    <xf numFmtId="0" fontId="280" fillId="0" borderId="0" xfId="1" applyFont="1" applyBorder="1" applyAlignment="1">
      <alignment horizontal="center" vertical="center" wrapText="1"/>
    </xf>
    <xf numFmtId="0" fontId="278" fillId="0" borderId="0" xfId="1" applyFont="1" applyFill="1" applyBorder="1" applyAlignment="1">
      <alignment horizontal="center" vertical="center"/>
    </xf>
    <xf numFmtId="0" fontId="278" fillId="0" borderId="65" xfId="1" applyFont="1" applyFill="1" applyBorder="1">
      <alignment vertical="center"/>
    </xf>
    <xf numFmtId="0" fontId="145" fillId="6" borderId="2" xfId="1" applyFill="1" applyBorder="1">
      <alignment vertical="center"/>
    </xf>
    <xf numFmtId="0" fontId="279" fillId="0" borderId="34" xfId="1" applyFont="1" applyFill="1" applyBorder="1" applyAlignment="1">
      <alignment horizontal="center" vertical="center"/>
    </xf>
    <xf numFmtId="0" fontId="145" fillId="19" borderId="2" xfId="1" applyFill="1" applyBorder="1">
      <alignment vertical="center"/>
    </xf>
    <xf numFmtId="0" fontId="281" fillId="19" borderId="29" xfId="1" applyFont="1" applyFill="1" applyBorder="1" applyAlignment="1">
      <alignment vertical="center"/>
    </xf>
    <xf numFmtId="0" fontId="281" fillId="19" borderId="30" xfId="1" applyFont="1" applyFill="1" applyBorder="1" applyAlignment="1">
      <alignment vertical="center"/>
    </xf>
    <xf numFmtId="188" fontId="278" fillId="0" borderId="2" xfId="1" applyNumberFormat="1" applyFont="1" applyFill="1" applyBorder="1" applyAlignment="1">
      <alignment horizontal="center" vertical="center"/>
    </xf>
    <xf numFmtId="179" fontId="278" fillId="0" borderId="44" xfId="1" applyNumberFormat="1" applyFont="1" applyFill="1" applyBorder="1" applyAlignment="1">
      <alignment horizontal="center" vertical="center"/>
    </xf>
    <xf numFmtId="0" fontId="145" fillId="0" borderId="65" xfId="1" applyBorder="1">
      <alignment vertical="center"/>
    </xf>
    <xf numFmtId="0" fontId="283" fillId="6" borderId="83" xfId="1" applyFont="1" applyFill="1" applyBorder="1" applyAlignment="1">
      <alignment horizontal="center" vertical="center"/>
    </xf>
    <xf numFmtId="0" fontId="283" fillId="6" borderId="34" xfId="1" applyFont="1" applyFill="1" applyBorder="1" applyAlignment="1">
      <alignment horizontal="center" vertical="center"/>
    </xf>
    <xf numFmtId="0" fontId="145" fillId="0" borderId="0" xfId="1" applyFill="1">
      <alignment vertical="center"/>
    </xf>
    <xf numFmtId="180" fontId="145" fillId="20" borderId="2" xfId="1" applyNumberFormat="1" applyFill="1" applyBorder="1">
      <alignment vertical="center"/>
    </xf>
    <xf numFmtId="0" fontId="147" fillId="20" borderId="62" xfId="1" applyFont="1" applyFill="1" applyBorder="1" applyAlignment="1">
      <alignment horizontal="center" vertical="center"/>
    </xf>
    <xf numFmtId="0" fontId="147" fillId="20" borderId="83" xfId="1" applyFont="1" applyFill="1" applyBorder="1" applyAlignment="1">
      <alignment horizontal="center" vertical="center"/>
    </xf>
    <xf numFmtId="0" fontId="147" fillId="20" borderId="34" xfId="1" applyFont="1" applyFill="1" applyBorder="1" applyAlignment="1">
      <alignment horizontal="center" vertical="center"/>
    </xf>
    <xf numFmtId="177" fontId="163" fillId="0" borderId="2" xfId="1" applyNumberFormat="1" applyFont="1" applyFill="1" applyBorder="1" applyAlignment="1" applyProtection="1">
      <alignment horizontal="center" vertical="center" wrapText="1"/>
      <protection locked="0"/>
    </xf>
    <xf numFmtId="0" fontId="180" fillId="6" borderId="2" xfId="1" applyFont="1" applyFill="1" applyBorder="1" applyAlignment="1">
      <alignment horizontal="center" vertical="center"/>
    </xf>
    <xf numFmtId="0" fontId="180" fillId="9" borderId="2" xfId="1" applyFont="1" applyFill="1" applyBorder="1" applyAlignment="1">
      <alignment horizontal="center" vertical="center"/>
    </xf>
    <xf numFmtId="0" fontId="180" fillId="21" borderId="2" xfId="1" applyFont="1" applyFill="1" applyBorder="1" applyAlignment="1">
      <alignment horizontal="center" vertical="center"/>
    </xf>
    <xf numFmtId="0" fontId="180" fillId="7" borderId="2" xfId="1" applyFont="1" applyFill="1" applyBorder="1" applyAlignment="1">
      <alignment horizontal="center" vertical="center"/>
    </xf>
    <xf numFmtId="0" fontId="145" fillId="9" borderId="0" xfId="1" applyFill="1">
      <alignment vertical="center"/>
    </xf>
    <xf numFmtId="0" fontId="145" fillId="6" borderId="0" xfId="1" applyFill="1">
      <alignment vertical="center"/>
    </xf>
    <xf numFmtId="0" fontId="145" fillId="21" borderId="0" xfId="1" applyFill="1">
      <alignment vertical="center"/>
    </xf>
    <xf numFmtId="0" fontId="279" fillId="7" borderId="0" xfId="1" applyFont="1" applyFill="1">
      <alignment vertical="center"/>
    </xf>
    <xf numFmtId="0" fontId="284" fillId="0" borderId="21" xfId="1" applyFont="1" applyBorder="1" applyAlignment="1">
      <alignment horizontal="center" vertical="center" wrapText="1"/>
    </xf>
    <xf numFmtId="0" fontId="145" fillId="8" borderId="0" xfId="1" applyFill="1">
      <alignment vertical="center"/>
    </xf>
    <xf numFmtId="180" fontId="71" fillId="0" borderId="0" xfId="0" applyNumberFormat="1" applyFont="1" applyProtection="1">
      <alignment vertical="center"/>
      <protection locked="0"/>
    </xf>
    <xf numFmtId="177" fontId="159" fillId="0" borderId="2" xfId="1" applyNumberFormat="1" applyFont="1" applyBorder="1" applyAlignment="1" applyProtection="1">
      <alignment horizontal="center" vertical="center" wrapText="1"/>
      <protection locked="0"/>
    </xf>
    <xf numFmtId="0" fontId="223" fillId="8" borderId="0" xfId="0" applyFont="1" applyFill="1" applyProtection="1">
      <alignment vertical="center"/>
      <protection locked="0"/>
    </xf>
    <xf numFmtId="0" fontId="11"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71" fillId="6" borderId="11" xfId="0" applyFont="1" applyFill="1" applyBorder="1" applyAlignment="1" applyProtection="1">
      <alignment vertical="center" wrapText="1"/>
    </xf>
    <xf numFmtId="0" fontId="275" fillId="6" borderId="2" xfId="1" applyFont="1" applyFill="1" applyBorder="1" applyAlignment="1">
      <alignment horizontal="left" vertical="center"/>
    </xf>
    <xf numFmtId="0" fontId="274" fillId="0" borderId="0" xfId="0" applyFont="1">
      <alignment vertical="center"/>
    </xf>
    <xf numFmtId="0" fontId="274" fillId="0" borderId="2" xfId="0" applyFont="1" applyBorder="1" applyAlignment="1">
      <alignment horizontal="left" vertical="center"/>
    </xf>
    <xf numFmtId="0" fontId="274" fillId="0" borderId="0" xfId="0" applyFont="1" applyAlignment="1">
      <alignment horizontal="left" vertical="center"/>
    </xf>
    <xf numFmtId="0" fontId="145" fillId="0" borderId="2" xfId="1" applyBorder="1" applyAlignment="1">
      <alignment vertical="center" wrapText="1"/>
    </xf>
    <xf numFmtId="0" fontId="147" fillId="0" borderId="2" xfId="1" applyFont="1" applyBorder="1" applyAlignment="1">
      <alignment vertical="center" wrapText="1"/>
    </xf>
    <xf numFmtId="0" fontId="145" fillId="6" borderId="2" xfId="1" applyFill="1" applyBorder="1" applyAlignment="1">
      <alignment horizontal="center" vertical="center" wrapText="1"/>
    </xf>
    <xf numFmtId="0" fontId="145" fillId="6" borderId="2" xfId="1" applyFill="1" applyBorder="1" applyAlignment="1">
      <alignment vertical="center" wrapText="1"/>
    </xf>
    <xf numFmtId="0" fontId="147" fillId="6" borderId="2" xfId="1" applyFont="1" applyFill="1" applyBorder="1" applyAlignment="1">
      <alignment vertical="center" wrapText="1"/>
    </xf>
    <xf numFmtId="0" fontId="180" fillId="22" borderId="2" xfId="1" applyFont="1" applyFill="1" applyBorder="1" applyAlignment="1">
      <alignment horizontal="center" vertical="center" wrapText="1"/>
    </xf>
    <xf numFmtId="0" fontId="145" fillId="22" borderId="2" xfId="1" applyFill="1" applyBorder="1" applyAlignment="1">
      <alignment vertical="center" wrapText="1"/>
    </xf>
    <xf numFmtId="0" fontId="145" fillId="22" borderId="2" xfId="1" applyFont="1" applyFill="1" applyBorder="1" applyAlignment="1">
      <alignment vertical="center" wrapText="1"/>
    </xf>
    <xf numFmtId="0" fontId="180" fillId="22" borderId="2" xfId="1" applyFont="1" applyFill="1" applyBorder="1" applyAlignment="1">
      <alignment horizontal="center" vertical="center"/>
    </xf>
    <xf numFmtId="0" fontId="180" fillId="23" borderId="2" xfId="1" applyFont="1" applyFill="1" applyBorder="1" applyAlignment="1">
      <alignment horizontal="center" vertical="center" wrapText="1"/>
    </xf>
    <xf numFmtId="0" fontId="145" fillId="23" borderId="2" xfId="1" applyFill="1" applyBorder="1" applyAlignment="1">
      <alignment vertical="center" wrapText="1"/>
    </xf>
    <xf numFmtId="0" fontId="180" fillId="23" borderId="2" xfId="1" applyFont="1" applyFill="1" applyBorder="1" applyAlignment="1">
      <alignment horizontal="center" vertical="center"/>
    </xf>
    <xf numFmtId="0" fontId="180" fillId="24" borderId="2" xfId="1" applyFont="1" applyFill="1" applyBorder="1" applyAlignment="1">
      <alignment horizontal="center" vertical="center" wrapText="1"/>
    </xf>
    <xf numFmtId="0" fontId="145" fillId="24" borderId="2" xfId="1" applyFont="1" applyFill="1" applyBorder="1" applyAlignment="1">
      <alignment vertical="center" wrapText="1"/>
    </xf>
    <xf numFmtId="0" fontId="180" fillId="24" borderId="2" xfId="1" applyFont="1" applyFill="1" applyBorder="1" applyAlignment="1">
      <alignment horizontal="center" vertical="center"/>
    </xf>
    <xf numFmtId="0" fontId="180" fillId="14" borderId="2" xfId="1" applyFont="1" applyFill="1" applyBorder="1" applyAlignment="1">
      <alignment horizontal="center" vertical="center" wrapText="1"/>
    </xf>
    <xf numFmtId="0" fontId="145" fillId="14" borderId="2" xfId="1" applyFill="1" applyBorder="1" applyAlignment="1">
      <alignment vertical="center" wrapText="1"/>
    </xf>
    <xf numFmtId="0" fontId="180" fillId="14" borderId="2" xfId="1" applyFont="1" applyFill="1" applyBorder="1" applyAlignment="1">
      <alignment horizontal="center" vertical="center"/>
    </xf>
    <xf numFmtId="0" fontId="180" fillId="25" borderId="2" xfId="1" applyFont="1" applyFill="1" applyBorder="1" applyAlignment="1">
      <alignment horizontal="center" vertical="center" wrapText="1"/>
    </xf>
    <xf numFmtId="0" fontId="145" fillId="25" borderId="2" xfId="1" applyFill="1" applyBorder="1" applyAlignment="1">
      <alignment vertical="center" wrapText="1"/>
    </xf>
    <xf numFmtId="0" fontId="147" fillId="25" borderId="2" xfId="1" applyFont="1" applyFill="1" applyBorder="1" applyAlignment="1">
      <alignment vertical="center" wrapText="1"/>
    </xf>
    <xf numFmtId="0" fontId="280" fillId="25" borderId="2" xfId="1" applyFont="1" applyFill="1" applyBorder="1" applyAlignment="1">
      <alignment horizontal="center" vertical="center"/>
    </xf>
    <xf numFmtId="0" fontId="180" fillId="26" borderId="2" xfId="1" applyFont="1" applyFill="1" applyBorder="1" applyAlignment="1">
      <alignment horizontal="center" vertical="center" wrapText="1"/>
    </xf>
    <xf numFmtId="0" fontId="145" fillId="26" borderId="2" xfId="1" applyFill="1" applyBorder="1" applyAlignment="1">
      <alignment vertical="center" wrapText="1"/>
    </xf>
    <xf numFmtId="0" fontId="180" fillId="26" borderId="2" xfId="1" applyFont="1" applyFill="1" applyBorder="1" applyAlignment="1">
      <alignment horizontal="center" vertical="center"/>
    </xf>
    <xf numFmtId="0" fontId="180" fillId="27" borderId="2" xfId="1" applyFont="1" applyFill="1" applyBorder="1" applyAlignment="1">
      <alignment horizontal="center" vertical="center" wrapText="1"/>
    </xf>
    <xf numFmtId="0" fontId="145" fillId="27" borderId="2" xfId="1" applyFill="1" applyBorder="1" applyAlignment="1">
      <alignment vertical="center" wrapText="1"/>
    </xf>
    <xf numFmtId="0" fontId="180" fillId="27" borderId="2" xfId="1" applyFont="1" applyFill="1" applyBorder="1" applyAlignment="1">
      <alignment horizontal="center" vertical="center"/>
    </xf>
    <xf numFmtId="0" fontId="145" fillId="28" borderId="2" xfId="1" applyFill="1" applyBorder="1" applyAlignment="1">
      <alignment vertical="center" wrapText="1"/>
    </xf>
    <xf numFmtId="0" fontId="278" fillId="28" borderId="2" xfId="1" applyFont="1" applyFill="1" applyBorder="1" applyAlignment="1">
      <alignment horizontal="center" vertical="center"/>
    </xf>
    <xf numFmtId="0" fontId="145" fillId="6" borderId="2" xfId="1" applyFont="1" applyFill="1" applyBorder="1" applyAlignment="1">
      <alignment vertical="center" wrapText="1"/>
    </xf>
    <xf numFmtId="0" fontId="280" fillId="29" borderId="2" xfId="1" applyFont="1" applyFill="1" applyBorder="1" applyAlignment="1">
      <alignment horizontal="center" vertical="center"/>
    </xf>
    <xf numFmtId="0" fontId="145" fillId="29" borderId="2" xfId="1" applyFill="1" applyBorder="1" applyAlignment="1">
      <alignment vertical="center" wrapText="1"/>
    </xf>
    <xf numFmtId="0" fontId="147" fillId="29" borderId="2" xfId="1" applyFont="1" applyFill="1" applyBorder="1" applyAlignment="1">
      <alignment vertical="center" wrapText="1"/>
    </xf>
    <xf numFmtId="0" fontId="280" fillId="9" borderId="2" xfId="1" applyFont="1" applyFill="1" applyBorder="1" applyAlignment="1">
      <alignment horizontal="center" vertical="center"/>
    </xf>
    <xf numFmtId="0" fontId="145" fillId="9" borderId="2" xfId="1" applyFill="1" applyBorder="1" applyAlignment="1">
      <alignment vertical="center" wrapText="1"/>
    </xf>
    <xf numFmtId="0" fontId="147" fillId="9" borderId="2" xfId="1" applyFont="1" applyFill="1" applyBorder="1" applyAlignment="1">
      <alignment vertical="center" wrapText="1"/>
    </xf>
    <xf numFmtId="0" fontId="147" fillId="26" borderId="2" xfId="1" applyFont="1" applyFill="1" applyBorder="1" applyAlignment="1">
      <alignment vertical="center" wrapText="1"/>
    </xf>
    <xf numFmtId="0" fontId="278" fillId="26" borderId="2" xfId="1" applyFont="1" applyFill="1" applyBorder="1" applyAlignment="1">
      <alignment horizontal="center" vertical="center"/>
    </xf>
    <xf numFmtId="0" fontId="147" fillId="0" borderId="0" xfId="1" applyFont="1" applyAlignment="1">
      <alignment vertical="center" wrapText="1"/>
    </xf>
    <xf numFmtId="0" fontId="274" fillId="6" borderId="2" xfId="1" applyFont="1" applyFill="1" applyBorder="1" applyAlignment="1">
      <alignment horizontal="left" vertical="center"/>
    </xf>
    <xf numFmtId="0" fontId="276" fillId="0" borderId="2" xfId="1" applyFont="1" applyBorder="1" applyAlignment="1" applyProtection="1">
      <alignment horizontal="left" vertical="center" wrapText="1"/>
      <protection locked="0"/>
    </xf>
    <xf numFmtId="177" fontId="276" fillId="0" borderId="2" xfId="1" applyNumberFormat="1" applyFont="1" applyBorder="1" applyAlignment="1" applyProtection="1">
      <alignment horizontal="left" vertical="center" wrapText="1"/>
      <protection locked="0"/>
    </xf>
    <xf numFmtId="0" fontId="276" fillId="0" borderId="21" xfId="1" applyFont="1" applyBorder="1" applyAlignment="1" applyProtection="1">
      <alignment horizontal="left" vertical="center" wrapText="1"/>
      <protection locked="0"/>
    </xf>
    <xf numFmtId="0" fontId="277" fillId="0" borderId="21" xfId="1" applyFont="1" applyBorder="1" applyAlignment="1" applyProtection="1">
      <alignment horizontal="left" vertical="center" wrapText="1"/>
      <protection locked="0"/>
    </xf>
    <xf numFmtId="177" fontId="277" fillId="6" borderId="2" xfId="1" applyNumberFormat="1" applyFont="1" applyFill="1" applyBorder="1" applyAlignment="1" applyProtection="1">
      <alignment horizontal="left" vertical="center" wrapText="1"/>
      <protection locked="0"/>
    </xf>
    <xf numFmtId="0" fontId="274" fillId="0" borderId="2" xfId="1"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0" fontId="275" fillId="9" borderId="2" xfId="1" applyFont="1" applyFill="1" applyBorder="1" applyAlignment="1">
      <alignment horizontal="left" vertical="center"/>
    </xf>
    <xf numFmtId="0" fontId="275" fillId="0" borderId="0" xfId="0" applyFont="1" applyAlignment="1">
      <alignment horizontal="left" vertical="center"/>
    </xf>
    <xf numFmtId="0" fontId="274" fillId="0" borderId="0" xfId="0" applyFont="1" applyAlignment="1">
      <alignment horizontal="left" vertical="center" wrapText="1"/>
    </xf>
    <xf numFmtId="0" fontId="275" fillId="7" borderId="0" xfId="0" applyFont="1" applyFill="1" applyAlignment="1">
      <alignment horizontal="left" vertical="center" wrapText="1"/>
    </xf>
    <xf numFmtId="0" fontId="274" fillId="0" borderId="2" xfId="0" applyFont="1" applyBorder="1" applyAlignment="1">
      <alignment horizontal="left" vertical="center" wrapText="1"/>
    </xf>
    <xf numFmtId="0" fontId="275" fillId="9" borderId="0" xfId="0" applyFont="1" applyFill="1" applyAlignment="1">
      <alignment horizontal="left" vertical="center" wrapText="1"/>
    </xf>
    <xf numFmtId="0" fontId="275" fillId="6" borderId="0" xfId="0" applyFont="1" applyFill="1" applyAlignment="1">
      <alignment horizontal="left" vertical="center" wrapText="1"/>
    </xf>
    <xf numFmtId="31" fontId="274" fillId="0" borderId="2" xfId="0" applyNumberFormat="1" applyFont="1" applyBorder="1" applyAlignment="1">
      <alignment horizontal="left" vertical="center" wrapText="1"/>
    </xf>
    <xf numFmtId="0" fontId="274" fillId="0" borderId="10" xfId="0" applyFont="1" applyBorder="1" applyAlignment="1">
      <alignment horizontal="left" vertical="center" wrapText="1"/>
    </xf>
    <xf numFmtId="0" fontId="274" fillId="7" borderId="0" xfId="0" applyFont="1" applyFill="1" applyAlignment="1">
      <alignment horizontal="left" vertical="center" wrapText="1"/>
    </xf>
    <xf numFmtId="0" fontId="274" fillId="9" borderId="0" xfId="0" applyFont="1" applyFill="1" applyAlignment="1">
      <alignment horizontal="left" vertical="center" wrapText="1"/>
    </xf>
    <xf numFmtId="0" fontId="274" fillId="6" borderId="0" xfId="0" applyFont="1" applyFill="1" applyAlignment="1">
      <alignment horizontal="left" vertical="center" wrapText="1"/>
    </xf>
    <xf numFmtId="0" fontId="274" fillId="0" borderId="2" xfId="0" applyNumberFormat="1" applyFont="1" applyBorder="1" applyAlignment="1">
      <alignment horizontal="left" vertical="center"/>
    </xf>
    <xf numFmtId="10" fontId="274" fillId="0" borderId="2" xfId="0" applyNumberFormat="1" applyFont="1" applyBorder="1" applyAlignment="1">
      <alignment horizontal="left" vertical="center"/>
    </xf>
    <xf numFmtId="9" fontId="274" fillId="0" borderId="2" xfId="0" applyNumberFormat="1" applyFont="1" applyBorder="1" applyAlignment="1">
      <alignment horizontal="left" vertical="center"/>
    </xf>
    <xf numFmtId="0" fontId="275" fillId="0" borderId="0" xfId="1" applyFont="1" applyAlignment="1">
      <alignment horizontal="left" vertical="center"/>
    </xf>
    <xf numFmtId="0" fontId="274" fillId="0" borderId="0" xfId="1" applyFont="1" applyAlignment="1">
      <alignment horizontal="left" vertical="center"/>
    </xf>
    <xf numFmtId="0" fontId="274" fillId="6" borderId="0" xfId="1" applyFont="1" applyFill="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78" xfId="0" applyNumberFormat="1"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0" fillId="30" borderId="2" xfId="1" applyFont="1" applyFill="1" applyBorder="1" applyAlignment="1">
      <alignment horizontal="center" vertical="center"/>
    </xf>
    <xf numFmtId="0" fontId="145" fillId="30" borderId="0" xfId="1" applyFill="1">
      <alignment vertical="center"/>
    </xf>
    <xf numFmtId="0" fontId="285" fillId="0" borderId="2" xfId="1" applyFont="1" applyBorder="1" applyAlignment="1">
      <alignment horizontal="left" vertical="center"/>
    </xf>
    <xf numFmtId="182" fontId="152" fillId="21" borderId="2" xfId="0"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182" fontId="85" fillId="21" borderId="25" xfId="0" applyNumberFormat="1" applyFont="1" applyFill="1" applyBorder="1" applyAlignment="1" applyProtection="1">
      <alignment horizontal="center" vertical="center"/>
      <protection locked="0"/>
    </xf>
    <xf numFmtId="0" fontId="286" fillId="0" borderId="157" xfId="0" applyFont="1" applyBorder="1" applyAlignment="1">
      <alignment vertical="center" wrapText="1"/>
    </xf>
    <xf numFmtId="0" fontId="286" fillId="0" borderId="158" xfId="0" applyFont="1" applyBorder="1" applyAlignment="1">
      <alignment vertical="center" wrapText="1"/>
    </xf>
    <xf numFmtId="0" fontId="286" fillId="0" borderId="155" xfId="0" applyFont="1" applyBorder="1" applyAlignment="1">
      <alignment vertical="center" wrapText="1"/>
    </xf>
    <xf numFmtId="0" fontId="173" fillId="0" borderId="158" xfId="0" applyFont="1" applyBorder="1" applyAlignment="1">
      <alignment vertical="center" wrapText="1"/>
    </xf>
    <xf numFmtId="0" fontId="287" fillId="0" borderId="158" xfId="0" applyFont="1" applyBorder="1" applyAlignment="1">
      <alignment vertical="center" wrapText="1"/>
    </xf>
    <xf numFmtId="0" fontId="288" fillId="0" borderId="158" xfId="0" applyFont="1" applyBorder="1" applyAlignment="1">
      <alignment vertical="center" wrapText="1"/>
    </xf>
    <xf numFmtId="2" fontId="75" fillId="5" borderId="10" xfId="0" applyNumberFormat="1" applyFont="1" applyFill="1" applyBorder="1" applyAlignment="1" applyProtection="1">
      <alignment vertical="center"/>
    </xf>
    <xf numFmtId="0" fontId="86" fillId="0" borderId="0" xfId="16" applyFill="1"/>
    <xf numFmtId="0" fontId="288" fillId="0" borderId="162" xfId="0" applyFont="1" applyBorder="1" applyAlignment="1">
      <alignment vertical="center" wrapText="1"/>
    </xf>
    <xf numFmtId="0" fontId="288" fillId="0" borderId="155" xfId="0" applyFont="1" applyBorder="1" applyAlignment="1">
      <alignment vertical="center" wrapText="1"/>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87"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5" fillId="0" borderId="5" xfId="1" applyFont="1" applyBorder="1" applyAlignment="1">
      <alignment horizontal="left" vertical="center"/>
    </xf>
    <xf numFmtId="0" fontId="275" fillId="0" borderId="9" xfId="1" applyFont="1" applyBorder="1" applyAlignment="1">
      <alignment horizontal="left" vertical="center"/>
    </xf>
    <xf numFmtId="0" fontId="180" fillId="0" borderId="22" xfId="1" applyFont="1" applyBorder="1" applyAlignment="1">
      <alignment horizontal="center" vertical="center"/>
    </xf>
    <xf numFmtId="0" fontId="180" fillId="0" borderId="24" xfId="1" applyFont="1" applyBorder="1" applyAlignment="1">
      <alignment horizontal="center" vertical="center"/>
    </xf>
    <xf numFmtId="0" fontId="180" fillId="0" borderId="50" xfId="1" applyFont="1" applyBorder="1" applyAlignment="1">
      <alignment horizontal="center" vertical="center"/>
    </xf>
    <xf numFmtId="0" fontId="147" fillId="0" borderId="36" xfId="1" applyFont="1" applyBorder="1" applyAlignment="1">
      <alignment horizontal="center" vertical="center"/>
    </xf>
    <xf numFmtId="0" fontId="147" fillId="0" borderId="37" xfId="1" applyFont="1" applyBorder="1" applyAlignment="1">
      <alignment horizontal="center" vertical="center"/>
    </xf>
    <xf numFmtId="0" fontId="147" fillId="0" borderId="38" xfId="1" applyFont="1" applyBorder="1" applyAlignment="1">
      <alignment horizontal="center" vertical="center"/>
    </xf>
    <xf numFmtId="0" fontId="147" fillId="0" borderId="0" xfId="1" applyFont="1" applyAlignment="1">
      <alignment horizontal="center" vertical="center" wrapText="1"/>
    </xf>
    <xf numFmtId="0" fontId="180" fillId="0" borderId="59" xfId="1" applyFont="1" applyBorder="1" applyAlignment="1">
      <alignment horizontal="center" vertical="center"/>
    </xf>
    <xf numFmtId="0" fontId="180" fillId="0" borderId="42" xfId="1" applyFont="1" applyBorder="1" applyAlignment="1">
      <alignment horizontal="center" vertical="center"/>
    </xf>
    <xf numFmtId="0" fontId="147" fillId="9" borderId="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pplyAlignment="1">
      <alignment horizontal="center" vertical="center"/>
    </xf>
    <xf numFmtId="0" fontId="180" fillId="0" borderId="10" xfId="1" applyFont="1" applyBorder="1" applyAlignment="1">
      <alignment horizontal="center" vertical="center"/>
    </xf>
    <xf numFmtId="0" fontId="180" fillId="0" borderId="3" xfId="1" applyFont="1" applyBorder="1" applyAlignment="1">
      <alignment horizontal="center" vertical="center"/>
    </xf>
    <xf numFmtId="0" fontId="180" fillId="0" borderId="21" xfId="1" applyFont="1" applyBorder="1" applyAlignment="1">
      <alignment horizontal="center" vertical="center"/>
    </xf>
    <xf numFmtId="0" fontId="180" fillId="0" borderId="4" xfId="1" applyFont="1" applyBorder="1" applyAlignment="1">
      <alignment horizontal="center" vertical="center"/>
    </xf>
    <xf numFmtId="0" fontId="180" fillId="0" borderId="13" xfId="1" applyFont="1" applyBorder="1" applyAlignment="1">
      <alignment horizontal="center" vertical="center"/>
    </xf>
    <xf numFmtId="0" fontId="180" fillId="0" borderId="17" xfId="1" applyFont="1" applyBorder="1" applyAlignment="1">
      <alignment horizontal="center" vertical="center"/>
    </xf>
    <xf numFmtId="0" fontId="280" fillId="0" borderId="56" xfId="1" applyFont="1" applyBorder="1" applyAlignment="1">
      <alignment horizontal="center" vertical="center" wrapText="1"/>
    </xf>
    <xf numFmtId="0" fontId="280" fillId="0" borderId="60" xfId="1" applyFont="1" applyBorder="1" applyAlignment="1">
      <alignment horizontal="center" vertical="center"/>
    </xf>
    <xf numFmtId="0" fontId="280" fillId="0" borderId="47" xfId="1" applyFont="1" applyBorder="1" applyAlignment="1">
      <alignment horizontal="center" vertical="center"/>
    </xf>
    <xf numFmtId="0" fontId="282" fillId="0" borderId="1" xfId="1" applyFont="1" applyFill="1" applyBorder="1" applyAlignment="1">
      <alignment horizontal="center" vertical="center"/>
    </xf>
    <xf numFmtId="0" fontId="282" fillId="0" borderId="6" xfId="1" applyFont="1" applyFill="1" applyBorder="1" applyAlignment="1">
      <alignment horizontal="center" vertical="center"/>
    </xf>
    <xf numFmtId="0" fontId="282" fillId="0" borderId="7" xfId="1" applyFont="1" applyFill="1" applyBorder="1" applyAlignment="1">
      <alignment horizontal="center" vertical="center"/>
    </xf>
    <xf numFmtId="0" fontId="282" fillId="0" borderId="59" xfId="1" applyFont="1" applyFill="1" applyBorder="1" applyAlignment="1">
      <alignment horizontal="center" vertical="center"/>
    </xf>
    <xf numFmtId="0" fontId="282" fillId="0" borderId="30" xfId="1" applyFont="1" applyFill="1" applyBorder="1" applyAlignment="1">
      <alignment horizontal="center" vertical="center"/>
    </xf>
    <xf numFmtId="0" fontId="282" fillId="0" borderId="57" xfId="1" applyFont="1" applyFill="1" applyBorder="1" applyAlignment="1">
      <alignment horizontal="center" vertical="center"/>
    </xf>
    <xf numFmtId="0" fontId="147" fillId="9" borderId="2" xfId="1" applyFont="1" applyFill="1" applyBorder="1" applyAlignment="1">
      <alignment horizontal="center" vertical="center"/>
    </xf>
    <xf numFmtId="0" fontId="283" fillId="6" borderId="37" xfId="1" applyFont="1" applyFill="1" applyBorder="1" applyAlignment="1">
      <alignment horizontal="center" vertical="center"/>
    </xf>
    <xf numFmtId="0" fontId="283" fillId="6" borderId="62" xfId="1" applyFont="1" applyFill="1" applyBorder="1" applyAlignment="1">
      <alignment horizontal="center" vertical="center"/>
    </xf>
    <xf numFmtId="0" fontId="180" fillId="0" borderId="32" xfId="1" applyFont="1" applyBorder="1" applyAlignment="1">
      <alignment horizontal="center" vertical="center"/>
    </xf>
    <xf numFmtId="0" fontId="180" fillId="0" borderId="20" xfId="1" applyFont="1" applyBorder="1" applyAlignment="1">
      <alignment horizontal="center" vertical="center"/>
    </xf>
    <xf numFmtId="0" fontId="180" fillId="0" borderId="18" xfId="1" applyFont="1" applyBorder="1" applyAlignment="1">
      <alignment horizontal="center" vertical="center"/>
    </xf>
    <xf numFmtId="0" fontId="180" fillId="0" borderId="2" xfId="1" applyFont="1" applyBorder="1" applyAlignment="1">
      <alignment horizontal="center" vertical="center"/>
    </xf>
    <xf numFmtId="0" fontId="146" fillId="0" borderId="5" xfId="1" applyFont="1" applyBorder="1" applyAlignment="1">
      <alignment horizontal="center" vertical="center" wrapText="1"/>
    </xf>
    <xf numFmtId="0" fontId="146" fillId="0" borderId="8" xfId="1" applyFont="1" applyBorder="1" applyAlignment="1">
      <alignment horizontal="center" vertical="center" wrapText="1"/>
    </xf>
    <xf numFmtId="0" fontId="146" fillId="0" borderId="9" xfId="1" applyFont="1" applyBorder="1" applyAlignment="1">
      <alignment horizontal="center" vertical="center" wrapText="1"/>
    </xf>
    <xf numFmtId="0" fontId="145" fillId="6" borderId="5" xfId="1" applyFill="1" applyBorder="1" applyAlignment="1">
      <alignment horizontal="center" vertical="center" wrapText="1"/>
    </xf>
    <xf numFmtId="0" fontId="145" fillId="6" borderId="9" xfId="1" applyFill="1" applyBorder="1" applyAlignment="1">
      <alignment horizontal="center" vertical="center" wrapText="1"/>
    </xf>
    <xf numFmtId="0" fontId="145" fillId="0" borderId="5" xfId="1" applyFont="1" applyBorder="1" applyAlignment="1">
      <alignment horizontal="center" vertical="center" wrapText="1"/>
    </xf>
    <xf numFmtId="0" fontId="145" fillId="0" borderId="8" xfId="1" applyBorder="1" applyAlignment="1">
      <alignment horizontal="center" vertical="center" wrapText="1"/>
    </xf>
    <xf numFmtId="0" fontId="145" fillId="0" borderId="9" xfId="1" applyBorder="1" applyAlignment="1">
      <alignment horizontal="center" vertical="center" wrapText="1"/>
    </xf>
    <xf numFmtId="0" fontId="145" fillId="6" borderId="2" xfId="1" applyFont="1" applyFill="1" applyBorder="1" applyAlignment="1">
      <alignment horizontal="center" vertical="center" wrapText="1"/>
    </xf>
    <xf numFmtId="0" fontId="286" fillId="0" borderId="154" xfId="0" applyFont="1" applyBorder="1" applyAlignment="1">
      <alignment vertical="center" wrapText="1"/>
    </xf>
    <xf numFmtId="0" fontId="286" fillId="0" borderId="155" xfId="0" applyFont="1" applyBorder="1" applyAlignment="1">
      <alignment vertical="center" wrapText="1"/>
    </xf>
    <xf numFmtId="0" fontId="287" fillId="0" borderId="160" xfId="0" applyFont="1" applyBorder="1" applyAlignment="1">
      <alignment vertical="center" wrapText="1"/>
    </xf>
    <xf numFmtId="0" fontId="287" fillId="0" borderId="159" xfId="0" applyFont="1" applyBorder="1" applyAlignment="1">
      <alignment vertical="center" wrapText="1"/>
    </xf>
    <xf numFmtId="0" fontId="287" fillId="0" borderId="156" xfId="0" applyFont="1" applyBorder="1" applyAlignment="1">
      <alignment vertical="center" wrapText="1"/>
    </xf>
    <xf numFmtId="0" fontId="286" fillId="0" borderId="160" xfId="0" applyFont="1" applyBorder="1" applyAlignment="1">
      <alignment vertical="center" wrapText="1"/>
    </xf>
    <xf numFmtId="0" fontId="286" fillId="0" borderId="159" xfId="0" applyFont="1" applyBorder="1" applyAlignment="1">
      <alignment vertical="center" wrapText="1"/>
    </xf>
    <xf numFmtId="0" fontId="286" fillId="0" borderId="156" xfId="0" applyFont="1" applyBorder="1" applyAlignment="1">
      <alignment vertical="center" wrapText="1"/>
    </xf>
    <xf numFmtId="0" fontId="286" fillId="0" borderId="161"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8466</xdr:colOff>
      <xdr:row>100</xdr:row>
      <xdr:rowOff>160954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2025"/>
          <a:ext cx="8476191" cy="7771429"/>
        </a:xfrm>
        <a:prstGeom prst="rect">
          <a:avLst/>
        </a:prstGeom>
      </xdr:spPr>
    </xdr:pic>
    <xdr:clientData/>
  </xdr:twoCellAnchor>
  <xdr:twoCellAnchor editAs="oneCell">
    <xdr:from>
      <xdr:col>0</xdr:col>
      <xdr:colOff>0</xdr:colOff>
      <xdr:row>104</xdr:row>
      <xdr:rowOff>0</xdr:rowOff>
    </xdr:from>
    <xdr:to>
      <xdr:col>7</xdr:col>
      <xdr:colOff>637123</xdr:colOff>
      <xdr:row>151</xdr:row>
      <xdr:rowOff>56192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40200"/>
          <a:ext cx="8419048" cy="7666667"/>
        </a:xfrm>
        <a:prstGeom prst="rect">
          <a:avLst/>
        </a:prstGeom>
      </xdr:spPr>
    </xdr:pic>
    <xdr:clientData/>
  </xdr:twoCellAnchor>
  <xdr:twoCellAnchor editAs="oneCell">
    <xdr:from>
      <xdr:col>9</xdr:col>
      <xdr:colOff>0</xdr:colOff>
      <xdr:row>106</xdr:row>
      <xdr:rowOff>0</xdr:rowOff>
    </xdr:from>
    <xdr:to>
      <xdr:col>15</xdr:col>
      <xdr:colOff>113412</xdr:colOff>
      <xdr:row>130</xdr:row>
      <xdr:rowOff>75705</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0" y="17164050"/>
          <a:ext cx="7104762" cy="3961905"/>
        </a:xfrm>
        <a:prstGeom prst="rect">
          <a:avLst/>
        </a:prstGeom>
      </xdr:spPr>
    </xdr:pic>
    <xdr:clientData/>
  </xdr:twoCellAnchor>
  <xdr:twoCellAnchor editAs="oneCell">
    <xdr:from>
      <xdr:col>0</xdr:col>
      <xdr:colOff>0</xdr:colOff>
      <xdr:row>153</xdr:row>
      <xdr:rowOff>0</xdr:rowOff>
    </xdr:from>
    <xdr:to>
      <xdr:col>9</xdr:col>
      <xdr:colOff>389346</xdr:colOff>
      <xdr:row>201</xdr:row>
      <xdr:rowOff>122839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74525"/>
          <a:ext cx="9438096" cy="7895239"/>
        </a:xfrm>
        <a:prstGeom prst="rect">
          <a:avLst/>
        </a:prstGeom>
      </xdr:spPr>
    </xdr:pic>
    <xdr:clientData/>
  </xdr:twoCellAnchor>
  <xdr:twoCellAnchor editAs="oneCell">
    <xdr:from>
      <xdr:col>10</xdr:col>
      <xdr:colOff>0</xdr:colOff>
      <xdr:row>156</xdr:row>
      <xdr:rowOff>0</xdr:rowOff>
    </xdr:from>
    <xdr:to>
      <xdr:col>14</xdr:col>
      <xdr:colOff>656449</xdr:colOff>
      <xdr:row>180</xdr:row>
      <xdr:rowOff>142372</xdr:rowOff>
    </xdr:to>
    <xdr:pic>
      <xdr:nvPicPr>
        <xdr:cNvPr id="6" name="图片 5"/>
        <xdr:cNvPicPr>
          <a:picLocks noChangeAspect="1"/>
        </xdr:cNvPicPr>
      </xdr:nvPicPr>
      <xdr:blipFill>
        <a:blip xmlns:r="http://schemas.openxmlformats.org/officeDocument/2006/relationships" r:embed="rId5"/>
        <a:stretch>
          <a:fillRect/>
        </a:stretch>
      </xdr:blipFill>
      <xdr:spPr>
        <a:xfrm>
          <a:off x="9801225" y="25260300"/>
          <a:ext cx="6209524"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2</xdr:row>
      <xdr:rowOff>104776</xdr:rowOff>
    </xdr:from>
    <xdr:to>
      <xdr:col>16</xdr:col>
      <xdr:colOff>522885</xdr:colOff>
      <xdr:row>31</xdr:row>
      <xdr:rowOff>8844</xdr:rowOff>
    </xdr:to>
    <xdr:pic>
      <xdr:nvPicPr>
        <xdr:cNvPr id="2" name="图片 1"/>
        <xdr:cNvPicPr>
          <a:picLocks noChangeAspect="1"/>
        </xdr:cNvPicPr>
      </xdr:nvPicPr>
      <xdr:blipFill rotWithShape="1">
        <a:blip xmlns:r="http://schemas.openxmlformats.org/officeDocument/2006/relationships" r:embed="rId1"/>
        <a:srcRect l="9617" t="10647"/>
        <a:stretch/>
      </xdr:blipFill>
      <xdr:spPr>
        <a:xfrm>
          <a:off x="5105400" y="447676"/>
          <a:ext cx="7161810" cy="4876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廊坊市永清县别古庄镇小荆垡村西北出让国有建设用地使用权抵押价格预评估</v>
      </c>
      <c r="AX2" s="2848"/>
      <c r="AZ2" s="2848"/>
      <c r="BA2" s="2849"/>
      <c r="BC2" s="2849"/>
    </row>
    <row r="3" spans="1:55" s="2850" customFormat="1">
      <c r="A3" s="2829" t="s">
        <v>2657</v>
      </c>
      <c r="B3" s="2832" t="str">
        <f>'预评函-封皮'!B40</f>
        <v>廊坊国瑞房地产开发有限公司</v>
      </c>
    </row>
    <row r="4" spans="1:55" s="2831" customFormat="1">
      <c r="A4" s="2829" t="s">
        <v>2658</v>
      </c>
      <c r="B4" s="2830" t="str">
        <f>'预评函-封皮'!B46</f>
        <v>吴薇、郑燚</v>
      </c>
      <c r="N4" s="2831" t="str">
        <f>'预评函-1'!A28</f>
        <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受贵公司委托，我公司对廊坊市永清县别古庄镇小荆垡村西北出让国有建设用地使用权抵押价格进行了预评估。</v>
      </c>
      <c r="AM6" s="2854"/>
    </row>
    <row r="7" spans="1:55" s="2828" customFormat="1">
      <c r="A7" s="2829" t="s">
        <v>2653</v>
      </c>
      <c r="B7" s="2830" t="str">
        <f>'预评函-1'!A6</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2655</v>
      </c>
      <c r="B10" s="2830" t="str">
        <f>'预评函-1'!A11</f>
        <v>2019年10月25日</v>
      </c>
    </row>
    <row r="11" spans="1:55" s="2828" customFormat="1">
      <c r="A11" s="2829" t="s">
        <v>2661</v>
      </c>
      <c r="B11" s="2830" t="str">
        <f>'预评函-1'!A14</f>
        <v>根据《国有土地使用证》[永国用（2011）第018号]等8套，本次评估估价对象证载（地类）用途为城镇住宅用地。</v>
      </c>
    </row>
    <row r="12" spans="1:55" s="2828" customFormat="1">
      <c r="A12" s="2829" t="s">
        <v>2662</v>
      </c>
      <c r="B12" s="2830" t="str">
        <f>'预评函-1'!A15</f>
        <v>本次评估设定用途即为证载用途住宅。</v>
      </c>
    </row>
    <row r="13" spans="1:55" s="2828" customFormat="1">
      <c r="A13" s="2829" t="s">
        <v>2663</v>
      </c>
      <c r="B13" s="2830" t="str">
        <f>'预评函-1'!A17</f>
        <v>根据委托估价方介绍及评估专业人员现场勘查，本次评估估价对象实际土地开发程度为红线外市政基础设施达“七通”（即通路、通电、通讯、、、、）、宗地红线内场地平整。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根据《国有土地使用证》[]，估价对象（分摊）出让国有建设用地使用权面积为350568.67平方米。根据《建设工程规划许可证》[]、《出让合同》[]，估价对象规划建筑面积为790993.2平方米。</v>
      </c>
    </row>
    <row r="16" spans="1:55" s="2828" customFormat="1">
      <c r="A16" s="2829" t="s">
        <v>2665</v>
      </c>
      <c r="B16" s="2830" t="str">
        <f>'预评函-1'!A22</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17" spans="1:48" s="2828" customFormat="1">
      <c r="A17" s="2829" t="s">
        <v>2666</v>
      </c>
      <c r="B17" s="2830" t="str">
        <f>'预评函-1'!A23</f>
        <v>本次评估设定估价对象剩余土地使用年限为住宅61.54年、地下车库41.53年。</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估价期日：2019年10月25日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t="str">
        <f>'预评函-2'!E5</f>
        <v>城镇住宅用地</v>
      </c>
      <c r="AV32" s="2834"/>
    </row>
    <row r="33" spans="1:2">
      <c r="A33" s="2829" t="s">
        <v>2709</v>
      </c>
      <c r="B33" s="2830">
        <f>'预评函-2'!F5</f>
        <v>258</v>
      </c>
    </row>
    <row r="34" spans="1:2">
      <c r="A34" s="2829" t="s">
        <v>2710</v>
      </c>
      <c r="B34" s="2830" t="str">
        <f>'预评函-2'!G5</f>
        <v>住宅</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t="str">
        <f>'预评函-2'!M5</f>
        <v>住宅61.54年、地下车库41.53年</v>
      </c>
    </row>
    <row r="42" spans="1:2">
      <c r="A42" s="2829" t="s">
        <v>2735</v>
      </c>
      <c r="B42" s="2830" t="str">
        <f>'预评函-2'!N3</f>
        <v>（分摊）出让国有建设用地使用权面积/㎡</v>
      </c>
    </row>
    <row r="43" spans="1:2">
      <c r="A43" s="2829" t="s">
        <v>2717</v>
      </c>
      <c r="B43" s="2830">
        <f>'预评函-2'!N5</f>
        <v>350568.67</v>
      </c>
    </row>
    <row r="44" spans="1:2">
      <c r="A44" s="2829" t="s">
        <v>2736</v>
      </c>
      <c r="B44" s="2830" t="str">
        <f>'预评函-2'!O3</f>
        <v>规划建筑面积/㎡</v>
      </c>
    </row>
    <row r="45" spans="1:2">
      <c r="A45" s="2829" t="s">
        <v>2718</v>
      </c>
      <c r="B45" s="2830">
        <f>'预评函-2'!O5</f>
        <v>790993.2</v>
      </c>
    </row>
    <row r="46" spans="1:2">
      <c r="A46" s="2829" t="s">
        <v>2719</v>
      </c>
      <c r="B46" s="2830">
        <f ca="1">'预评函-2'!P5</f>
        <v>5986</v>
      </c>
    </row>
    <row r="47" spans="1:2">
      <c r="A47" s="2829" t="s">
        <v>2720</v>
      </c>
      <c r="B47" s="2830">
        <f ca="1">'预评函-2'!Q5</f>
        <v>2653</v>
      </c>
    </row>
    <row r="48" spans="1:2">
      <c r="A48" s="2829" t="s">
        <v>2721</v>
      </c>
      <c r="B48" s="2830">
        <f ca="1">'预评函-2'!R5</f>
        <v>209867</v>
      </c>
    </row>
    <row r="49" spans="1:2">
      <c r="A49" s="2829" t="s">
        <v>2737</v>
      </c>
      <c r="B49" s="2830" t="str">
        <f>'预评函-2'!A6</f>
        <v>抵押价格</v>
      </c>
    </row>
    <row r="50" spans="1:2">
      <c r="A50" s="2829" t="s">
        <v>2722</v>
      </c>
      <c r="B50" s="2830">
        <f ca="1">'预评函-2'!R6</f>
        <v>209867</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2.基础设施条件：估价对象实际开发程度为红线外七通、宗地红线内场地平整；本次评估设定开发程度为红线外七通、宗地红线内场地平整。</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（1）根据估价对象————、《国有土地使用权》复印件，截至估价期日，估价对象抵押权未见登记。</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吴薇</v>
      </c>
    </row>
    <row r="70" spans="1:2">
      <c r="A70" s="2829" t="s">
        <v>2686</v>
      </c>
      <c r="B70" s="2836">
        <f ca="1">'预评函-3'!B20</f>
        <v>2002110125</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422" t="str">
        <f>IF(B10="北京市","北京市",C10)&amp;F10&amp;B16&amp;"国有建设用地使用权"&amp;B9&amp;"预评估"</f>
        <v>廊坊市永清县别古庄镇小荆垡村西北出让国有建设用地使用权抵押价格预评估</v>
      </c>
      <c r="C1" s="3423"/>
      <c r="D1" s="3423"/>
      <c r="E1" s="3423"/>
      <c r="F1" s="3423"/>
      <c r="G1" s="3423"/>
      <c r="H1" s="3423"/>
      <c r="I1" s="3424"/>
      <c r="J1" s="1674"/>
      <c r="K1" s="2415" t="str">
        <f>IF(B10="北京市","北京市",C10)&amp;F10&amp;B16&amp;"国有建设用地使用权"&amp;B9</f>
        <v>廊坊市永清县别古庄镇小荆垡村西北出让国有建设用地使用权抵押价格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廊坊市永清县别古庄镇小荆垡村西北出让国有建设用地使用权</v>
      </c>
      <c r="L2" s="1703"/>
      <c r="M2" s="1703"/>
      <c r="N2" s="1674"/>
      <c r="O2" s="1675"/>
      <c r="P2" s="1674"/>
      <c r="Q2" s="1674"/>
      <c r="R2" s="1674"/>
      <c r="S2" s="1674"/>
      <c r="T2" s="1674"/>
      <c r="U2" s="1674"/>
    </row>
    <row r="3" spans="1:21">
      <c r="A3" s="1641" t="s">
        <v>1939</v>
      </c>
      <c r="B3" s="1642">
        <v>43644</v>
      </c>
      <c r="C3" s="1643" t="s">
        <v>1994</v>
      </c>
      <c r="D3" s="1642">
        <v>43763</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3368</v>
      </c>
      <c r="C4" s="1826">
        <f ca="1">SUMIF(土地估价师,B4,估价师及机构信息!E3:E24)</f>
        <v>2002110125</v>
      </c>
      <c r="D4" s="1823" t="s">
        <v>3369</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吴薇、郑燚</v>
      </c>
      <c r="L4" s="1703"/>
      <c r="M4" s="1703"/>
      <c r="N4" s="1674"/>
      <c r="O4" s="1675"/>
      <c r="P4" s="1674"/>
      <c r="Q4" s="1674"/>
      <c r="R4" s="1674"/>
      <c r="S4" s="1674"/>
      <c r="T4" s="1674"/>
      <c r="U4" s="1674"/>
    </row>
    <row r="5" spans="1:21" ht="15" thickTop="1">
      <c r="A5" s="1645" t="s">
        <v>1941</v>
      </c>
      <c r="B5" s="1769" t="s">
        <v>3370</v>
      </c>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t="s">
        <v>3371</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2703</v>
      </c>
      <c r="B7" s="1769" t="s">
        <v>3370</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2988</v>
      </c>
      <c r="C8" s="1651"/>
      <c r="D8" s="3428" t="s">
        <v>1944</v>
      </c>
      <c r="E8" s="1824" t="s">
        <v>2989</v>
      </c>
      <c r="F8" s="1652"/>
      <c r="G8" s="1640"/>
      <c r="H8" s="1640"/>
      <c r="I8" s="1687"/>
      <c r="J8" s="1674"/>
      <c r="K8" s="1754"/>
      <c r="L8" s="1703"/>
      <c r="M8" s="1703"/>
      <c r="N8" s="1674"/>
      <c r="O8" s="1675"/>
      <c r="P8" s="1674"/>
      <c r="Q8" s="1674"/>
      <c r="R8" s="1674"/>
      <c r="S8" s="1674"/>
      <c r="T8" s="1674"/>
      <c r="U8" s="1674"/>
    </row>
    <row r="9" spans="1:21" ht="15" thickBot="1">
      <c r="A9" s="1653" t="s">
        <v>1943</v>
      </c>
      <c r="B9" s="1654" t="s">
        <v>2989</v>
      </c>
      <c r="C9" s="1655"/>
      <c r="D9" s="3429"/>
      <c r="E9" s="1654" t="s">
        <v>952</v>
      </c>
      <c r="F9" s="1727"/>
      <c r="G9" s="1722"/>
      <c r="H9" s="1722"/>
      <c r="I9" s="1723"/>
      <c r="J9" s="1674"/>
      <c r="K9" s="1754"/>
      <c r="L9" s="1703"/>
      <c r="M9" s="1703"/>
      <c r="N9" s="1674"/>
      <c r="O9" s="1675"/>
      <c r="P9" s="1674"/>
      <c r="Q9" s="1674"/>
      <c r="R9" s="1674"/>
      <c r="S9" s="1674"/>
      <c r="T9" s="1674"/>
      <c r="U9" s="1674"/>
    </row>
    <row r="10" spans="1:21" ht="15" thickTop="1">
      <c r="A10" s="1724" t="s">
        <v>1997</v>
      </c>
      <c r="B10" s="1699" t="s">
        <v>2990</v>
      </c>
      <c r="C10" s="1656" t="s">
        <v>2992</v>
      </c>
      <c r="D10" s="1647"/>
      <c r="E10" s="1657" t="s">
        <v>1946</v>
      </c>
      <c r="F10" s="1658" t="s">
        <v>2993</v>
      </c>
      <c r="G10" s="1725"/>
      <c r="H10" s="1726"/>
      <c r="I10" s="1647"/>
      <c r="J10" s="1674"/>
      <c r="K10" s="1754"/>
      <c r="L10" s="1703"/>
      <c r="M10" s="1703"/>
      <c r="N10" s="1674"/>
      <c r="O10" s="1675"/>
      <c r="P10" s="1674"/>
      <c r="Q10" s="1674"/>
      <c r="R10" s="1674"/>
      <c r="S10" s="1674"/>
      <c r="T10" s="1674"/>
      <c r="U10" s="1674"/>
    </row>
    <row r="11" spans="1:21">
      <c r="A11" s="1677" t="s">
        <v>1998</v>
      </c>
      <c r="B11" s="1678" t="s">
        <v>3137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425" t="s">
        <v>3372</v>
      </c>
      <c r="C12" s="3426"/>
      <c r="D12" s="3427"/>
      <c r="E12" s="1679" t="s">
        <v>2059</v>
      </c>
      <c r="F12" s="3443" t="s">
        <v>3374</v>
      </c>
      <c r="G12" s="3444"/>
      <c r="H12" s="3444"/>
      <c r="I12" s="3445"/>
      <c r="J12" s="1674"/>
      <c r="K12" s="1754"/>
      <c r="L12" s="1703"/>
      <c r="M12" s="1703"/>
      <c r="N12" s="1674"/>
      <c r="O12" s="1675"/>
      <c r="P12" s="1674"/>
      <c r="Q12" s="1674"/>
      <c r="R12" s="1674"/>
      <c r="S12" s="1674"/>
      <c r="T12" s="1674"/>
      <c r="U12" s="1674"/>
    </row>
    <row r="13" spans="1:21">
      <c r="A13" s="1667" t="s">
        <v>2057</v>
      </c>
      <c r="B13" s="3425" t="s">
        <v>3373</v>
      </c>
      <c r="C13" s="3426"/>
      <c r="D13" s="3427"/>
      <c r="E13" s="1679" t="s">
        <v>2059</v>
      </c>
      <c r="F13" s="3443" t="s">
        <v>2885</v>
      </c>
      <c r="G13" s="3444"/>
      <c r="H13" s="3444"/>
      <c r="I13" s="3445"/>
      <c r="J13" s="1674"/>
      <c r="K13" s="1754"/>
      <c r="L13" s="1703"/>
      <c r="M13" s="1703"/>
      <c r="N13" s="1674"/>
      <c r="O13" s="1675"/>
      <c r="P13" s="1674"/>
      <c r="Q13" s="1674"/>
      <c r="R13" s="1674"/>
      <c r="S13" s="1674"/>
      <c r="T13" s="1674"/>
      <c r="U13" s="1674"/>
    </row>
    <row r="14" spans="1:21">
      <c r="A14" s="1641" t="s">
        <v>2060</v>
      </c>
      <c r="B14" s="1679"/>
      <c r="C14" s="1825" t="s">
        <v>3375</v>
      </c>
      <c r="D14" s="1713" t="str">
        <f>IF(C14="不一致","是否符合证载地类范围","")</f>
        <v/>
      </c>
      <c r="E14" s="1679"/>
      <c r="F14" s="1770" t="s">
        <v>3376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2983</v>
      </c>
      <c r="C16" s="1679" t="s">
        <v>1948</v>
      </c>
      <c r="D16" s="2606" t="s">
        <v>1949</v>
      </c>
      <c r="E16" s="1702"/>
      <c r="F16" s="1702"/>
      <c r="G16" s="1702" t="s">
        <v>35</v>
      </c>
      <c r="H16" s="1702"/>
      <c r="I16" s="1666" t="s">
        <v>1954</v>
      </c>
      <c r="J16" s="1674"/>
      <c r="K16" s="2416" t="str">
        <f>IF(D17="","",D16&amp;TEXT(D17,"yyyy年m月d日;;"))</f>
        <v>住宅2080年12月29日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地下车库2060年12月29日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66109</v>
      </c>
      <c r="E17" s="1680"/>
      <c r="F17" s="1680"/>
      <c r="G17" s="1680">
        <v>58804</v>
      </c>
      <c r="H17" s="1680"/>
      <c r="I17" s="1680"/>
      <c r="J17" s="1674"/>
      <c r="K17" s="2415" t="str">
        <f>CONCATENATE(K16,L16,M16,N16,O16,P16,Q16,R16,S16,T16,,U16)</f>
        <v>住宅2080年12月29日地下车库2060年12月29日</v>
      </c>
      <c r="L17" s="1703"/>
      <c r="M17" s="1703"/>
      <c r="N17" s="1674"/>
      <c r="O17" s="1675"/>
      <c r="P17" s="1674"/>
      <c r="Q17" s="1674"/>
      <c r="R17" s="1674"/>
      <c r="S17" s="1674"/>
      <c r="T17" s="1674"/>
      <c r="U17" s="1674"/>
    </row>
    <row r="18" spans="1:21">
      <c r="A18" s="1743"/>
      <c r="B18" s="1662"/>
      <c r="C18" s="1663" t="s">
        <v>1956</v>
      </c>
      <c r="D18" s="1664">
        <v>70</v>
      </c>
      <c r="E18" s="1664"/>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61.22</v>
      </c>
      <c r="E19" s="1665" t="str">
        <f>IF(B16="出让",IF(E17="","",ROUNDDOWN(MIN((E17-$D$3)/365,E18),2)),E18)</f>
        <v/>
      </c>
      <c r="F19" s="1665" t="str">
        <f>IF(B16="出让",IF(F17="","",ROUNDDOWN(MIN((F17-$D$3)/365,F18),2)),F18)</f>
        <v/>
      </c>
      <c r="G19" s="1665">
        <f>IF(B16="出让",IF(G17="","",ROUNDDOWN(MIN((G17-$D$3)/365,G18),2)),G18)</f>
        <v>41.2</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440" t="s">
        <v>3679</v>
      </c>
      <c r="E20" s="3441"/>
      <c r="F20" s="3441"/>
      <c r="G20" s="3441"/>
      <c r="H20" s="3441"/>
      <c r="I20" s="3442"/>
      <c r="J20" s="1674"/>
      <c r="K20" s="1754"/>
      <c r="L20" s="1703"/>
      <c r="M20" s="1703"/>
      <c r="N20" s="1674"/>
      <c r="O20" s="1675"/>
      <c r="P20" s="1674"/>
      <c r="Q20" s="1674"/>
      <c r="R20" s="1674"/>
      <c r="S20" s="1674"/>
      <c r="T20" s="1674"/>
      <c r="U20" s="1674"/>
    </row>
    <row r="21" spans="1:21">
      <c r="A21" s="1743" t="s">
        <v>1958</v>
      </c>
      <c r="B21" s="1744" t="s">
        <v>1959</v>
      </c>
      <c r="C21" s="1739">
        <f>'数据-汇总表'!E3</f>
        <v>790993.2</v>
      </c>
      <c r="D21" s="1740" t="s">
        <v>1960</v>
      </c>
      <c r="E21" s="3430" t="s">
        <v>3377</v>
      </c>
      <c r="F21" s="3431"/>
      <c r="G21" s="3431"/>
      <c r="H21" s="3431"/>
      <c r="I21" s="3432"/>
      <c r="J21" s="1674"/>
      <c r="K21" s="1754"/>
      <c r="L21" s="1703"/>
      <c r="M21" s="1703"/>
      <c r="N21" s="1674"/>
      <c r="O21" s="1675"/>
      <c r="P21" s="1674"/>
      <c r="Q21" s="1674"/>
      <c r="R21" s="1674"/>
      <c r="S21" s="1674"/>
      <c r="T21" s="1674"/>
      <c r="U21" s="1674"/>
    </row>
    <row r="22" spans="1:21">
      <c r="A22" s="3091" t="s">
        <v>952</v>
      </c>
      <c r="B22" s="1641" t="s">
        <v>1961</v>
      </c>
      <c r="C22" s="1666">
        <f>'数据-汇总表'!D3</f>
        <v>350568.67</v>
      </c>
      <c r="D22" s="1667" t="s">
        <v>1960</v>
      </c>
      <c r="E22" s="3430" t="s">
        <v>2886</v>
      </c>
      <c r="F22" s="3431"/>
      <c r="G22" s="3431"/>
      <c r="H22" s="3431"/>
      <c r="I22" s="3432"/>
      <c r="J22" s="1674"/>
      <c r="K22" s="1754"/>
      <c r="L22" s="1703"/>
      <c r="M22" s="1703"/>
      <c r="N22" s="1674"/>
      <c r="O22" s="1675"/>
      <c r="P22" s="1674"/>
      <c r="Q22" s="1674"/>
      <c r="R22" s="1674"/>
      <c r="S22" s="1674"/>
      <c r="T22" s="1674"/>
      <c r="U22" s="1674"/>
    </row>
    <row r="23" spans="1:21" ht="43.5" thickBot="1">
      <c r="A23" s="1745" t="s">
        <v>1962</v>
      </c>
      <c r="B23" s="1681" t="s">
        <v>1963</v>
      </c>
      <c r="C23" s="1682" t="s">
        <v>3136</v>
      </c>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433" t="s">
        <v>1966</v>
      </c>
      <c r="C24" s="3434"/>
      <c r="D24" s="3435" t="s">
        <v>1967</v>
      </c>
      <c r="E24" s="3436"/>
      <c r="F24" s="1688" t="s">
        <v>1968</v>
      </c>
      <c r="G24" s="1674"/>
      <c r="H24" s="1674"/>
      <c r="I24" s="1687"/>
      <c r="J24" s="1674"/>
      <c r="K24" s="3421" t="s">
        <v>1969</v>
      </c>
      <c r="L24" s="2417"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3"/>
      <c r="N24" s="1674"/>
      <c r="O24" s="1675"/>
      <c r="P24" s="1674"/>
      <c r="Q24" s="1674"/>
      <c r="R24" s="1674"/>
      <c r="S24" s="1674"/>
      <c r="T24" s="1674"/>
      <c r="U24" s="1674"/>
    </row>
    <row r="25" spans="1:21">
      <c r="A25" s="1731"/>
      <c r="B25" s="1728" t="s">
        <v>952</v>
      </c>
      <c r="C25" s="1689" t="s">
        <v>952</v>
      </c>
      <c r="D25" s="1690"/>
      <c r="E25" s="1691" t="s">
        <v>952</v>
      </c>
      <c r="F25" s="1692"/>
      <c r="G25" s="1674"/>
      <c r="H25" s="1674"/>
      <c r="I25" s="1687"/>
      <c r="J25" s="1674"/>
      <c r="K25" s="342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1970</v>
      </c>
      <c r="C26" s="1689" t="s">
        <v>2323</v>
      </c>
      <c r="D26" s="1640"/>
      <c r="E26" s="1640"/>
      <c r="F26" s="1668"/>
      <c r="G26" s="1674"/>
      <c r="H26" s="1674"/>
      <c r="I26" s="1687"/>
      <c r="J26" s="1674"/>
      <c r="K26" s="342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448" t="s">
        <v>1999</v>
      </c>
      <c r="B31" s="1744" t="s">
        <v>2000</v>
      </c>
      <c r="C31" s="3446" t="s">
        <v>3378</v>
      </c>
      <c r="D31" s="3447"/>
      <c r="E31" s="1674"/>
      <c r="F31" s="1674"/>
      <c r="G31" s="1674"/>
      <c r="H31" s="1674"/>
      <c r="I31" s="1687"/>
      <c r="J31" s="1674"/>
      <c r="K31" s="2418"/>
      <c r="L31" s="1674"/>
      <c r="M31" s="1674"/>
      <c r="N31" s="1674"/>
      <c r="O31" s="1674"/>
      <c r="P31" s="1674"/>
      <c r="Q31" s="1674"/>
      <c r="R31" s="1674"/>
      <c r="S31" s="1674"/>
      <c r="T31" s="1674"/>
      <c r="U31" s="1674"/>
    </row>
    <row r="32" spans="1:21">
      <c r="A32" s="3448"/>
      <c r="B32" s="1641" t="s">
        <v>2001</v>
      </c>
      <c r="C32" s="1699" t="s">
        <v>3379</v>
      </c>
      <c r="D32" s="1700"/>
      <c r="E32" s="1674"/>
      <c r="F32" s="1674"/>
      <c r="G32" s="1674"/>
      <c r="H32" s="1674"/>
      <c r="I32" s="1687"/>
      <c r="J32" s="1674"/>
      <c r="K32" s="2418"/>
      <c r="L32" s="1674"/>
      <c r="M32" s="1674"/>
      <c r="N32" s="1674"/>
      <c r="O32" s="1674"/>
      <c r="P32" s="1674"/>
      <c r="Q32" s="1674"/>
      <c r="R32" s="1674"/>
      <c r="S32" s="1674"/>
      <c r="T32" s="1674"/>
      <c r="U32" s="1674"/>
    </row>
    <row r="33" spans="1:21">
      <c r="A33" s="3448"/>
      <c r="B33" s="1641" t="s">
        <v>2002</v>
      </c>
      <c r="C33" s="1701" t="s">
        <v>3136</v>
      </c>
      <c r="D33" s="1818"/>
      <c r="E33" s="1674"/>
      <c r="F33" s="1674"/>
      <c r="G33" s="1674"/>
      <c r="H33" s="1674"/>
      <c r="I33" s="1687"/>
      <c r="J33" s="1674"/>
      <c r="K33" s="2418"/>
      <c r="L33" s="1674"/>
      <c r="M33" s="1674"/>
      <c r="N33" s="1674"/>
      <c r="O33" s="1674"/>
      <c r="P33" s="1674"/>
      <c r="Q33" s="1674"/>
      <c r="R33" s="1674"/>
      <c r="S33" s="1674"/>
      <c r="T33" s="1674"/>
      <c r="U33" s="1674"/>
    </row>
    <row r="34" spans="1:21">
      <c r="A34" s="3449"/>
      <c r="B34" s="1641" t="s">
        <v>2003</v>
      </c>
      <c r="C34" s="3450"/>
      <c r="D34" s="3451"/>
      <c r="E34" s="1674"/>
      <c r="F34" s="1674"/>
      <c r="G34" s="1674"/>
      <c r="H34" s="1674"/>
      <c r="I34" s="1687"/>
      <c r="J34" s="1674"/>
      <c r="K34" s="2418"/>
      <c r="L34" s="1674"/>
      <c r="M34" s="1674"/>
      <c r="N34" s="1674"/>
      <c r="O34" s="1674"/>
      <c r="P34" s="1674"/>
      <c r="Q34" s="1674"/>
      <c r="R34" s="1674"/>
      <c r="S34" s="1674"/>
      <c r="T34" s="1674"/>
      <c r="U34" s="1674"/>
    </row>
    <row r="35" spans="1:21">
      <c r="A35" s="3452" t="s">
        <v>847</v>
      </c>
      <c r="B35" s="1702" t="s">
        <v>3380</v>
      </c>
      <c r="C35" s="1756" t="str">
        <f>IF(B35="场地平整","——","具体情况：")</f>
        <v>——</v>
      </c>
      <c r="D35" s="3454"/>
      <c r="E35" s="3455"/>
      <c r="F35" s="3455"/>
      <c r="G35" s="3455"/>
      <c r="H35" s="3455"/>
      <c r="I35" s="3456"/>
      <c r="J35" s="1674"/>
      <c r="K35" s="1755"/>
      <c r="L35" s="1703"/>
      <c r="M35" s="1703"/>
      <c r="N35" s="1674"/>
      <c r="O35" s="1675"/>
      <c r="P35" s="1674"/>
      <c r="Q35" s="1674"/>
      <c r="R35" s="1674"/>
      <c r="S35" s="1674"/>
      <c r="T35" s="1674"/>
      <c r="U35" s="1674"/>
    </row>
    <row r="36" spans="1:21">
      <c r="A36" s="3448"/>
      <c r="B36" s="3457" t="s">
        <v>2052</v>
      </c>
      <c r="C36" s="3458"/>
      <c r="D36" s="1772" t="s">
        <v>3381</v>
      </c>
      <c r="E36" s="3459"/>
      <c r="F36" s="3459"/>
      <c r="G36" s="1667" t="str">
        <f>IF(B35="场地未平整","估价结果处理","")</f>
        <v/>
      </c>
      <c r="H36" s="3460"/>
      <c r="I36" s="3460"/>
      <c r="J36" s="1674"/>
      <c r="K36" s="1755"/>
      <c r="L36" s="1703"/>
      <c r="M36" s="1703"/>
      <c r="N36" s="1674"/>
      <c r="O36" s="1675"/>
      <c r="P36" s="1674"/>
      <c r="Q36" s="1674"/>
      <c r="R36" s="1674"/>
      <c r="S36" s="1674"/>
      <c r="T36" s="1674"/>
      <c r="U36" s="1674"/>
    </row>
    <row r="37" spans="1:21" ht="28.5">
      <c r="A37" s="3448"/>
      <c r="B37" s="343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448"/>
      <c r="B38" s="3438"/>
      <c r="C38" s="1649" t="s">
        <v>850</v>
      </c>
      <c r="D38" s="1771">
        <f>ROUNDDOWN(MIN(('数据-取费表'!$B$2-D37)/365,D34),1)</f>
        <v>119.8</v>
      </c>
      <c r="E38" s="1707" t="s">
        <v>851</v>
      </c>
      <c r="F38" s="1674"/>
      <c r="G38" s="1674"/>
      <c r="H38" s="1674"/>
      <c r="I38" s="1687"/>
      <c r="J38" s="1674"/>
      <c r="K38" s="1755"/>
      <c r="L38" s="1674"/>
      <c r="M38" s="1674"/>
      <c r="N38" s="1674"/>
      <c r="O38" s="1674"/>
      <c r="P38" s="1674"/>
      <c r="Q38" s="1674"/>
      <c r="R38" s="1674"/>
      <c r="S38" s="1674"/>
      <c r="T38" s="1674"/>
      <c r="U38" s="1674"/>
    </row>
    <row r="39" spans="1:21">
      <c r="A39" s="3449"/>
      <c r="B39" s="343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3382</v>
      </c>
      <c r="C40" s="1670" t="s">
        <v>3383</v>
      </c>
      <c r="D40" s="1670" t="s">
        <v>3384</v>
      </c>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420" t="s">
        <v>1984</v>
      </c>
      <c r="T40" s="1711" t="str">
        <f>NUMBERSTRING(7-K40,1)&amp;"通"</f>
        <v>七通</v>
      </c>
      <c r="U40" s="1674"/>
    </row>
    <row r="41" spans="1:21">
      <c r="A41" s="1643"/>
      <c r="B41" s="3453" t="s">
        <v>1721</v>
      </c>
      <c r="C41" s="3453"/>
      <c r="D41" s="3453"/>
      <c r="E41" s="3453"/>
      <c r="F41" s="1712" t="str">
        <f>C10</f>
        <v>廊坊市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v>
      </c>
      <c r="P41" s="1714" t="str">
        <f>B40&amp;"、"&amp;C40&amp;"、"&amp;D40&amp;"、"&amp;E40&amp;"、"&amp;F40</f>
        <v>通路、通电、通讯、、</v>
      </c>
      <c r="Q41" s="1714" t="str">
        <f>B40&amp;"、"&amp;C40&amp;"、"&amp;D40&amp;"、"&amp;E40&amp;"、"&amp;F40&amp;"、"&amp;G40</f>
        <v>通路、通电、通讯、、、</v>
      </c>
      <c r="R41" s="1714" t="str">
        <f>B40&amp;"、"&amp;C40&amp;"、"&amp;D40&amp;"、"&amp;E40&amp;"、"&amp;F40&amp;"、"&amp;G40&amp;"、"&amp;H40</f>
        <v>通路、通电、通讯、、、、</v>
      </c>
      <c r="S41" s="3420"/>
      <c r="T41" s="1713" t="str">
        <f>IF(T40="一通",L41,IF(T40="二通",M41,IF(T40="三通",N41,IF(T40="四通",O41,IF(T40="五通",P41,IF(T40="六通",Q41,R41))))))</f>
        <v>通路、通电、通讯、、、、</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2887</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 sqref="O1:AB1048576"/>
    </sheetView>
  </sheetViews>
  <sheetFormatPr defaultColWidth="8.875" defaultRowHeight="14.25"/>
  <cols>
    <col min="1" max="1" width="10.625" style="15" customWidth="1"/>
    <col min="2" max="2" width="11" style="15" customWidth="1"/>
    <col min="3" max="3" width="12.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面积!C10</f>
        <v>350568.67</v>
      </c>
      <c r="B3" s="22">
        <f>IF(C3="否",G5-AT5,G5)</f>
        <v>790993.2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790993.2</v>
      </c>
      <c r="H5" s="27">
        <f t="shared" ref="H5:AT5" si="0">SUM(H13:H641)</f>
        <v>639112.63</v>
      </c>
      <c r="I5" s="27">
        <f t="shared" si="0"/>
        <v>248001.75000000003</v>
      </c>
      <c r="J5" s="27">
        <f t="shared" si="0"/>
        <v>0</v>
      </c>
      <c r="K5" s="27">
        <f t="shared" si="0"/>
        <v>234671.93</v>
      </c>
      <c r="L5" s="27">
        <f t="shared" si="0"/>
        <v>0</v>
      </c>
      <c r="M5" s="27">
        <f t="shared" si="0"/>
        <v>156438.94999999998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151880.56999999995</v>
      </c>
      <c r="AD5" s="27">
        <f t="shared" si="0"/>
        <v>8119.5199999999995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143761.04999999996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790993.2</v>
      </c>
      <c r="BA5" s="29">
        <f t="shared" si="1"/>
        <v>639112.63</v>
      </c>
      <c r="BB5" s="29">
        <f t="shared" si="1"/>
        <v>248001.75000000003</v>
      </c>
      <c r="BC5" s="29">
        <f t="shared" si="1"/>
        <v>234671.93</v>
      </c>
      <c r="BD5" s="29">
        <f t="shared" si="1"/>
        <v>156438.94999999998</v>
      </c>
      <c r="BE5" s="29">
        <f t="shared" si="1"/>
        <v>0</v>
      </c>
      <c r="BF5" s="29">
        <f t="shared" si="1"/>
        <v>0</v>
      </c>
      <c r="BG5" s="29">
        <f t="shared" si="1"/>
        <v>0</v>
      </c>
      <c r="BH5" s="29">
        <f t="shared" si="1"/>
        <v>0</v>
      </c>
      <c r="BI5" s="29">
        <f t="shared" si="1"/>
        <v>0</v>
      </c>
      <c r="BJ5" s="29">
        <f t="shared" si="1"/>
        <v>0</v>
      </c>
      <c r="BK5" s="29">
        <f t="shared" si="1"/>
        <v>0</v>
      </c>
      <c r="BL5" s="29">
        <f t="shared" si="1"/>
        <v>151880.56999999995</v>
      </c>
      <c r="BM5" s="29">
        <f t="shared" si="1"/>
        <v>8119.5199999999995</v>
      </c>
      <c r="BN5" s="29">
        <f t="shared" si="1"/>
        <v>0</v>
      </c>
      <c r="BO5" s="29">
        <f t="shared" si="1"/>
        <v>0</v>
      </c>
      <c r="BP5" s="29">
        <f t="shared" si="1"/>
        <v>0</v>
      </c>
      <c r="BQ5" s="29">
        <f t="shared" si="1"/>
        <v>0</v>
      </c>
      <c r="BR5" s="29">
        <f t="shared" si="1"/>
        <v>143761.04999999996</v>
      </c>
      <c r="BS5" s="29">
        <f t="shared" si="1"/>
        <v>0</v>
      </c>
      <c r="BT5" s="30">
        <f t="shared" si="1"/>
        <v>0</v>
      </c>
    </row>
    <row r="6" spans="1:72" s="37" customFormat="1" ht="12.75">
      <c r="A6" s="26" t="s">
        <v>169</v>
      </c>
      <c r="B6" s="31"/>
      <c r="C6" s="31"/>
      <c r="D6" s="32"/>
      <c r="E6" s="27">
        <f>H6+AC6+AT6</f>
        <v>350568.68</v>
      </c>
      <c r="F6" s="27" t="s">
        <v>1</v>
      </c>
      <c r="G6" s="27" t="s">
        <v>2</v>
      </c>
      <c r="H6" s="33">
        <f>SUMIF(I$12:AB$12,"总值",I6:AB6)</f>
        <v>283255.11</v>
      </c>
      <c r="I6" s="27">
        <f t="shared" ref="I6:AB6" si="2">ROUND($A$3*I5/$B$3,2)</f>
        <v>109914.53</v>
      </c>
      <c r="J6" s="27">
        <f t="shared" si="2"/>
        <v>0</v>
      </c>
      <c r="K6" s="27">
        <f t="shared" si="2"/>
        <v>104006.74</v>
      </c>
      <c r="L6" s="27">
        <f t="shared" si="2"/>
        <v>0</v>
      </c>
      <c r="M6" s="27">
        <f t="shared" si="2"/>
        <v>69333.84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67313.569999999992</v>
      </c>
      <c r="AD6" s="27">
        <f t="shared" ref="AD6:AS6" si="3">ROUND($A$3*AD5/$B$3,2)</f>
        <v>3598.58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63714.99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350568.67</v>
      </c>
      <c r="AZ6" s="27" t="s">
        <v>3</v>
      </c>
      <c r="BA6" s="27">
        <f>ROUND($AY$6*BA5/$AZ$5,2)</f>
        <v>283255.11</v>
      </c>
      <c r="BB6" s="27">
        <f>ROUND($AY$6*BB5/$AZ$5,2)</f>
        <v>109914.53</v>
      </c>
      <c r="BC6" s="27">
        <f t="shared" ref="BC6:BH6" si="4">ROUND($AY$6*BC5/$AZ$5,2)</f>
        <v>104006.74</v>
      </c>
      <c r="BD6" s="27">
        <f t="shared" si="4"/>
        <v>69333.84</v>
      </c>
      <c r="BE6" s="27">
        <f t="shared" si="4"/>
        <v>0</v>
      </c>
      <c r="BF6" s="27">
        <f t="shared" si="4"/>
        <v>0</v>
      </c>
      <c r="BG6" s="27">
        <f t="shared" si="4"/>
        <v>0</v>
      </c>
      <c r="BH6" s="27">
        <f t="shared" si="4"/>
        <v>0</v>
      </c>
      <c r="BI6" s="27">
        <f t="shared" ref="BI6:BT6" si="5">ROUND($AY$6*BI5/$AZ$5,2)</f>
        <v>0</v>
      </c>
      <c r="BJ6" s="27">
        <f t="shared" si="5"/>
        <v>0</v>
      </c>
      <c r="BK6" s="27">
        <f t="shared" si="5"/>
        <v>0</v>
      </c>
      <c r="BL6" s="27">
        <f t="shared" si="5"/>
        <v>67313.56</v>
      </c>
      <c r="BM6" s="27">
        <f t="shared" si="5"/>
        <v>3598.58</v>
      </c>
      <c r="BN6" s="27">
        <f t="shared" si="5"/>
        <v>0</v>
      </c>
      <c r="BO6" s="27">
        <f t="shared" si="5"/>
        <v>0</v>
      </c>
      <c r="BP6" s="27">
        <f t="shared" si="5"/>
        <v>0</v>
      </c>
      <c r="BQ6" s="27">
        <f t="shared" si="5"/>
        <v>0</v>
      </c>
      <c r="BR6" s="27">
        <f t="shared" si="5"/>
        <v>63714.99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6" t="s">
        <v>3101</v>
      </c>
      <c r="J9" s="51"/>
      <c r="K9" s="2966" t="s">
        <v>3101</v>
      </c>
      <c r="L9" s="51"/>
      <c r="M9" s="2966" t="s">
        <v>3111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6" t="s">
        <v>923</v>
      </c>
      <c r="J10" s="51"/>
      <c r="K10" s="2968" t="s">
        <v>923</v>
      </c>
      <c r="L10" s="51"/>
      <c r="M10" s="2968" t="s">
        <v>3112</v>
      </c>
      <c r="N10" s="51"/>
      <c r="O10" s="66"/>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2328</v>
      </c>
      <c r="AK10" s="2314"/>
      <c r="AL10" s="2295" t="s">
        <v>2317</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7" t="s">
        <v>3102</v>
      </c>
      <c r="J11" s="71"/>
      <c r="K11" s="2967" t="s">
        <v>3198</v>
      </c>
      <c r="L11" s="71"/>
      <c r="M11" s="70" t="s">
        <v>3112</v>
      </c>
      <c r="N11" s="71"/>
      <c r="O11" s="70"/>
      <c r="P11" s="71"/>
      <c r="Q11" s="70"/>
      <c r="R11" s="71"/>
      <c r="S11" s="70"/>
      <c r="T11" s="71"/>
      <c r="U11" s="70"/>
      <c r="V11" s="71"/>
      <c r="W11" s="70"/>
      <c r="X11" s="71"/>
      <c r="Y11" s="70"/>
      <c r="Z11" s="71"/>
      <c r="AA11" s="70"/>
      <c r="AB11" s="71"/>
      <c r="AC11" s="55"/>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联排</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6.5" customHeight="1">
      <c r="A13" s="2962"/>
      <c r="B13" s="2969"/>
      <c r="C13" s="2962" t="s">
        <v>3156</v>
      </c>
      <c r="D13" s="2963" t="s">
        <v>1678</v>
      </c>
      <c r="E13" s="27">
        <f t="shared" ref="E13:E20" si="6">IF($C$3="是",ROUND($A$3*G13/$B$3,2),ROUND($A$3*(G13-AT13)/$B$3,2))</f>
        <v>108848.63</v>
      </c>
      <c r="F13" s="81"/>
      <c r="G13" s="82">
        <f t="shared" ref="G13:G20" si="7">H13+AC13+AT13</f>
        <v>245596.74000000002</v>
      </c>
      <c r="H13" s="33">
        <f t="shared" ref="H13:H20" si="8">SUMIF(I$12:AB$12,"总值",I13:AB13)</f>
        <v>245596.74000000002</v>
      </c>
      <c r="I13" s="2965">
        <f>'1号面积统计表 (黑白表)'!S12</f>
        <v>245596.74000000002</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高层</v>
      </c>
      <c r="AY13" s="995">
        <f t="shared" ref="AY13:AY20" si="11">ROUND($AY$6*AZ13/$AZ$5,2)</f>
        <v>108848.63</v>
      </c>
      <c r="AZ13" s="27">
        <f t="shared" ref="AZ13:AZ20" si="12">BA13+BL13</f>
        <v>245596.74000000002</v>
      </c>
      <c r="BA13" s="27">
        <f t="shared" ref="BA13:BA20" si="13">SUM(BB13:BK13)</f>
        <v>245596.74000000002</v>
      </c>
      <c r="BB13" s="27">
        <f t="shared" ref="BB13:BB20" si="14">IF($D13="是",I13-J13,0)</f>
        <v>245596.74000000002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9"/>
      <c r="C14" s="3281" t="s">
        <v>3158</v>
      </c>
      <c r="D14" s="2963" t="s">
        <v>1678</v>
      </c>
      <c r="E14" s="27">
        <f t="shared" si="6"/>
        <v>104006.74</v>
      </c>
      <c r="F14" s="81"/>
      <c r="G14" s="82">
        <f t="shared" si="7"/>
        <v>234671.93</v>
      </c>
      <c r="H14" s="33">
        <f t="shared" si="8"/>
        <v>234671.93</v>
      </c>
      <c r="I14" s="2965"/>
      <c r="J14" s="2965"/>
      <c r="K14" s="2965">
        <f>'1号面积统计表 (黑白表)'!S29</f>
        <v>234671.93</v>
      </c>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别墅</v>
      </c>
      <c r="AY14" s="995">
        <f t="shared" si="11"/>
        <v>104006.74</v>
      </c>
      <c r="AZ14" s="27">
        <f t="shared" si="12"/>
        <v>234671.93</v>
      </c>
      <c r="BA14" s="27">
        <f t="shared" si="13"/>
        <v>234671.93</v>
      </c>
      <c r="BB14" s="27">
        <f t="shared" si="14"/>
        <v>0</v>
      </c>
      <c r="BC14" s="27">
        <f t="shared" si="15"/>
        <v>234671.93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9"/>
      <c r="C15" s="3281" t="s">
        <v>3659</v>
      </c>
      <c r="D15" s="2963" t="s">
        <v>1678</v>
      </c>
      <c r="E15" s="27">
        <f t="shared" si="6"/>
        <v>69333.84</v>
      </c>
      <c r="F15" s="81"/>
      <c r="G15" s="82">
        <f t="shared" si="7"/>
        <v>156438.94999999998</v>
      </c>
      <c r="H15" s="33">
        <f t="shared" si="8"/>
        <v>156438.94999999998</v>
      </c>
      <c r="I15" s="2965"/>
      <c r="J15" s="2965"/>
      <c r="K15" s="2965"/>
      <c r="L15" s="2965"/>
      <c r="M15" s="2965">
        <f>'1号面积统计表 (黑白表)'!P30</f>
        <v>156438.94999999998</v>
      </c>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t="str">
        <f t="shared" si="10"/>
        <v>车位</v>
      </c>
      <c r="AY15" s="995">
        <f t="shared" si="11"/>
        <v>69333.84</v>
      </c>
      <c r="AZ15" s="27">
        <f t="shared" si="12"/>
        <v>156438.94999999998</v>
      </c>
      <c r="BA15" s="27">
        <f t="shared" si="13"/>
        <v>156438.94999999998</v>
      </c>
      <c r="BB15" s="27">
        <f t="shared" si="14"/>
        <v>0</v>
      </c>
      <c r="BC15" s="27">
        <f t="shared" si="15"/>
        <v>0</v>
      </c>
      <c r="BD15" s="27">
        <f t="shared" si="16"/>
        <v>156438.94999999998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9"/>
      <c r="C16" s="3281" t="s">
        <v>3660</v>
      </c>
      <c r="D16" s="2963" t="s">
        <v>1678</v>
      </c>
      <c r="E16" s="27">
        <f t="shared" si="6"/>
        <v>3598.58</v>
      </c>
      <c r="F16" s="81"/>
      <c r="G16" s="82">
        <f t="shared" si="7"/>
        <v>8119.5199999999995</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8119.5199999999995</v>
      </c>
      <c r="AD16" s="2969">
        <f>'1号面积统计表 (黑白表)'!S4+'1号面积统计表 (黑白表)'!S5</f>
        <v>8119.5199999999995</v>
      </c>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t="str">
        <f t="shared" si="10"/>
        <v>配套</v>
      </c>
      <c r="AY16" s="995">
        <f t="shared" si="11"/>
        <v>3598.58</v>
      </c>
      <c r="AZ16" s="27">
        <f t="shared" si="12"/>
        <v>8119.5199999999995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8119.5199999999995</v>
      </c>
      <c r="BM16" s="27">
        <f t="shared" si="25"/>
        <v>8119.5199999999995</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2"/>
      <c r="B17" s="2969"/>
      <c r="C17" s="3185" t="s">
        <v>2566</v>
      </c>
      <c r="D17" s="2963" t="s">
        <v>1678</v>
      </c>
      <c r="E17" s="27">
        <f t="shared" si="6"/>
        <v>63714.99</v>
      </c>
      <c r="F17" s="81"/>
      <c r="G17" s="82">
        <f t="shared" si="7"/>
        <v>143761.04999999996</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143761.04999999996</v>
      </c>
      <c r="AD17" s="2969"/>
      <c r="AE17" s="2969"/>
      <c r="AF17" s="2969"/>
      <c r="AG17" s="2969"/>
      <c r="AH17" s="2969"/>
      <c r="AI17" s="2969"/>
      <c r="AJ17" s="2969"/>
      <c r="AK17" s="2969"/>
      <c r="AL17" s="2969"/>
      <c r="AM17" s="2969"/>
      <c r="AN17" s="2969">
        <f>'1号面积统计表 (黑白表)'!S32</f>
        <v>143761.04999999996</v>
      </c>
      <c r="AO17" s="2969"/>
      <c r="AP17" s="2969"/>
      <c r="AQ17" s="2969"/>
      <c r="AR17" s="2969"/>
      <c r="AS17" s="2969"/>
      <c r="AT17" s="2970"/>
      <c r="AU17" s="2971"/>
      <c r="AV17" s="17">
        <f t="shared" si="10"/>
        <v>0</v>
      </c>
      <c r="AW17" s="17">
        <f t="shared" si="10"/>
        <v>0</v>
      </c>
      <c r="AX17" s="17" t="str">
        <f t="shared" si="10"/>
        <v>设备</v>
      </c>
      <c r="AY17" s="995">
        <f t="shared" si="11"/>
        <v>63714.99</v>
      </c>
      <c r="AZ17" s="27">
        <f t="shared" si="12"/>
        <v>143761.04999999996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143761.04999999996</v>
      </c>
      <c r="BM17" s="27">
        <f t="shared" si="25"/>
        <v>0</v>
      </c>
      <c r="BN17" s="27">
        <f t="shared" si="26"/>
        <v>0</v>
      </c>
      <c r="BO17" s="27">
        <f t="shared" si="27"/>
        <v>0</v>
      </c>
      <c r="BP17" s="27">
        <f t="shared" si="28"/>
        <v>0</v>
      </c>
      <c r="BQ17" s="27">
        <f t="shared" si="29"/>
        <v>0</v>
      </c>
      <c r="BR17" s="27">
        <f t="shared" si="30"/>
        <v>143761.04999999996</v>
      </c>
      <c r="BS17" s="27">
        <f t="shared" si="31"/>
        <v>0</v>
      </c>
      <c r="BT17" s="36">
        <f t="shared" si="32"/>
        <v>0</v>
      </c>
    </row>
    <row r="18" spans="1:72">
      <c r="A18" s="84"/>
      <c r="B18" s="93"/>
      <c r="C18" s="3281" t="s">
        <v>3690</v>
      </c>
      <c r="D18" s="2964" t="s">
        <v>1678</v>
      </c>
      <c r="E18" s="87">
        <f t="shared" si="6"/>
        <v>1065.9000000000001</v>
      </c>
      <c r="F18" s="88"/>
      <c r="G18" s="89">
        <f t="shared" si="7"/>
        <v>2405.0100000000002</v>
      </c>
      <c r="H18" s="90">
        <f t="shared" si="8"/>
        <v>2405.0100000000002</v>
      </c>
      <c r="I18" s="3282">
        <f>'1号面积统计表 (黑白表)'!O6</f>
        <v>2405.0100000000002</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t="str">
        <f t="shared" si="10"/>
        <v>洋房</v>
      </c>
      <c r="AY18" s="95">
        <f t="shared" si="11"/>
        <v>1065.9000000000001</v>
      </c>
      <c r="AZ18" s="87">
        <f t="shared" si="12"/>
        <v>2405.0100000000002</v>
      </c>
      <c r="BA18" s="87">
        <f t="shared" si="13"/>
        <v>2405.0100000000002</v>
      </c>
      <c r="BB18" s="87">
        <f t="shared" si="14"/>
        <v>2405.0100000000002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67"/>
      <c r="C19" s="3185"/>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3185"/>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267"/>
      <c r="C20" s="3185"/>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279"/>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1" t="s">
        <v>0</v>
      </c>
      <c r="B1" s="3461" t="s">
        <v>4</v>
      </c>
      <c r="C1" s="3461" t="s">
        <v>5</v>
      </c>
      <c r="D1" s="3462" t="s">
        <v>40</v>
      </c>
      <c r="E1" s="3462" t="s">
        <v>41</v>
      </c>
      <c r="F1" s="3462"/>
      <c r="G1" s="3462"/>
      <c r="H1" s="3462"/>
      <c r="I1" s="3462"/>
      <c r="J1" s="3462"/>
      <c r="K1" s="3462"/>
      <c r="L1" s="3462"/>
      <c r="M1" s="3462"/>
    </row>
    <row r="2" spans="1:13" ht="27" customHeight="1">
      <c r="A2" s="3461"/>
      <c r="B2" s="3461"/>
      <c r="C2" s="3461"/>
      <c r="D2" s="3462"/>
      <c r="E2" s="3462" t="s">
        <v>24</v>
      </c>
      <c r="F2" s="3462" t="s">
        <v>25</v>
      </c>
      <c r="G2" s="3462"/>
      <c r="H2" s="3462"/>
      <c r="I2" s="3462"/>
      <c r="J2" s="3462" t="s">
        <v>26</v>
      </c>
      <c r="K2" s="3462"/>
      <c r="L2" s="3462"/>
      <c r="M2" s="3462"/>
    </row>
    <row r="3" spans="1:13" ht="28.5">
      <c r="A3" s="3461"/>
      <c r="B3" s="3461"/>
      <c r="C3" s="3461"/>
      <c r="D3" s="3462"/>
      <c r="E3" s="34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2" t="s">
        <v>42</v>
      </c>
      <c r="B9" s="3462"/>
      <c r="C9" s="34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7" sqref="F2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472" t="s">
        <v>203</v>
      </c>
      <c r="B2" s="3472"/>
      <c r="C2" s="3472"/>
      <c r="D2" s="1956" t="s">
        <v>204</v>
      </c>
      <c r="E2" s="106" t="s">
        <v>205</v>
      </c>
      <c r="F2" s="1965"/>
      <c r="G2" s="1193"/>
      <c r="H2" s="1194"/>
      <c r="I2" s="1195" t="s">
        <v>857</v>
      </c>
      <c r="J2" s="1965"/>
      <c r="K2" s="1965"/>
      <c r="L2" s="1965"/>
    </row>
    <row r="3" spans="1:16" ht="15.75" thickBot="1">
      <c r="A3" s="3473" t="s">
        <v>206</v>
      </c>
      <c r="B3" s="3473"/>
      <c r="C3" s="3473"/>
      <c r="D3" s="107">
        <f>'数据-基础表'!AY6</f>
        <v>350568.67</v>
      </c>
      <c r="E3" s="3385">
        <f>'数据-基础表'!AZ5</f>
        <v>790993.2</v>
      </c>
      <c r="F3" s="1965"/>
      <c r="G3" s="280" t="s">
        <v>858</v>
      </c>
      <c r="H3" s="275" t="s">
        <v>859</v>
      </c>
      <c r="I3" s="1957">
        <f>ROUND('数据-基础表'!B3/'数据-基础表'!A3,2)</f>
        <v>2.2599999999999998</v>
      </c>
      <c r="J3" s="1965"/>
      <c r="K3" s="1965"/>
      <c r="L3" s="1965"/>
    </row>
    <row r="4" spans="1:16" ht="15">
      <c r="A4" s="3474"/>
      <c r="B4" s="3475"/>
      <c r="C4" s="3476"/>
      <c r="D4" s="108" t="s">
        <v>204</v>
      </c>
      <c r="E4" s="109" t="s">
        <v>205</v>
      </c>
      <c r="F4" s="1965"/>
      <c r="G4" s="1196"/>
      <c r="H4" s="275" t="s">
        <v>860</v>
      </c>
      <c r="I4" s="1957">
        <f>ROUND(SUMIF('数据-基础表'!I9:AS9,"地上",'数据-基础表'!I5:AS5)/'数据-基础表'!A3,2)</f>
        <v>1.4</v>
      </c>
      <c r="J4" s="1965"/>
      <c r="K4" s="1965"/>
      <c r="L4" s="1965"/>
    </row>
    <row r="5" spans="1:16">
      <c r="A5" s="110" t="s">
        <v>207</v>
      </c>
      <c r="B5" s="3477" t="s">
        <v>230</v>
      </c>
      <c r="C5" s="3477"/>
      <c r="D5" s="111">
        <f>ROUND($D$3*E5/$E$3,2)</f>
        <v>213921.27</v>
      </c>
      <c r="E5" s="112">
        <f>SUMIF('数据-基础表'!$11:$11,"住宅",'数据-基础表'!$5:$5)</f>
        <v>482673.68000000005</v>
      </c>
      <c r="F5" s="1965"/>
      <c r="G5" s="280" t="s">
        <v>861</v>
      </c>
      <c r="H5" s="275" t="s">
        <v>859</v>
      </c>
      <c r="I5" s="1957">
        <f>ROUND(E31/D31,2)</f>
        <v>2.2599999999999998</v>
      </c>
      <c r="J5" s="1965"/>
      <c r="K5" s="1965"/>
      <c r="L5" s="1965"/>
    </row>
    <row r="6" spans="1:16" ht="15" thickBot="1">
      <c r="A6" s="113"/>
      <c r="B6" s="3477" t="s">
        <v>208</v>
      </c>
      <c r="C6" s="3477"/>
      <c r="D6" s="111">
        <f>ROUND($D$3*E6/$E$3,2)</f>
        <v>136647.4</v>
      </c>
      <c r="E6" s="112">
        <f>E3-E5</f>
        <v>308319.5199999999</v>
      </c>
      <c r="F6" s="1965"/>
      <c r="G6" s="1196"/>
      <c r="H6" s="275" t="s">
        <v>860</v>
      </c>
      <c r="I6" s="1957">
        <f>ROUND(F31/D31,2)</f>
        <v>1.4</v>
      </c>
      <c r="J6" s="1965"/>
      <c r="K6" s="1965"/>
      <c r="L6" s="1965"/>
    </row>
    <row r="7" spans="1:16" ht="15">
      <c r="A7" s="3469"/>
      <c r="B7" s="3470"/>
      <c r="C7" s="3471"/>
      <c r="D7" s="108" t="s">
        <v>204</v>
      </c>
      <c r="E7" s="114" t="s">
        <v>231</v>
      </c>
      <c r="F7" s="1965"/>
      <c r="G7" s="1151" t="s">
        <v>1645</v>
      </c>
      <c r="H7" s="1152"/>
      <c r="I7" s="1827"/>
      <c r="J7" s="1965"/>
      <c r="K7" s="1965"/>
      <c r="L7" s="1965"/>
    </row>
    <row r="8" spans="1:16">
      <c r="A8" s="110" t="s">
        <v>209</v>
      </c>
      <c r="B8" s="115" t="s">
        <v>210</v>
      </c>
      <c r="C8" s="111" t="s">
        <v>211</v>
      </c>
      <c r="D8" s="111">
        <f t="shared" ref="D8:D15" si="0">ROUND($D$3*E8/$E$3,2)</f>
        <v>213921.27</v>
      </c>
      <c r="E8" s="116">
        <f>SUMIF('数据-基础表'!BB10:BK10,"地上",'数据-基础表'!BB5:BK5)</f>
        <v>482673.68000000005</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69333.84</v>
      </c>
      <c r="E13" s="116">
        <f>SUMPRODUCT(('数据-基础表'!BB10:BK10="地下")*('数据-基础表'!BB11:BK11="车库")*('数据-基础表'!BB5:BK5))</f>
        <v>156438.94999999998</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283255.11</v>
      </c>
      <c r="E16" s="120">
        <f>SUM(E8:E15)</f>
        <v>639112.63</v>
      </c>
      <c r="F16" s="1965"/>
      <c r="G16" s="1967"/>
      <c r="H16" s="967" t="s">
        <v>219</v>
      </c>
      <c r="I16" s="968"/>
      <c r="J16" s="1965"/>
      <c r="K16" s="3463" t="s">
        <v>2563</v>
      </c>
      <c r="L16" s="3464"/>
      <c r="M16" s="3464"/>
      <c r="N16" s="3464"/>
      <c r="O16" s="3464"/>
      <c r="P16" s="3465"/>
    </row>
    <row r="17" spans="1:19" ht="15">
      <c r="A17" s="121" t="s">
        <v>216</v>
      </c>
      <c r="B17" s="122" t="s">
        <v>217</v>
      </c>
      <c r="C17" s="2279" t="s">
        <v>2311</v>
      </c>
      <c r="D17" s="108" t="s">
        <v>204</v>
      </c>
      <c r="E17" s="124" t="s">
        <v>205</v>
      </c>
      <c r="F17" s="125"/>
      <c r="G17" s="1360"/>
      <c r="H17" s="969" t="s">
        <v>218</v>
      </c>
      <c r="I17" s="970" t="s">
        <v>2310</v>
      </c>
      <c r="J17" s="1965"/>
      <c r="K17" s="3466" t="s">
        <v>2564</v>
      </c>
      <c r="L17" s="3467"/>
      <c r="M17" s="3468"/>
      <c r="N17" s="3466" t="s">
        <v>2565</v>
      </c>
      <c r="O17" s="3467"/>
      <c r="P17" s="3468"/>
      <c r="R17" s="2280" t="s">
        <v>2309</v>
      </c>
      <c r="S17" s="144"/>
    </row>
    <row r="18" spans="1:19" ht="15">
      <c r="A18" s="117"/>
      <c r="B18" s="128"/>
      <c r="C18" s="129"/>
      <c r="D18" s="2602"/>
      <c r="E18" s="130" t="s">
        <v>220</v>
      </c>
      <c r="F18" s="131" t="s">
        <v>221</v>
      </c>
      <c r="G18" s="1361" t="s">
        <v>222</v>
      </c>
      <c r="H18" s="971" t="s">
        <v>223</v>
      </c>
      <c r="I18" s="972" t="s">
        <v>224</v>
      </c>
      <c r="J18" s="1965"/>
      <c r="K18" s="2565" t="s">
        <v>2566</v>
      </c>
      <c r="L18" s="2566" t="s">
        <v>2567</v>
      </c>
      <c r="M18" s="2567" t="s">
        <v>2568</v>
      </c>
      <c r="N18" s="2565" t="s">
        <v>2566</v>
      </c>
      <c r="O18" s="2566" t="s">
        <v>2567</v>
      </c>
      <c r="P18" s="2567" t="s">
        <v>2568</v>
      </c>
      <c r="R18" s="2281" t="s">
        <v>2307</v>
      </c>
      <c r="S18" s="2281" t="s">
        <v>2308</v>
      </c>
    </row>
    <row r="19" spans="1:19">
      <c r="A19" s="133"/>
      <c r="B19" s="115" t="s">
        <v>225</v>
      </c>
      <c r="C19" s="2972" t="str">
        <f>'数据-基础表'!C13</f>
        <v>高层</v>
      </c>
      <c r="D19" s="111">
        <f t="shared" ref="D19:D26" si="1">ROUND($D$3*E19/$E$3,2)</f>
        <v>108848.63</v>
      </c>
      <c r="E19" s="134">
        <f t="shared" ref="E19:E26" si="2">SUM(F19:G19)</f>
        <v>245596.74000000002</v>
      </c>
      <c r="F19" s="135">
        <f>'数据-基础表'!I13</f>
        <v>245596.74000000002</v>
      </c>
      <c r="G19" s="1362"/>
      <c r="H19" s="973">
        <f>ROUND($D$3*I19/$E$3,2)</f>
        <v>24484.25</v>
      </c>
      <c r="I19" s="116">
        <f>IF($I$17="自定义",P19,M19)</f>
        <v>55244.17</v>
      </c>
      <c r="J19" s="1965"/>
      <c r="K19" s="2568">
        <f t="shared" ref="K19:K26" si="3">ROUND(E$28*E19/E$27,2)</f>
        <v>55244.17</v>
      </c>
      <c r="L19" s="275">
        <f t="shared" ref="L19:L26" si="4">ROUND(IF(COUNTIF(C19,"*住宅*")&gt;0,E$29*E19/E$32,0),2)</f>
        <v>0</v>
      </c>
      <c r="M19" s="2569">
        <f>K19+L19</f>
        <v>55244.17</v>
      </c>
      <c r="N19" s="2570"/>
      <c r="O19" s="2571"/>
      <c r="P19" s="2572">
        <f>N19+O19</f>
        <v>0</v>
      </c>
      <c r="R19" s="275">
        <f t="shared" ref="R19:S26" si="5">D19+H19</f>
        <v>133332.88</v>
      </c>
      <c r="S19" s="2282">
        <f t="shared" si="5"/>
        <v>300840.91000000003</v>
      </c>
    </row>
    <row r="20" spans="1:19">
      <c r="A20" s="138"/>
      <c r="B20" s="115" t="s">
        <v>226</v>
      </c>
      <c r="C20" s="2972" t="str">
        <f>'数据-基础表'!C14</f>
        <v>别墅</v>
      </c>
      <c r="D20" s="111">
        <f t="shared" si="1"/>
        <v>104006.74</v>
      </c>
      <c r="E20" s="134">
        <f t="shared" si="2"/>
        <v>234671.93</v>
      </c>
      <c r="F20" s="135">
        <f>'数据-基础表'!K14</f>
        <v>234671.93</v>
      </c>
      <c r="G20" s="1362"/>
      <c r="H20" s="973">
        <f t="shared" ref="H20:H26" si="6">ROUND($D$3*I20/$E$3,2)</f>
        <v>23395.119999999999</v>
      </c>
      <c r="I20" s="116">
        <f t="shared" ref="I20:I26" si="7">IF($I$17="自定义",P20,M20)</f>
        <v>52786.76</v>
      </c>
      <c r="J20" s="1965"/>
      <c r="K20" s="2568">
        <f t="shared" si="3"/>
        <v>52786.76</v>
      </c>
      <c r="L20" s="275">
        <f t="shared" si="4"/>
        <v>0</v>
      </c>
      <c r="M20" s="2569">
        <f t="shared" ref="M20:M26" si="8">K20+L20</f>
        <v>52786.76</v>
      </c>
      <c r="N20" s="2570"/>
      <c r="O20" s="2571"/>
      <c r="P20" s="2572">
        <f t="shared" ref="P20:P26" si="9">N20+O20</f>
        <v>0</v>
      </c>
      <c r="R20" s="275">
        <f t="shared" si="5"/>
        <v>127401.86</v>
      </c>
      <c r="S20" s="2282">
        <f t="shared" si="5"/>
        <v>287458.69</v>
      </c>
    </row>
    <row r="21" spans="1:19">
      <c r="A21" s="138"/>
      <c r="B21" s="115" t="s">
        <v>226</v>
      </c>
      <c r="C21" s="2972" t="str">
        <f>'数据-基础表'!C15</f>
        <v>车位</v>
      </c>
      <c r="D21" s="111">
        <f t="shared" si="1"/>
        <v>69333.84</v>
      </c>
      <c r="E21" s="134">
        <f t="shared" si="2"/>
        <v>156438.94999999998</v>
      </c>
      <c r="F21" s="135"/>
      <c r="G21" s="1362">
        <f>'数据-基础表'!M15</f>
        <v>156438.94999999998</v>
      </c>
      <c r="H21" s="973">
        <f t="shared" si="6"/>
        <v>15595.85</v>
      </c>
      <c r="I21" s="116">
        <f t="shared" si="7"/>
        <v>35189.15</v>
      </c>
      <c r="J21" s="1965"/>
      <c r="K21" s="2568">
        <f t="shared" si="3"/>
        <v>35189.15</v>
      </c>
      <c r="L21" s="275">
        <f t="shared" si="4"/>
        <v>0</v>
      </c>
      <c r="M21" s="2569">
        <f t="shared" si="8"/>
        <v>35189.15</v>
      </c>
      <c r="N21" s="2570"/>
      <c r="O21" s="2571"/>
      <c r="P21" s="2572">
        <f t="shared" si="9"/>
        <v>0</v>
      </c>
      <c r="R21" s="275">
        <f t="shared" si="5"/>
        <v>84929.69</v>
      </c>
      <c r="S21" s="2282">
        <f t="shared" si="5"/>
        <v>191628.09999999998</v>
      </c>
    </row>
    <row r="22" spans="1:19">
      <c r="A22" s="138"/>
      <c r="B22" s="115" t="s">
        <v>226</v>
      </c>
      <c r="C22" s="2972" t="s">
        <v>3693</v>
      </c>
      <c r="D22" s="111">
        <f t="shared" si="1"/>
        <v>1065.9000000000001</v>
      </c>
      <c r="E22" s="134">
        <f t="shared" si="2"/>
        <v>2405.0100000000002</v>
      </c>
      <c r="F22" s="140">
        <f>'数据-基础表'!I18</f>
        <v>2405.0100000000002</v>
      </c>
      <c r="G22" s="1363"/>
      <c r="H22" s="973">
        <f t="shared" si="6"/>
        <v>239.76</v>
      </c>
      <c r="I22" s="116">
        <f t="shared" si="7"/>
        <v>540.98</v>
      </c>
      <c r="J22" s="1965"/>
      <c r="K22" s="2568">
        <f t="shared" si="3"/>
        <v>540.98</v>
      </c>
      <c r="L22" s="275">
        <f t="shared" si="4"/>
        <v>0</v>
      </c>
      <c r="M22" s="2569">
        <f t="shared" si="8"/>
        <v>540.98</v>
      </c>
      <c r="N22" s="2570"/>
      <c r="O22" s="2571"/>
      <c r="P22" s="2572">
        <f t="shared" si="9"/>
        <v>0</v>
      </c>
      <c r="R22" s="275">
        <f t="shared" si="5"/>
        <v>1305.6600000000001</v>
      </c>
      <c r="S22" s="2282">
        <f t="shared" si="5"/>
        <v>2945.9900000000002</v>
      </c>
    </row>
    <row r="23" spans="1:19">
      <c r="A23" s="138"/>
      <c r="B23" s="115" t="s">
        <v>226</v>
      </c>
      <c r="C23" s="139"/>
      <c r="D23" s="111">
        <f>ROUND($D$3*E23/$E$3,2)</f>
        <v>0</v>
      </c>
      <c r="E23" s="134">
        <f>SUM(F23:G23)</f>
        <v>0</v>
      </c>
      <c r="F23" s="140"/>
      <c r="G23" s="1363"/>
      <c r="H23" s="973">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c r="A24" s="138"/>
      <c r="B24" s="115" t="s">
        <v>226</v>
      </c>
      <c r="C24" s="139"/>
      <c r="D24" s="111">
        <f>ROUND($D$3*E24/$E$3,2)</f>
        <v>0</v>
      </c>
      <c r="E24" s="134">
        <f>SUM(F24:G24)</f>
        <v>0</v>
      </c>
      <c r="F24" s="140"/>
      <c r="G24" s="1363"/>
      <c r="H24" s="973">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43.5" thickBot="1">
      <c r="A27" s="138"/>
      <c r="B27" s="111"/>
      <c r="C27" s="127" t="s">
        <v>215</v>
      </c>
      <c r="D27" s="134">
        <f>SUM(D19:D26)</f>
        <v>283255.11</v>
      </c>
      <c r="E27" s="143">
        <f>IF(SUM(E19:E26)='数据-基础表'!BA5,SUM(E19:E26),IF(F27="地上面积有误","面积有误","地下面积有误"))</f>
        <v>639112.63</v>
      </c>
      <c r="F27" s="134">
        <f>IF(SUM(F19:F26)=E8,SUM(F19:F26),"地上面积有误")</f>
        <v>482673.68000000005</v>
      </c>
      <c r="G27" s="112">
        <f>SUM(G19:G26)</f>
        <v>156438.94999999998</v>
      </c>
      <c r="H27" s="974">
        <f>SUM(H19:H26)</f>
        <v>63714.979999999996</v>
      </c>
      <c r="I27" s="975">
        <f>SUM(I19:I26)</f>
        <v>143761.06</v>
      </c>
      <c r="J27" s="1965"/>
      <c r="K27" s="2577">
        <f>SUM(K19:K26)</f>
        <v>143761.06</v>
      </c>
      <c r="L27" s="2578">
        <f>SUM(L19:L26)</f>
        <v>0</v>
      </c>
      <c r="M27" s="2579">
        <f>SUM(M19:M26)</f>
        <v>143761.06</v>
      </c>
      <c r="N27" s="2577">
        <f t="shared" ref="N27:O27" si="10">SUM(N19:N26)</f>
        <v>0</v>
      </c>
      <c r="O27" s="2578">
        <f t="shared" si="10"/>
        <v>0</v>
      </c>
      <c r="P27" s="2580">
        <f>SUM(P19:P26)</f>
        <v>0</v>
      </c>
      <c r="R27" s="2286" t="str">
        <f>IF(SUM(R19:R26)=$D$3,SUM(R19:R26),SUM(R19:R26)&amp;"误差"&amp;ROUND(SUM(R19:R26)-$D$3,2))</f>
        <v>346970.09误差-3598.58</v>
      </c>
      <c r="S27" s="275" t="str">
        <f>IF(SUM(S19:S26)=$E$3,SUM(S19:S26),SUM(S19:S26)&amp;"误差"&amp;ROUND(SUM(S19:S26)-E3,2))</f>
        <v>782873.69误差-8119.51</v>
      </c>
    </row>
    <row r="28" spans="1:19">
      <c r="A28" s="138"/>
      <c r="B28" s="115" t="s">
        <v>227</v>
      </c>
      <c r="C28" s="136" t="s">
        <v>228</v>
      </c>
      <c r="D28" s="111">
        <f>ROUND($D$3*E28/$E$3,2)</f>
        <v>63714.99</v>
      </c>
      <c r="E28" s="134">
        <f>SUM(F28:G28)</f>
        <v>143761.04999999996</v>
      </c>
      <c r="F28" s="144">
        <f>'数据-基础表'!BQ5+'数据-基础表'!BS5</f>
        <v>0</v>
      </c>
      <c r="G28" s="145">
        <f>'数据-基础表'!BR5+'数据-基础表'!BT5</f>
        <v>143761.04999999996</v>
      </c>
      <c r="H28" s="1965"/>
      <c r="I28" s="1965"/>
      <c r="J28" s="1965"/>
      <c r="K28" s="1965"/>
      <c r="L28" s="1965"/>
    </row>
    <row r="29" spans="1:19">
      <c r="A29" s="138"/>
      <c r="B29" s="115" t="s">
        <v>227</v>
      </c>
      <c r="C29" s="2294" t="s">
        <v>2318</v>
      </c>
      <c r="D29" s="111">
        <f>ROUND($D$3*E29/$E$3,2)</f>
        <v>3598.58</v>
      </c>
      <c r="E29" s="134">
        <f>SUM(F29:G29)</f>
        <v>8119.5199999999995</v>
      </c>
      <c r="F29" s="144">
        <f>'数据-基础表'!BM5+'数据-基础表'!BO5</f>
        <v>8119.5199999999995</v>
      </c>
      <c r="G29" s="146">
        <f>'数据-基础表'!BN5+'数据-基础表'!BP5</f>
        <v>0</v>
      </c>
      <c r="H29" s="1965"/>
      <c r="I29" s="1965"/>
      <c r="J29" s="1965"/>
      <c r="K29" s="1965"/>
      <c r="L29" s="1965"/>
    </row>
    <row r="30" spans="1:19">
      <c r="A30" s="138"/>
      <c r="B30" s="111"/>
      <c r="C30" s="147" t="s">
        <v>215</v>
      </c>
      <c r="D30" s="134">
        <f>SUM(D28:D29)</f>
        <v>67313.569999999992</v>
      </c>
      <c r="E30" s="134">
        <f>SUM(E28:E29)</f>
        <v>151880.56999999995</v>
      </c>
      <c r="F30" s="134">
        <f>SUM(F28:F29)</f>
        <v>8119.5199999999995</v>
      </c>
      <c r="G30" s="112">
        <f>SUM(G28:G29)</f>
        <v>143761.04999999996</v>
      </c>
      <c r="H30" s="1965"/>
      <c r="I30" s="1965"/>
      <c r="J30" s="1965"/>
      <c r="K30" s="1965"/>
      <c r="L30" s="1965"/>
    </row>
    <row r="31" spans="1:19" ht="32.25" customHeight="1" thickBot="1">
      <c r="A31" s="1364"/>
      <c r="B31" s="1365" t="s">
        <v>229</v>
      </c>
      <c r="C31" s="2311" t="s">
        <v>2320</v>
      </c>
      <c r="D31" s="1366">
        <f>D27+D30</f>
        <v>350568.68</v>
      </c>
      <c r="E31" s="1366">
        <f>E27+E30</f>
        <v>790993.2</v>
      </c>
      <c r="F31" s="1367">
        <f>F27+F30</f>
        <v>490793.20000000007</v>
      </c>
      <c r="G31" s="1368">
        <f>G27+G30</f>
        <v>300199.99999999994</v>
      </c>
      <c r="H31" s="1965"/>
      <c r="I31" s="1965"/>
      <c r="J31" s="1965"/>
      <c r="K31" s="1965"/>
      <c r="L31" s="1965"/>
    </row>
    <row r="32" spans="1:19">
      <c r="A32" s="1965"/>
      <c r="B32" s="2323" t="s">
        <v>2319</v>
      </c>
      <c r="C32" s="2607"/>
      <c r="D32" s="1196"/>
      <c r="E32" s="1196">
        <f>SUMIF(C19:C26,"*住宅*",E19:E26)</f>
        <v>0</v>
      </c>
      <c r="F32" s="1196"/>
      <c r="G32" s="1196"/>
    </row>
    <row r="33" spans="4:5">
      <c r="D33" s="1969"/>
    </row>
    <row r="34" spans="4:5">
      <c r="E34" s="32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M9" sqref="AM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43763</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高层</v>
      </c>
      <c r="B6" s="2318" t="str">
        <f>IF(A6=0,"","经营性")</f>
        <v>经营性</v>
      </c>
      <c r="C6" s="173" t="s">
        <v>923</v>
      </c>
      <c r="D6" s="2289">
        <f>SUMIF(项目基本情况!D$15:I$15,C6,项目基本情况!D$18:I$18)</f>
        <v>70</v>
      </c>
      <c r="E6" s="2290">
        <f>IF(B6="","",SUMIF(项目基本情况!D$15:I$15,C6,项目基本情况!D$17:I$17))</f>
        <v>66109</v>
      </c>
      <c r="F6" s="174">
        <f>SUMIF(项目基本情况!D$15:I$15,C6,项目基本情况!D$19:I$19)</f>
        <v>61.22</v>
      </c>
      <c r="G6" s="175">
        <f>IF(ISERROR(ROUND(POWER(1+H6,D6-F6)*(POWER(1+H6,F6)-1)/(POWER(1+H6,D6)-1),3)),0,ROUND(POWER(1+H6,D6-F6)*(POWER(1+H6,F6)-1)/(POWER(1+H6,D6)-1),3))</f>
        <v>0.97699999999999998</v>
      </c>
      <c r="H6" s="2973">
        <v>4.4999999999999998E-2</v>
      </c>
      <c r="I6" s="2973">
        <v>0.05</v>
      </c>
      <c r="J6" s="176">
        <v>0.08</v>
      </c>
      <c r="K6" s="179">
        <f>SUMIF('数据-汇总表'!C$19:C$33,'数据-取费表'!A6,'数据-汇总表'!E$19:E$33)</f>
        <v>245596.74000000002</v>
      </c>
      <c r="L6" s="2974">
        <v>2500</v>
      </c>
      <c r="M6" s="177">
        <f t="shared" ref="M6:M14" si="0">ROUND(K6*L6/10000,0)</f>
        <v>61399</v>
      </c>
      <c r="N6" s="2975">
        <v>0</v>
      </c>
      <c r="O6" s="177">
        <f>IF($N$5="成新度","——",ROUND(M6*N6,0))</f>
        <v>0</v>
      </c>
      <c r="P6" s="178">
        <f>IF($N$5="成新度","——",M6-O6)</f>
        <v>61399</v>
      </c>
      <c r="Q6" s="2976">
        <v>0.15</v>
      </c>
      <c r="R6" s="179">
        <f>SUMIF('数据-汇总表'!C$19:C$33,A6,'数据-汇总表'!R$19:R$33)</f>
        <v>133332.88</v>
      </c>
      <c r="S6" s="132">
        <f>IF('数据-汇总表'!$I$17="按面积比例",SUMIF('数据-汇总表'!C$19:C$33,A6,'数据-汇总表'!K$19:K$33),SUMIF('数据-汇总表'!C$19:C$33,A6,'数据-汇总表'!N$19:N$33))</f>
        <v>55244.17</v>
      </c>
      <c r="T6" s="2215">
        <f>IF($T$4="按面积比例",IF(ISERROR(ROUND($M$14*S6/S$16,0)),"0",ROUND($M$14*S6/S$16,0)),"需自行计算录入")</f>
        <v>12706</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7"/>
      <c r="AN6" s="2352"/>
      <c r="AO6" s="1981"/>
      <c r="AP6" s="1199">
        <f>ROUND(1-1/(1+H6)^F6,3)</f>
        <v>0.93200000000000005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t="str">
        <f>'数据-汇总表'!C20</f>
        <v>别墅</v>
      </c>
      <c r="B7" s="2318" t="str">
        <f t="shared" ref="B7:B13" si="1">IF(A7=0,"","经营性")</f>
        <v>经营性</v>
      </c>
      <c r="C7" s="173" t="s">
        <v>923</v>
      </c>
      <c r="D7" s="2289">
        <f>SUMIF(项目基本情况!D$15:I$15,C7,项目基本情况!D$18:I$18)</f>
        <v>70</v>
      </c>
      <c r="E7" s="2290">
        <f>IF(B7="","",SUMIF(项目基本情况!D$15:I$15,C7,项目基本情况!D$17:I$17))</f>
        <v>66109</v>
      </c>
      <c r="F7" s="174">
        <f>SUMIF(项目基本情况!D$15:I$15,C7,项目基本情况!D$19:I$19)</f>
        <v>61.22</v>
      </c>
      <c r="G7" s="175">
        <f t="shared" ref="G7:G11" si="2">IF(ISERROR(ROUND(POWER(1+H7,D7-F7)*(POWER(1+H7,F7)-1)/(POWER(1+H7,D7)-1),3)),0,ROUND(POWER(1+H7,D7-F7)*(POWER(1+H7,F7)-1)/(POWER(1+H7,D7)-1),3))</f>
        <v>0.97699999999999998</v>
      </c>
      <c r="H7" s="2973">
        <f t="shared" ref="H7:J8" si="3">H6</f>
        <v>4.4999999999999998E-2</v>
      </c>
      <c r="I7" s="2973">
        <f t="shared" si="3"/>
        <v>0.05</v>
      </c>
      <c r="J7" s="176">
        <f t="shared" si="3"/>
        <v>0.08</v>
      </c>
      <c r="K7" s="179">
        <f>SUMIF('数据-汇总表'!C$19:C$33,'数据-取费表'!A7,'数据-汇总表'!E$19:E$33)</f>
        <v>234671.93</v>
      </c>
      <c r="L7" s="2974">
        <v>2700</v>
      </c>
      <c r="M7" s="177">
        <f t="shared" si="0"/>
        <v>63361</v>
      </c>
      <c r="N7" s="2975">
        <v>0</v>
      </c>
      <c r="O7" s="177">
        <f t="shared" ref="O7:O14" si="4">IF($N$5="成新度","——",ROUND(M7*N7,0))</f>
        <v>0</v>
      </c>
      <c r="P7" s="178">
        <f t="shared" ref="P7:P14" si="5">IF($N$5="成新度","——",M7-O7)</f>
        <v>63361</v>
      </c>
      <c r="Q7" s="2976">
        <v>0.25</v>
      </c>
      <c r="R7" s="179">
        <f>SUMIF('数据-汇总表'!C$19:C$33,A7,'数据-汇总表'!R$19:R$33)</f>
        <v>127401.86</v>
      </c>
      <c r="S7" s="132">
        <f>IF('数据-汇总表'!$I$17="按面积比例",SUMIF('数据-汇总表'!C$19:C$33,A7,'数据-汇总表'!K$19:K$33),SUMIF('数据-汇总表'!C$19:C$33,A7,'数据-汇总表'!N$19:N$33))</f>
        <v>52786.76</v>
      </c>
      <c r="T7" s="2215">
        <f t="shared" ref="T7:T13" si="6">IF($T$4="按面积比例",IF(ISERROR(ROUND($M$14*S7/S$16,0)),"0",ROUND($M$14*S7/S$16,0)),"需自行计算录入")</f>
        <v>12141</v>
      </c>
      <c r="U7" s="180"/>
      <c r="V7" s="181"/>
      <c r="W7" s="181"/>
      <c r="X7" s="2302"/>
      <c r="Y7" s="182"/>
      <c r="Z7" s="183"/>
      <c r="AA7" s="176"/>
      <c r="AB7" s="176"/>
      <c r="AC7" s="2305"/>
      <c r="AD7" s="184"/>
      <c r="AE7" s="971">
        <f t="shared" ref="AE7:AE13" ca="1" si="7">IF(AN7="",0,SUMIF(INDIRECT("'"&amp;AN7&amp;"'"&amp;"!E:E"),$AE$5,INDIRECT("'"&amp;AN7&amp;"'"&amp;"!F:F")))</f>
        <v>0</v>
      </c>
      <c r="AF7" s="141"/>
      <c r="AG7" s="1208">
        <f t="shared" ref="AG7:AG13" si="8">IF(AF7="",0,AE7-AF7)</f>
        <v>0</v>
      </c>
      <c r="AH7" s="141"/>
      <c r="AI7" s="187"/>
      <c r="AJ7" s="188"/>
      <c r="AK7" s="189"/>
      <c r="AL7" s="190"/>
      <c r="AM7" s="2350"/>
      <c r="AN7" s="2352"/>
      <c r="AO7" s="1981"/>
      <c r="AP7" s="1199">
        <f t="shared" ref="AP7:AP13" si="9">ROUND(1-1/(1+H7)^F7,3)</f>
        <v>0.93200000000000005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t="str">
        <f>'数据-汇总表'!C21</f>
        <v>车位</v>
      </c>
      <c r="B8" s="2318" t="str">
        <f t="shared" si="1"/>
        <v>经营性</v>
      </c>
      <c r="C8" s="173" t="s">
        <v>3112</v>
      </c>
      <c r="D8" s="2289">
        <f>SUMIF(项目基本情况!D$15:I$15,C8,项目基本情况!D$18:I$18)</f>
        <v>50</v>
      </c>
      <c r="E8" s="2290">
        <f>IF(B8="","",SUMIF(项目基本情况!D$15:I$15,C8,项目基本情况!D$17:I$17))</f>
        <v>58804</v>
      </c>
      <c r="F8" s="174">
        <f>SUMIF(项目基本情况!D$15:I$15,C8,项目基本情况!D$19:I$19)</f>
        <v>41.2</v>
      </c>
      <c r="G8" s="175">
        <f t="shared" si="2"/>
        <v>0.93300000000000005</v>
      </c>
      <c r="H8" s="3376">
        <v>0.04</v>
      </c>
      <c r="I8" s="3376">
        <v>4.4999999999999998E-2</v>
      </c>
      <c r="J8" s="176">
        <f t="shared" si="3"/>
        <v>0.08</v>
      </c>
      <c r="K8" s="179">
        <f>SUMIF('数据-汇总表'!C$19:C$33,'数据-取费表'!A8,'数据-汇总表'!E$19:E$33)</f>
        <v>156438.94999999998</v>
      </c>
      <c r="L8" s="2974">
        <v>2300</v>
      </c>
      <c r="M8" s="177">
        <f>ROUND(K8*L8/10000,0)</f>
        <v>35981</v>
      </c>
      <c r="N8" s="2975">
        <f>N6</f>
        <v>0</v>
      </c>
      <c r="O8" s="177">
        <f t="shared" si="4"/>
        <v>0</v>
      </c>
      <c r="P8" s="178">
        <f t="shared" si="5"/>
        <v>35981</v>
      </c>
      <c r="Q8" s="2976">
        <v>0.05</v>
      </c>
      <c r="R8" s="179">
        <f>SUMIF('数据-汇总表'!C$19:C$33,A8,'数据-汇总表'!R$19:R$33)</f>
        <v>84929.69</v>
      </c>
      <c r="S8" s="132">
        <f>IF('数据-汇总表'!$I$17="按面积比例",SUMIF('数据-汇总表'!C$19:C$33,A8,'数据-汇总表'!K$19:K$33),SUMIF('数据-汇总表'!C$19:C$33,A8,'数据-汇总表'!N$19:N$33))</f>
        <v>35189.15</v>
      </c>
      <c r="T8" s="2215">
        <f t="shared" si="6"/>
        <v>8093</v>
      </c>
      <c r="U8" s="180">
        <v>0.8</v>
      </c>
      <c r="V8" s="181">
        <v>2.5000000000000001E-2</v>
      </c>
      <c r="W8" s="181">
        <v>0.1</v>
      </c>
      <c r="X8" s="2302"/>
      <c r="Y8" s="182">
        <v>1</v>
      </c>
      <c r="Z8" s="183"/>
      <c r="AA8" s="176"/>
      <c r="AB8" s="176"/>
      <c r="AC8" s="2305"/>
      <c r="AD8" s="184"/>
      <c r="AE8" s="971">
        <f t="shared" ca="1" si="7"/>
        <v>38.200000000000003</v>
      </c>
      <c r="AF8" s="141"/>
      <c r="AG8" s="1208">
        <f t="shared" si="8"/>
        <v>0</v>
      </c>
      <c r="AH8" s="141"/>
      <c r="AI8" s="187">
        <v>365</v>
      </c>
      <c r="AJ8" s="188"/>
      <c r="AK8" s="189">
        <v>0.02</v>
      </c>
      <c r="AL8" s="190">
        <v>1.5E-3</v>
      </c>
      <c r="AM8" s="2350">
        <v>0.01</v>
      </c>
      <c r="AN8" s="2352" t="s">
        <v>3113</v>
      </c>
      <c r="AO8" s="1981"/>
      <c r="AP8" s="1199">
        <f t="shared" si="9"/>
        <v>0.80100000000000005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t="str">
        <f>'数据-汇总表'!C22</f>
        <v>洋房</v>
      </c>
      <c r="B9" s="2318" t="str">
        <f t="shared" si="1"/>
        <v>经营性</v>
      </c>
      <c r="C9" s="173" t="s">
        <v>923</v>
      </c>
      <c r="D9" s="2289">
        <f>SUMIF(项目基本情况!D$15:I$15,C9,项目基本情况!D$18:I$18)</f>
        <v>70</v>
      </c>
      <c r="E9" s="2290">
        <f>IF(B9="","",SUMIF(项目基本情况!D$15:I$15,C9,项目基本情况!D$17:I$17))</f>
        <v>66109</v>
      </c>
      <c r="F9" s="174">
        <f>SUMIF(项目基本情况!D$15:I$15,C9,项目基本情况!D$19:I$19)</f>
        <v>61.22</v>
      </c>
      <c r="G9" s="175">
        <f t="shared" si="2"/>
        <v>0.97699999999999998</v>
      </c>
      <c r="H9" s="176">
        <f>H6</f>
        <v>4.4999999999999998E-2</v>
      </c>
      <c r="I9" s="176">
        <f>I6</f>
        <v>0.05</v>
      </c>
      <c r="J9" s="176">
        <f>J6</f>
        <v>0.08</v>
      </c>
      <c r="K9" s="179">
        <f>SUMIF('数据-汇总表'!C$19:C$33,'数据-取费表'!A9,'数据-汇总表'!E$19:E$33)</f>
        <v>2405.0100000000002</v>
      </c>
      <c r="L9" s="193">
        <f>L6</f>
        <v>2500</v>
      </c>
      <c r="M9" s="177">
        <f t="shared" si="0"/>
        <v>601</v>
      </c>
      <c r="N9" s="194">
        <f>N6</f>
        <v>0</v>
      </c>
      <c r="O9" s="177">
        <f t="shared" si="4"/>
        <v>0</v>
      </c>
      <c r="P9" s="178">
        <f t="shared" si="5"/>
        <v>601</v>
      </c>
      <c r="Q9" s="192">
        <f>Q6</f>
        <v>0.15</v>
      </c>
      <c r="R9" s="179">
        <f>SUMIF('数据-汇总表'!C$19:C$33,A9,'数据-汇总表'!R$19:R$33)</f>
        <v>1305.6600000000001</v>
      </c>
      <c r="S9" s="132">
        <f>IF('数据-汇总表'!$I$17="按面积比例",SUMIF('数据-汇总表'!C$19:C$33,A9,'数据-汇总表'!K$19:K$33),SUMIF('数据-汇总表'!C$19:C$33,A9,'数据-汇总表'!N$19:N$33))</f>
        <v>540.98</v>
      </c>
      <c r="T9" s="2215">
        <f t="shared" si="6"/>
        <v>124</v>
      </c>
      <c r="U9" s="180"/>
      <c r="V9" s="181"/>
      <c r="W9" s="181"/>
      <c r="X9" s="2302"/>
      <c r="Y9" s="182"/>
      <c r="Z9" s="183"/>
      <c r="AA9" s="176"/>
      <c r="AB9" s="176"/>
      <c r="AC9" s="2305"/>
      <c r="AD9" s="184"/>
      <c r="AE9" s="971">
        <f t="shared" ca="1" si="7"/>
        <v>0</v>
      </c>
      <c r="AF9" s="141"/>
      <c r="AG9" s="1208">
        <f t="shared" si="8"/>
        <v>0</v>
      </c>
      <c r="AH9" s="141"/>
      <c r="AI9" s="187"/>
      <c r="AJ9" s="188"/>
      <c r="AK9" s="189"/>
      <c r="AL9" s="190"/>
      <c r="AM9" s="2350"/>
      <c r="AN9" s="2352"/>
      <c r="AO9" s="1981"/>
      <c r="AP9" s="1199">
        <f t="shared" si="9"/>
        <v>0.93200000000000005</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5">
        <f t="shared" si="6"/>
        <v>0</v>
      </c>
      <c r="U10" s="180"/>
      <c r="V10" s="181"/>
      <c r="W10" s="181"/>
      <c r="X10" s="2302"/>
      <c r="Y10" s="182"/>
      <c r="Z10" s="183"/>
      <c r="AA10" s="176"/>
      <c r="AB10" s="176"/>
      <c r="AC10" s="2305"/>
      <c r="AD10" s="184"/>
      <c r="AE10" s="971">
        <f t="shared" ca="1" si="7"/>
        <v>0</v>
      </c>
      <c r="AF10" s="141"/>
      <c r="AG10" s="1208">
        <f t="shared" si="8"/>
        <v>0</v>
      </c>
      <c r="AH10" s="141"/>
      <c r="AI10" s="187"/>
      <c r="AJ10" s="188"/>
      <c r="AK10" s="189"/>
      <c r="AL10" s="190"/>
      <c r="AM10" s="2350"/>
      <c r="AN10" s="2352"/>
      <c r="AO10" s="1981"/>
      <c r="AP10" s="1199">
        <f t="shared" si="9"/>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5">
        <f t="shared" si="6"/>
        <v>0</v>
      </c>
      <c r="U11" s="185"/>
      <c r="V11" s="176"/>
      <c r="W11" s="176"/>
      <c r="X11" s="2305"/>
      <c r="Y11" s="182"/>
      <c r="Z11" s="195"/>
      <c r="AA11" s="176"/>
      <c r="AB11" s="176"/>
      <c r="AC11" s="2305"/>
      <c r="AD11" s="184"/>
      <c r="AE11" s="971">
        <f t="shared" ca="1" si="7"/>
        <v>0</v>
      </c>
      <c r="AF11" s="141"/>
      <c r="AG11" s="1208">
        <f t="shared" si="8"/>
        <v>0</v>
      </c>
      <c r="AH11" s="141"/>
      <c r="AI11" s="187"/>
      <c r="AJ11" s="188"/>
      <c r="AK11" s="196"/>
      <c r="AL11" s="197"/>
      <c r="AM11" s="1798"/>
      <c r="AN11" s="2352"/>
      <c r="AO11" s="1981"/>
      <c r="AP11" s="1199">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5">
        <f t="shared" si="6"/>
        <v>0</v>
      </c>
      <c r="U12" s="185"/>
      <c r="V12" s="176"/>
      <c r="W12" s="176"/>
      <c r="X12" s="2305"/>
      <c r="Y12" s="182"/>
      <c r="Z12" s="195"/>
      <c r="AA12" s="176"/>
      <c r="AB12" s="176"/>
      <c r="AC12" s="2305"/>
      <c r="AD12" s="184"/>
      <c r="AE12" s="971">
        <f t="shared" ca="1" si="7"/>
        <v>0</v>
      </c>
      <c r="AF12" s="141"/>
      <c r="AG12" s="1208">
        <f t="shared" si="8"/>
        <v>0</v>
      </c>
      <c r="AH12" s="141"/>
      <c r="AI12" s="187"/>
      <c r="AJ12" s="188"/>
      <c r="AK12" s="196"/>
      <c r="AL12" s="197"/>
      <c r="AM12" s="1798"/>
      <c r="AN12" s="2352"/>
      <c r="AO12" s="1981"/>
      <c r="AP12" s="1199">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5">
        <f t="shared" si="6"/>
        <v>0</v>
      </c>
      <c r="U13" s="180"/>
      <c r="V13" s="181"/>
      <c r="W13" s="181"/>
      <c r="X13" s="2302"/>
      <c r="Y13" s="182"/>
      <c r="Z13" s="183"/>
      <c r="AA13" s="176"/>
      <c r="AB13" s="176"/>
      <c r="AC13" s="2305"/>
      <c r="AD13" s="184"/>
      <c r="AE13" s="971">
        <f t="shared" ca="1" si="7"/>
        <v>0</v>
      </c>
      <c r="AF13" s="141"/>
      <c r="AG13" s="1208">
        <f t="shared" si="8"/>
        <v>0</v>
      </c>
      <c r="AH13" s="141"/>
      <c r="AI13" s="187"/>
      <c r="AJ13" s="188"/>
      <c r="AK13" s="189"/>
      <c r="AL13" s="190"/>
      <c r="AM13" s="2350"/>
      <c r="AN13" s="2352"/>
      <c r="AO13" s="1981"/>
      <c r="AP13" s="1199">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2312</v>
      </c>
      <c r="B14" s="2287" t="s">
        <v>1679</v>
      </c>
      <c r="C14" s="2288" t="s">
        <v>2312</v>
      </c>
      <c r="D14" s="2289"/>
      <c r="E14" s="2290"/>
      <c r="F14" s="174"/>
      <c r="G14" s="175"/>
      <c r="H14" s="2291"/>
      <c r="I14" s="2291"/>
      <c r="J14" s="2291"/>
      <c r="K14" s="179">
        <f>SUMIF('数据-汇总表'!C$19:C$33,'数据-取费表'!A14,'数据-汇总表'!E$19:E$33)</f>
        <v>143761.04999999996</v>
      </c>
      <c r="L14" s="193">
        <v>2300</v>
      </c>
      <c r="M14" s="177">
        <f t="shared" si="0"/>
        <v>33065</v>
      </c>
      <c r="N14" s="194">
        <v>0</v>
      </c>
      <c r="O14" s="177">
        <f t="shared" si="4"/>
        <v>0</v>
      </c>
      <c r="P14" s="178">
        <f t="shared" si="5"/>
        <v>33065</v>
      </c>
      <c r="Q14" s="2299"/>
      <c r="R14" s="179"/>
      <c r="S14" s="132"/>
      <c r="T14" s="2298"/>
      <c r="U14" s="973"/>
      <c r="V14" s="2301"/>
      <c r="W14" s="2301"/>
      <c r="X14" s="2302"/>
      <c r="Y14" s="2303"/>
      <c r="Z14" s="136"/>
      <c r="AA14" s="2304"/>
      <c r="AB14" s="2304"/>
      <c r="AC14" s="2305"/>
      <c r="AD14" s="2302"/>
      <c r="AE14" s="971"/>
      <c r="AF14" s="2277"/>
      <c r="AG14" s="1208"/>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2314</v>
      </c>
      <c r="B15" s="2287" t="s">
        <v>1679</v>
      </c>
      <c r="C15" s="2288" t="s">
        <v>2313</v>
      </c>
      <c r="D15" s="2289"/>
      <c r="E15" s="2290"/>
      <c r="F15" s="174"/>
      <c r="G15" s="175"/>
      <c r="H15" s="2291"/>
      <c r="I15" s="2291"/>
      <c r="J15" s="2291"/>
      <c r="K15" s="179">
        <f>SUMIF('数据-汇总表'!C$19:C$33,'数据-取费表'!A15,'数据-汇总表'!E$19:E$33)</f>
        <v>8119.5199999999995</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0.96599999999999997</v>
      </c>
      <c r="H16" s="203">
        <f>ROUND(SUMPRODUCT(H6:H13,K6:K13)/SUMPRODUCT((H6:H13&gt;0)*(K6:K13)),3)</f>
        <v>4.3999999999999997E-2</v>
      </c>
      <c r="I16" s="204"/>
      <c r="J16" s="204"/>
      <c r="K16" s="205">
        <f>SUM(K6:K15)</f>
        <v>790993.2</v>
      </c>
      <c r="L16" s="206">
        <f>ROUND(M16*10000/SUM(K6:K14),0)</f>
        <v>2483</v>
      </c>
      <c r="M16" s="206">
        <f>SUM(M6:M14)</f>
        <v>194407</v>
      </c>
      <c r="N16" s="207">
        <f>ROUND(SUMPRODUCT(M6:M14,N6:N14)/M16,3)</f>
        <v>0</v>
      </c>
      <c r="O16" s="206">
        <f>SUM(O6:O14)</f>
        <v>0</v>
      </c>
      <c r="P16" s="206">
        <f>SUM(P6:P14)</f>
        <v>194407</v>
      </c>
      <c r="Q16" s="208">
        <f>ROUND(SUMPRODUCT(Q6:Q13,K6:K13)/SUMPRODUCT((Q6:Q13&gt;0)*(K6:K13)),2)</f>
        <v>0.16</v>
      </c>
      <c r="R16" s="2292">
        <f>SUM(R6:R13)</f>
        <v>346970.08999999997</v>
      </c>
      <c r="S16" s="209">
        <f>SUM(S6:S13)</f>
        <v>143761.06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2335</v>
      </c>
      <c r="B27" s="227">
        <v>80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2336</v>
      </c>
      <c r="B28" s="229">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3377">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2">
        <v>0.05</v>
      </c>
      <c r="C33" s="2325" t="s">
        <v>2888</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3283" t="s">
        <v>279</v>
      </c>
      <c r="B34" s="233">
        <v>0.1</v>
      </c>
      <c r="C34" s="2325" t="s">
        <v>2889</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2890</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2891</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0.03</v>
      </c>
      <c r="C37" s="2325" t="s">
        <v>2892</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0.03</v>
      </c>
      <c r="C38" s="2325" t="s">
        <v>2892</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0.05</v>
      </c>
      <c r="C44" s="2325" t="s">
        <v>2893</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2894</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2895</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1" t="s">
        <v>2896</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2" t="s">
        <v>2897</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2" t="s">
        <v>2898</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3</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1407</v>
      </c>
      <c r="C53" s="3023" t="s">
        <v>2899</v>
      </c>
      <c r="D53" s="3024" t="s">
        <v>2900</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2901</v>
      </c>
      <c r="B54" s="186"/>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2902</v>
      </c>
      <c r="B55" s="186"/>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2903</v>
      </c>
      <c r="B56" s="186"/>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2904</v>
      </c>
      <c r="B57" s="186"/>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2905</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2906</v>
      </c>
      <c r="B59" s="186"/>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2907</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2908</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2909</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2910</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8" sqref="F4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78" t="s">
        <v>1663</v>
      </c>
      <c r="B1" s="3479"/>
      <c r="C1" s="3479"/>
      <c r="D1" s="3479"/>
      <c r="E1" s="3479"/>
      <c r="F1" s="3479"/>
      <c r="G1" s="3479"/>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42.75">
      <c r="A3" s="1222" t="s">
        <v>1666</v>
      </c>
      <c r="B3" s="1223" t="s">
        <v>1653</v>
      </c>
      <c r="C3" s="3179" t="s">
        <v>3104</v>
      </c>
      <c r="D3" s="1990"/>
      <c r="E3" s="1224" t="s">
        <v>1666</v>
      </c>
      <c r="F3" s="1225" t="s">
        <v>1654</v>
      </c>
      <c r="G3" s="3031" t="s">
        <v>2915</v>
      </c>
      <c r="H3" s="1989"/>
      <c r="I3" s="1989"/>
      <c r="J3" s="1989"/>
      <c r="K3" s="1989"/>
      <c r="L3" s="1989"/>
      <c r="M3" s="1989"/>
      <c r="N3" s="1989"/>
      <c r="O3" s="1989"/>
      <c r="P3" s="1989"/>
      <c r="Q3" s="1989"/>
      <c r="R3" s="1989"/>
    </row>
    <row r="4" spans="1:18" ht="41.25">
      <c r="A4" s="1224"/>
      <c r="B4" s="1226" t="s">
        <v>1667</v>
      </c>
      <c r="C4" s="3028" t="s">
        <v>2916</v>
      </c>
      <c r="D4" s="1990"/>
      <c r="E4" s="1227"/>
      <c r="F4" s="1228" t="s">
        <v>1668</v>
      </c>
      <c r="G4" s="3029" t="s">
        <v>2912</v>
      </c>
      <c r="H4" s="1989"/>
      <c r="I4" s="1989"/>
      <c r="J4" s="1989"/>
      <c r="K4" s="1989"/>
      <c r="L4" s="1989"/>
      <c r="M4" s="1989"/>
      <c r="N4" s="1989"/>
      <c r="O4" s="1989"/>
      <c r="P4" s="1989"/>
      <c r="Q4" s="1989"/>
      <c r="R4" s="1989"/>
    </row>
    <row r="5" spans="1:18" ht="41.25">
      <c r="A5" s="1224"/>
      <c r="B5" s="1226" t="s">
        <v>1669</v>
      </c>
      <c r="C5" s="3028" t="s">
        <v>2917</v>
      </c>
      <c r="D5" s="1990"/>
      <c r="E5" s="1227"/>
      <c r="F5" s="1226" t="s">
        <v>2543</v>
      </c>
      <c r="G5" s="3029" t="s">
        <v>2913</v>
      </c>
      <c r="H5" s="1989"/>
      <c r="I5" s="1989"/>
      <c r="J5" s="1989"/>
      <c r="K5" s="1989"/>
      <c r="L5" s="1989"/>
      <c r="M5" s="1989"/>
      <c r="N5" s="1989"/>
      <c r="O5" s="1989"/>
      <c r="P5" s="1989"/>
      <c r="Q5" s="1989"/>
      <c r="R5" s="1989"/>
    </row>
    <row r="6" spans="1:18" ht="27">
      <c r="A6" s="1224"/>
      <c r="B6" s="1226" t="s">
        <v>1655</v>
      </c>
      <c r="C6" s="3180" t="s">
        <v>3105</v>
      </c>
      <c r="D6" s="1990"/>
      <c r="E6" s="1227"/>
      <c r="F6" s="1226" t="s">
        <v>2544</v>
      </c>
      <c r="G6" s="3029" t="s">
        <v>2911</v>
      </c>
      <c r="H6" s="1989"/>
      <c r="I6" s="1989"/>
      <c r="J6" s="1989"/>
      <c r="K6" s="1989"/>
      <c r="L6" s="1989"/>
      <c r="M6" s="1989"/>
      <c r="N6" s="1989"/>
      <c r="O6" s="1989"/>
      <c r="P6" s="1989"/>
      <c r="Q6" s="1989"/>
      <c r="R6" s="1989"/>
    </row>
    <row r="7" spans="1:18" ht="41.25" thickBot="1">
      <c r="A7" s="1224"/>
      <c r="B7" s="1226" t="s">
        <v>2543</v>
      </c>
      <c r="C7" s="3180" t="s">
        <v>3105</v>
      </c>
      <c r="D7" s="1991"/>
      <c r="E7" s="1229"/>
      <c r="F7" s="1230" t="s">
        <v>1670</v>
      </c>
      <c r="G7" s="3032" t="s">
        <v>2914</v>
      </c>
      <c r="H7" s="1989"/>
      <c r="I7" s="1989"/>
      <c r="J7" s="1989"/>
      <c r="K7" s="1989"/>
      <c r="L7" s="1989"/>
      <c r="M7" s="1989"/>
      <c r="N7" s="1989"/>
      <c r="O7" s="1989"/>
      <c r="P7" s="1989"/>
      <c r="Q7" s="1989"/>
      <c r="R7" s="1989"/>
    </row>
    <row r="8" spans="1:18">
      <c r="A8" s="1224"/>
      <c r="B8" s="1226" t="s">
        <v>2544</v>
      </c>
      <c r="C8" s="3180" t="s">
        <v>3107</v>
      </c>
      <c r="D8" s="1991"/>
      <c r="E8" s="1991"/>
      <c r="F8" s="1536"/>
      <c r="G8" s="1536"/>
      <c r="H8" s="1989"/>
      <c r="I8" s="1989"/>
      <c r="J8" s="1989"/>
      <c r="K8" s="1989"/>
      <c r="L8" s="1989"/>
      <c r="M8" s="1989"/>
      <c r="N8" s="1989"/>
      <c r="O8" s="1989"/>
      <c r="P8" s="1989"/>
      <c r="Q8" s="1989"/>
      <c r="R8" s="1989"/>
    </row>
    <row r="9" spans="1:18">
      <c r="A9" s="1224"/>
      <c r="B9" s="1226" t="s">
        <v>1656</v>
      </c>
      <c r="C9" s="3181" t="s">
        <v>3105</v>
      </c>
      <c r="D9" s="1990"/>
      <c r="E9" s="1991"/>
      <c r="F9" s="1536"/>
      <c r="G9" s="1536"/>
      <c r="H9" s="1989"/>
      <c r="I9" s="1989"/>
      <c r="J9" s="1989"/>
      <c r="K9" s="1989"/>
      <c r="L9" s="1989"/>
      <c r="M9" s="1989"/>
      <c r="N9" s="1989"/>
      <c r="O9" s="1989"/>
      <c r="P9" s="1989"/>
      <c r="Q9" s="1989"/>
      <c r="R9" s="1989"/>
    </row>
    <row r="10" spans="1:18" s="1997" customFormat="1" ht="15" thickBot="1">
      <c r="A10" s="1231"/>
      <c r="B10" s="1232" t="s">
        <v>1671</v>
      </c>
      <c r="C10" s="3030"/>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9"/>
      <c r="E13" s="2538"/>
      <c r="F13" s="2538"/>
      <c r="G13" s="2538"/>
    </row>
    <row r="14" spans="1:18" ht="14.25" thickBot="1">
      <c r="A14" s="1233"/>
      <c r="B14" s="1234"/>
      <c r="C14" s="1235" t="s">
        <v>1664</v>
      </c>
      <c r="D14" s="1990"/>
      <c r="E14" s="1236"/>
      <c r="F14" s="1236"/>
      <c r="G14" s="1218" t="s">
        <v>1665</v>
      </c>
    </row>
    <row r="15" spans="1:18" ht="40.5">
      <c r="A15" s="2548" t="s">
        <v>1657</v>
      </c>
      <c r="B15" s="1237" t="s">
        <v>1653</v>
      </c>
      <c r="C15" s="1238" t="str">
        <f>C3</f>
        <v>一般</v>
      </c>
      <c r="D15" s="1990"/>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0"/>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1"/>
      <c r="E17" s="2546"/>
      <c r="F17" s="1242" t="s">
        <v>1674</v>
      </c>
      <c r="G17" s="2746"/>
    </row>
    <row r="18" spans="1:7" ht="40.5">
      <c r="A18" s="2549"/>
      <c r="B18" s="1242" t="s">
        <v>1655</v>
      </c>
      <c r="C18" s="1004" t="str">
        <f>C6</f>
        <v>一般</v>
      </c>
      <c r="D18" s="1991"/>
      <c r="E18" s="2546"/>
      <c r="F18" s="1242" t="s">
        <v>1670</v>
      </c>
      <c r="G18" s="1004" t="str">
        <f>G7</f>
        <v>该园区内是否有污染型企业，绿化情况，卫生条件，整体环境状况判断</v>
      </c>
    </row>
    <row r="19" spans="1:7" ht="27">
      <c r="A19" s="2549"/>
      <c r="B19" s="1242" t="s">
        <v>1659</v>
      </c>
      <c r="C19" s="2746"/>
      <c r="D19" s="1990"/>
      <c r="E19" s="2546"/>
      <c r="F19" s="1226" t="s">
        <v>2543</v>
      </c>
      <c r="G19" s="1004" t="str">
        <f>G5</f>
        <v>估价对象所在区域公共配套设施齐备情况</v>
      </c>
    </row>
    <row r="20" spans="1:7" ht="27">
      <c r="A20" s="2549"/>
      <c r="B20" s="1242" t="s">
        <v>1660</v>
      </c>
      <c r="C20" s="1241" t="str">
        <f>C9</f>
        <v>一般</v>
      </c>
      <c r="D20" s="1991"/>
      <c r="E20" s="2546"/>
      <c r="F20" s="1226" t="s">
        <v>2544</v>
      </c>
      <c r="G20" s="1004" t="str">
        <f>G6</f>
        <v>估价对象所在区域基础设施水平</v>
      </c>
    </row>
    <row r="21" spans="1:7" ht="14.25">
      <c r="A21" s="2549"/>
      <c r="B21" s="1226" t="s">
        <v>2543</v>
      </c>
      <c r="C21" s="1004" t="str">
        <f>C7</f>
        <v>一般</v>
      </c>
      <c r="D21" s="1990"/>
      <c r="E21" s="2546"/>
      <c r="F21" s="1242" t="s">
        <v>1661</v>
      </c>
      <c r="G21" s="3033"/>
    </row>
    <row r="22" spans="1:7" ht="14.25">
      <c r="A22" s="2549"/>
      <c r="B22" s="1226" t="s">
        <v>2544</v>
      </c>
      <c r="C22" s="1004" t="str">
        <f>C8</f>
        <v>七通</v>
      </c>
      <c r="D22" s="1990"/>
      <c r="E22" s="2546"/>
      <c r="F22" s="1242" t="s">
        <v>1671</v>
      </c>
      <c r="G22" s="2746"/>
    </row>
    <row r="23" spans="1:7" ht="15" thickBot="1">
      <c r="A23" s="2549"/>
      <c r="B23" s="1242" t="s">
        <v>1661</v>
      </c>
      <c r="C23" s="3033"/>
      <c r="E23" s="2547"/>
      <c r="F23" s="1243" t="s">
        <v>1675</v>
      </c>
      <c r="G23" s="3034"/>
    </row>
    <row r="24" spans="1:7" ht="14.25" thickBot="1">
      <c r="A24" s="2550"/>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7" sqref="D27"/>
    </sheetView>
  </sheetViews>
  <sheetFormatPr defaultColWidth="14.625" defaultRowHeight="13.5"/>
  <cols>
    <col min="1" max="1" width="24.375" customWidth="1"/>
  </cols>
  <sheetData>
    <row r="1" spans="1:9" ht="16.5">
      <c r="A1" s="2992" t="s">
        <v>2840</v>
      </c>
      <c r="B1" s="2992">
        <f>SUM(B14:B23)</f>
        <v>641284.47</v>
      </c>
      <c r="C1" s="2993"/>
      <c r="D1" s="2993"/>
      <c r="E1" s="2993"/>
      <c r="F1" s="2993"/>
    </row>
    <row r="2" spans="1:9" ht="16.5">
      <c r="A2" s="2992" t="s">
        <v>2841</v>
      </c>
      <c r="B2" s="2992">
        <f>SUM(C14:C23)</f>
        <v>284217.67</v>
      </c>
      <c r="C2" s="2993"/>
      <c r="D2" s="2993"/>
      <c r="E2" s="2993"/>
      <c r="F2" s="2993"/>
    </row>
    <row r="3" spans="1:9" ht="16.5">
      <c r="A3" s="2992" t="s">
        <v>2842</v>
      </c>
      <c r="B3" s="2994">
        <f>项目基本情况!D3</f>
        <v>43763</v>
      </c>
      <c r="C3" s="2993"/>
      <c r="D3" s="2993"/>
      <c r="E3" s="2993"/>
      <c r="F3" s="2993"/>
    </row>
    <row r="4" spans="1:9" ht="33">
      <c r="A4" s="2992" t="s">
        <v>2843</v>
      </c>
      <c r="B4" s="2992" t="s">
        <v>2844</v>
      </c>
      <c r="C4" s="2992" t="s">
        <v>2845</v>
      </c>
      <c r="D4" s="2992" t="s">
        <v>2846</v>
      </c>
      <c r="E4" s="2993"/>
      <c r="F4" s="2993"/>
    </row>
    <row r="5" spans="1:9" ht="16.5">
      <c r="A5" s="2992" t="s">
        <v>2847</v>
      </c>
      <c r="B5" s="2992">
        <f ca="1">SUM(D14:D23)</f>
        <v>170149</v>
      </c>
      <c r="C5" s="2992">
        <f ca="1">ROUND(B5*10000/$B$1,0)</f>
        <v>2653</v>
      </c>
      <c r="D5" s="2992">
        <f ca="1">ROUND(B5*10000/$B$2,0)</f>
        <v>5987</v>
      </c>
      <c r="E5" s="2993"/>
      <c r="F5" s="2993"/>
    </row>
    <row r="6" spans="1:9" ht="16.5">
      <c r="A6" s="2992" t="s">
        <v>2848</v>
      </c>
      <c r="B6" s="2992">
        <f ca="1">SUM(G14:G23)</f>
        <v>170149</v>
      </c>
      <c r="C6" s="2992">
        <f t="shared" ref="C6:C8" ca="1" si="0">ROUND(B6*10000/$B$1,0)</f>
        <v>2653</v>
      </c>
      <c r="D6" s="2992">
        <f t="shared" ref="D6:D8" ca="1" si="1">ROUND(B6*10000/$B$2,0)</f>
        <v>5987</v>
      </c>
      <c r="E6" s="2993"/>
      <c r="F6" s="2993"/>
    </row>
    <row r="7" spans="1:9" ht="16.5">
      <c r="A7" s="2992" t="s">
        <v>2849</v>
      </c>
      <c r="B7" s="2992">
        <f>SUM(H14:H23)</f>
        <v>0</v>
      </c>
      <c r="C7" s="2992">
        <f t="shared" si="0"/>
        <v>0</v>
      </c>
      <c r="D7" s="2992">
        <f t="shared" si="1"/>
        <v>0</v>
      </c>
      <c r="E7" s="2993"/>
      <c r="F7" s="2993"/>
    </row>
    <row r="8" spans="1:9" ht="16.5">
      <c r="A8" s="2992" t="s">
        <v>2850</v>
      </c>
      <c r="B8" s="2992">
        <f>SUM(I14:I23)</f>
        <v>0</v>
      </c>
      <c r="C8" s="2992">
        <f t="shared" si="0"/>
        <v>0</v>
      </c>
      <c r="D8" s="2992">
        <f t="shared" si="1"/>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2996">
        <f>结果表!L38</f>
        <v>790993.2</v>
      </c>
      <c r="C14" s="2996">
        <f>结果表!K38</f>
        <v>350568.67</v>
      </c>
      <c r="D14" s="2996">
        <f ca="1">结果表!C42</f>
        <v>209867</v>
      </c>
      <c r="E14" s="2996">
        <f ca="1">ROUND(D14*10000/B14,0)</f>
        <v>2653</v>
      </c>
      <c r="F14" s="2996">
        <f ca="1">ROUND(D14*10000/C14,0)</f>
        <v>5986</v>
      </c>
      <c r="G14" s="2996">
        <f ca="1">结果表!C44</f>
        <v>209867</v>
      </c>
      <c r="H14" s="2996" t="str">
        <f>结果表!C45</f>
        <v>——</v>
      </c>
      <c r="I14" s="2996" t="str">
        <f>结果表!C46</f>
        <v>——</v>
      </c>
    </row>
    <row r="15" spans="1:9" ht="16.5">
      <c r="A15" s="2999" t="s">
        <v>2857</v>
      </c>
      <c r="B15" s="3366">
        <f>-Sheet1!G10</f>
        <v>-149708.73000000001</v>
      </c>
      <c r="C15" s="3366">
        <f>-Sheet1!D10</f>
        <v>-66351</v>
      </c>
      <c r="D15" s="3366">
        <f>-Sheet1!F10</f>
        <v>-39718</v>
      </c>
      <c r="E15" s="2996">
        <f t="shared" ref="E15:E23" si="2">ROUND(D15*10000/B15,0)</f>
        <v>2653</v>
      </c>
      <c r="F15" s="2996">
        <f t="shared" ref="F15:F23" si="3">ROUND(D15*10000/C15,0)</f>
        <v>5986</v>
      </c>
      <c r="G15" s="3365">
        <f>D15</f>
        <v>-39718</v>
      </c>
      <c r="H15" s="2997"/>
      <c r="I15" s="3000"/>
    </row>
    <row r="16" spans="1:9" ht="16.5">
      <c r="A16" s="2999" t="s">
        <v>2858</v>
      </c>
      <c r="B16" s="3366"/>
      <c r="C16" s="3366"/>
      <c r="D16" s="3366"/>
      <c r="E16" s="2996" t="e">
        <f t="shared" si="2"/>
        <v>#DIV/0!</v>
      </c>
      <c r="F16" s="2996" t="e">
        <f t="shared" si="3"/>
        <v>#DIV/0!</v>
      </c>
      <c r="G16" s="3365"/>
      <c r="H16" s="2997"/>
      <c r="I16" s="3000"/>
    </row>
    <row r="17" spans="1:9" ht="16.5">
      <c r="A17" s="2999" t="s">
        <v>2859</v>
      </c>
      <c r="B17" s="3000"/>
      <c r="C17" s="3000"/>
      <c r="D17" s="3000"/>
      <c r="E17" s="2996" t="e">
        <f t="shared" si="2"/>
        <v>#DIV/0!</v>
      </c>
      <c r="F17" s="2996" t="e">
        <f t="shared" si="3"/>
        <v>#DIV/0!</v>
      </c>
      <c r="G17" s="2997"/>
      <c r="H17" s="2997"/>
      <c r="I17" s="3000"/>
    </row>
    <row r="18" spans="1:9" ht="16.5">
      <c r="A18" s="2999" t="s">
        <v>2860</v>
      </c>
      <c r="B18" s="3000"/>
      <c r="C18" s="3000"/>
      <c r="D18" s="3000"/>
      <c r="E18" s="2996" t="e">
        <f t="shared" si="2"/>
        <v>#DIV/0!</v>
      </c>
      <c r="F18" s="2996" t="e">
        <f t="shared" si="3"/>
        <v>#DIV/0!</v>
      </c>
      <c r="G18" s="3000"/>
      <c r="H18" s="3000"/>
      <c r="I18" s="3000"/>
    </row>
    <row r="19" spans="1:9" ht="16.5">
      <c r="A19" s="2999" t="s">
        <v>2861</v>
      </c>
      <c r="B19" s="3000"/>
      <c r="C19" s="3000"/>
      <c r="D19" s="3000"/>
      <c r="E19" s="2996" t="e">
        <f t="shared" si="2"/>
        <v>#DIV/0!</v>
      </c>
      <c r="F19" s="2996" t="e">
        <f t="shared" si="3"/>
        <v>#DIV/0!</v>
      </c>
      <c r="G19" s="3000"/>
      <c r="H19" s="3000"/>
      <c r="I19" s="3000"/>
    </row>
    <row r="20" spans="1:9" ht="16.5">
      <c r="A20" s="2999" t="s">
        <v>2862</v>
      </c>
      <c r="B20" s="3000"/>
      <c r="C20" s="3000"/>
      <c r="D20" s="3000"/>
      <c r="E20" s="2996" t="e">
        <f t="shared" si="2"/>
        <v>#DIV/0!</v>
      </c>
      <c r="F20" s="2996" t="e">
        <f t="shared" si="3"/>
        <v>#DIV/0!</v>
      </c>
      <c r="G20" s="3000"/>
      <c r="H20" s="3000"/>
      <c r="I20" s="3000"/>
    </row>
    <row r="21" spans="1:9" ht="16.5">
      <c r="A21" s="2999" t="s">
        <v>2863</v>
      </c>
      <c r="B21" s="3000"/>
      <c r="C21" s="3000"/>
      <c r="D21" s="3000"/>
      <c r="E21" s="2996" t="e">
        <f t="shared" si="2"/>
        <v>#DIV/0!</v>
      </c>
      <c r="F21" s="2996" t="e">
        <f t="shared" si="3"/>
        <v>#DIV/0!</v>
      </c>
      <c r="G21" s="3000"/>
      <c r="H21" s="3000"/>
      <c r="I21" s="3000"/>
    </row>
    <row r="22" spans="1:9" ht="16.5">
      <c r="A22" s="2999" t="s">
        <v>2864</v>
      </c>
      <c r="B22" s="3000"/>
      <c r="C22" s="3000"/>
      <c r="D22" s="3000"/>
      <c r="E22" s="2996" t="e">
        <f t="shared" si="2"/>
        <v>#DIV/0!</v>
      </c>
      <c r="F22" s="2996" t="e">
        <f t="shared" si="3"/>
        <v>#DIV/0!</v>
      </c>
      <c r="G22" s="3000"/>
      <c r="H22" s="3000"/>
      <c r="I22" s="3000"/>
    </row>
    <row r="23" spans="1:9" ht="16.5">
      <c r="A23" s="2999" t="s">
        <v>2865</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41" sqref="H4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2053</v>
      </c>
      <c r="B1" s="1758"/>
      <c r="C1" s="1786" t="s">
        <v>2054</v>
      </c>
      <c r="D1" s="1787"/>
      <c r="E1" s="1786" t="s">
        <v>2055</v>
      </c>
      <c r="F1" s="1788"/>
      <c r="G1" s="311"/>
      <c r="H1" s="311"/>
      <c r="I1" s="311"/>
      <c r="J1" s="2010"/>
      <c r="K1" s="2010"/>
      <c r="L1" s="2010"/>
      <c r="M1" s="2010"/>
      <c r="N1" s="2010"/>
      <c r="O1" s="2010"/>
      <c r="P1" s="2010"/>
      <c r="Q1" s="2010"/>
      <c r="R1" s="2010"/>
      <c r="S1" s="2010"/>
      <c r="T1" s="2010"/>
      <c r="U1" s="2010"/>
      <c r="V1" s="2010"/>
    </row>
    <row r="2" spans="1:22" ht="21.75" customHeight="1" thickBot="1">
      <c r="A2" s="3525" t="str">
        <f>项目基本情况!K2</f>
        <v>廊坊市永清县别古庄镇小荆垡村西北出让国有建设用地使用权</v>
      </c>
      <c r="B2" s="3526"/>
      <c r="C2" s="3527"/>
      <c r="D2" s="3527"/>
      <c r="E2" s="3527"/>
      <c r="F2" s="3527"/>
      <c r="G2" s="3526"/>
      <c r="H2" s="3526"/>
      <c r="I2" s="3528"/>
      <c r="J2" s="2011"/>
      <c r="K2" s="2010"/>
      <c r="L2" s="2010"/>
      <c r="M2" s="2010"/>
      <c r="N2" s="2010"/>
      <c r="O2" s="2010"/>
      <c r="P2" s="2010"/>
      <c r="Q2" s="2010"/>
      <c r="R2" s="2010"/>
      <c r="S2" s="2010"/>
      <c r="T2" s="2010"/>
      <c r="U2" s="2010"/>
      <c r="V2" s="2010"/>
    </row>
    <row r="3" spans="1:22" ht="14.25">
      <c r="A3" s="3536" t="s">
        <v>298</v>
      </c>
      <c r="B3" s="3537"/>
      <c r="C3" s="3537"/>
      <c r="D3" s="3537"/>
      <c r="E3" s="3537"/>
      <c r="F3" s="3537"/>
      <c r="G3" s="3537"/>
      <c r="H3" s="3537"/>
      <c r="I3" s="3537"/>
      <c r="J3" s="2011"/>
      <c r="K3" s="2010"/>
      <c r="L3" s="2010"/>
      <c r="M3" s="2010"/>
      <c r="N3" s="2010"/>
      <c r="O3" s="2010"/>
      <c r="P3" s="2010"/>
      <c r="Q3" s="2010"/>
      <c r="R3" s="2010"/>
      <c r="S3" s="2010"/>
      <c r="T3" s="2010"/>
      <c r="U3" s="2010"/>
      <c r="V3" s="2010"/>
    </row>
    <row r="4" spans="1:22" ht="14.25">
      <c r="A4" s="258" t="s">
        <v>299</v>
      </c>
      <c r="B4" s="259" t="s">
        <v>300</v>
      </c>
      <c r="C4" s="260" t="s">
        <v>3131</v>
      </c>
      <c r="D4" s="260" t="s">
        <v>3132</v>
      </c>
      <c r="E4" s="3500" t="s">
        <v>301</v>
      </c>
      <c r="F4" s="3542"/>
      <c r="G4" s="3542"/>
      <c r="H4" s="3542"/>
      <c r="I4" s="3501"/>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529" t="s">
        <v>302</v>
      </c>
      <c r="B5" s="3530">
        <v>25</v>
      </c>
      <c r="C5" s="3538"/>
      <c r="D5" s="3541"/>
      <c r="E5" s="261" t="s">
        <v>303</v>
      </c>
      <c r="F5" s="262"/>
      <c r="G5" s="262"/>
      <c r="H5" s="262"/>
      <c r="I5" s="263"/>
      <c r="J5" s="2011"/>
      <c r="K5" s="2010"/>
      <c r="L5" s="2010"/>
      <c r="M5" s="2010"/>
      <c r="N5" s="2010"/>
      <c r="O5" s="2010"/>
      <c r="P5" s="2010"/>
      <c r="Q5" s="2010"/>
      <c r="R5" s="2010"/>
      <c r="S5" s="2010"/>
      <c r="T5" s="2010"/>
      <c r="U5" s="2010"/>
      <c r="V5" s="2010"/>
    </row>
    <row r="6" spans="1:22" ht="14.25">
      <c r="A6" s="3529"/>
      <c r="B6" s="3530"/>
      <c r="C6" s="3539"/>
      <c r="D6" s="3541"/>
      <c r="E6" s="261" t="s">
        <v>304</v>
      </c>
      <c r="F6" s="262"/>
      <c r="G6" s="262"/>
      <c r="H6" s="262"/>
      <c r="I6" s="263"/>
      <c r="J6" s="2011"/>
      <c r="K6" s="2010"/>
      <c r="L6" s="2010"/>
      <c r="M6" s="2010"/>
      <c r="N6" s="2010"/>
      <c r="O6" s="2010"/>
      <c r="P6" s="2010"/>
      <c r="Q6" s="2010"/>
      <c r="R6" s="2010"/>
      <c r="S6" s="2010"/>
      <c r="T6" s="2010"/>
      <c r="U6" s="2010"/>
      <c r="V6" s="2010"/>
    </row>
    <row r="7" spans="1:22" ht="14.25">
      <c r="A7" s="3529"/>
      <c r="B7" s="3530"/>
      <c r="C7" s="3540"/>
      <c r="D7" s="3541"/>
      <c r="E7" s="261" t="s">
        <v>305</v>
      </c>
      <c r="F7" s="262"/>
      <c r="G7" s="262"/>
      <c r="H7" s="262"/>
      <c r="I7" s="263"/>
      <c r="J7" s="2011"/>
      <c r="K7" s="2010"/>
      <c r="L7" s="2010"/>
      <c r="M7" s="2010"/>
      <c r="N7" s="2010"/>
      <c r="O7" s="2010"/>
      <c r="P7" s="2010"/>
      <c r="Q7" s="2010"/>
      <c r="R7" s="2010"/>
      <c r="S7" s="2010"/>
      <c r="T7" s="2010"/>
      <c r="U7" s="2010"/>
      <c r="V7" s="2010"/>
    </row>
    <row r="8" spans="1:22" ht="14.25">
      <c r="A8" s="3529" t="s">
        <v>306</v>
      </c>
      <c r="B8" s="3530">
        <v>15</v>
      </c>
      <c r="C8" s="3538"/>
      <c r="D8" s="3541"/>
      <c r="E8" s="261" t="s">
        <v>307</v>
      </c>
      <c r="F8" s="262"/>
      <c r="G8" s="262"/>
      <c r="H8" s="262"/>
      <c r="I8" s="263"/>
      <c r="J8" s="2011"/>
      <c r="K8" s="2010"/>
      <c r="L8" s="2010"/>
      <c r="M8" s="2010"/>
      <c r="N8" s="2010"/>
      <c r="O8" s="2010"/>
      <c r="P8" s="2010"/>
      <c r="Q8" s="2010"/>
      <c r="R8" s="2010"/>
      <c r="S8" s="2010"/>
      <c r="T8" s="2010"/>
      <c r="U8" s="2010"/>
      <c r="V8" s="2010"/>
    </row>
    <row r="9" spans="1:22" ht="14.25">
      <c r="A9" s="3529"/>
      <c r="B9" s="3530"/>
      <c r="C9" s="3540"/>
      <c r="D9" s="3541"/>
      <c r="E9" s="261" t="s">
        <v>308</v>
      </c>
      <c r="F9" s="262"/>
      <c r="G9" s="262"/>
      <c r="H9" s="262"/>
      <c r="I9" s="263"/>
      <c r="J9" s="2011"/>
      <c r="K9" s="2010"/>
      <c r="L9" s="2010"/>
      <c r="M9" s="2010"/>
      <c r="N9" s="2010"/>
      <c r="O9" s="2010"/>
      <c r="P9" s="2010"/>
      <c r="Q9" s="2010"/>
      <c r="R9" s="2010"/>
      <c r="S9" s="2010"/>
      <c r="T9" s="2010"/>
      <c r="U9" s="2010"/>
      <c r="V9" s="2010"/>
    </row>
    <row r="10" spans="1:22" ht="14.25">
      <c r="A10" s="3529" t="s">
        <v>309</v>
      </c>
      <c r="B10" s="3530">
        <v>15</v>
      </c>
      <c r="C10" s="3538"/>
      <c r="D10" s="3541"/>
      <c r="E10" s="261" t="s">
        <v>310</v>
      </c>
      <c r="F10" s="262"/>
      <c r="G10" s="262"/>
      <c r="H10" s="262"/>
      <c r="I10" s="263"/>
      <c r="J10" s="2011"/>
      <c r="K10" s="2010"/>
      <c r="L10" s="2010"/>
      <c r="M10" s="2010"/>
      <c r="N10" s="2010"/>
      <c r="O10" s="2010"/>
      <c r="P10" s="2010"/>
      <c r="Q10" s="2010"/>
      <c r="R10" s="2010"/>
      <c r="S10" s="2010"/>
      <c r="T10" s="2010"/>
      <c r="U10" s="2010"/>
      <c r="V10" s="2010"/>
    </row>
    <row r="11" spans="1:22" ht="14.25">
      <c r="A11" s="3529"/>
      <c r="B11" s="3530"/>
      <c r="C11" s="3540"/>
      <c r="D11" s="3541"/>
      <c r="E11" s="261" t="s">
        <v>311</v>
      </c>
      <c r="F11" s="262"/>
      <c r="G11" s="262"/>
      <c r="H11" s="262"/>
      <c r="I11" s="263"/>
      <c r="J11" s="2011"/>
      <c r="K11" s="2010"/>
      <c r="L11" s="2010"/>
      <c r="M11" s="2010"/>
      <c r="N11" s="2010"/>
      <c r="O11" s="2010"/>
      <c r="P11" s="2010"/>
      <c r="Q11" s="2010"/>
      <c r="R11" s="2010"/>
      <c r="S11" s="2010"/>
      <c r="T11" s="2010"/>
      <c r="U11" s="2010"/>
      <c r="V11" s="2010"/>
    </row>
    <row r="12" spans="1:22" ht="14.25">
      <c r="A12" s="3529" t="s">
        <v>312</v>
      </c>
      <c r="B12" s="3530">
        <v>15</v>
      </c>
      <c r="C12" s="3538"/>
      <c r="D12" s="3541"/>
      <c r="E12" s="261" t="s">
        <v>313</v>
      </c>
      <c r="F12" s="262"/>
      <c r="G12" s="262"/>
      <c r="H12" s="262"/>
      <c r="I12" s="263"/>
      <c r="J12" s="2011"/>
      <c r="K12" s="2010"/>
      <c r="L12" s="2010"/>
      <c r="M12" s="2010"/>
      <c r="N12" s="2010"/>
      <c r="O12" s="2010"/>
      <c r="P12" s="2010"/>
      <c r="Q12" s="2010"/>
      <c r="R12" s="2010"/>
      <c r="S12" s="2010"/>
      <c r="T12" s="2010"/>
      <c r="U12" s="2010"/>
      <c r="V12" s="2010"/>
    </row>
    <row r="13" spans="1:22" ht="14.25">
      <c r="A13" s="3529"/>
      <c r="B13" s="3530"/>
      <c r="C13" s="3540"/>
      <c r="D13" s="3541"/>
      <c r="E13" s="261" t="s">
        <v>314</v>
      </c>
      <c r="F13" s="262"/>
      <c r="G13" s="262"/>
      <c r="H13" s="262"/>
      <c r="I13" s="263"/>
      <c r="J13" s="2011"/>
      <c r="K13" s="2010"/>
      <c r="L13" s="2010"/>
      <c r="M13" s="2010"/>
      <c r="N13" s="2010"/>
      <c r="O13" s="2010"/>
      <c r="P13" s="2010"/>
      <c r="Q13" s="2010"/>
      <c r="R13" s="2010"/>
      <c r="S13" s="2010"/>
      <c r="T13" s="2010"/>
      <c r="U13" s="2010"/>
      <c r="V13" s="2010"/>
    </row>
    <row r="14" spans="1:22" ht="14.25">
      <c r="A14" s="3529" t="s">
        <v>315</v>
      </c>
      <c r="B14" s="3530">
        <v>30</v>
      </c>
      <c r="C14" s="3538">
        <v>4</v>
      </c>
      <c r="D14" s="3541">
        <v>6</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529"/>
      <c r="B15" s="3530"/>
      <c r="C15" s="3539"/>
      <c r="D15" s="3541"/>
      <c r="E15" s="261" t="s">
        <v>317</v>
      </c>
      <c r="F15" s="262"/>
      <c r="G15" s="262"/>
      <c r="H15" s="262"/>
      <c r="I15" s="263"/>
      <c r="J15" s="2011"/>
      <c r="K15" s="2010"/>
      <c r="L15" s="2010"/>
      <c r="M15" s="2010"/>
      <c r="N15" s="2010"/>
      <c r="O15" s="2010"/>
      <c r="P15" s="2010"/>
      <c r="Q15" s="2010"/>
      <c r="R15" s="2010"/>
      <c r="S15" s="2010"/>
      <c r="T15" s="2010"/>
      <c r="U15" s="2010"/>
      <c r="V15" s="2010"/>
    </row>
    <row r="16" spans="1:22" ht="14.25">
      <c r="A16" s="3529"/>
      <c r="B16" s="3530"/>
      <c r="C16" s="3540"/>
      <c r="D16" s="3541"/>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4</v>
      </c>
      <c r="D17" s="265">
        <f>SUM(D5:D16)</f>
        <v>6</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0.4</v>
      </c>
      <c r="D18" s="267">
        <f>1-C18</f>
        <v>0.6</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156145</v>
      </c>
      <c r="D19" s="271">
        <f ca="1">SUMIF(INDIRECT("'"&amp;D4&amp;"'"&amp;"!A:A"),结果表!B19,INDIRECT("'"&amp;D4&amp;"'"&amp;"!B:B"))</f>
        <v>245682</v>
      </c>
      <c r="E19" s="268" t="s">
        <v>323</v>
      </c>
      <c r="F19" s="269" t="s">
        <v>322</v>
      </c>
      <c r="G19" s="272">
        <f ca="1">ROUND(C19*$C$18+D19*$D$18,0)</f>
        <v>209867</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1974</v>
      </c>
      <c r="D20" s="277">
        <f ca="1">SUMIF(INDIRECT("'"&amp;D4&amp;"'"&amp;"!A:A"),结果表!B20,INDIRECT("'"&amp;D4&amp;"'"&amp;"!B:B"))</f>
        <v>3106</v>
      </c>
      <c r="E20" s="274"/>
      <c r="F20" s="275" t="s">
        <v>325</v>
      </c>
      <c r="G20" s="278">
        <f ca="1">ROUND(C20*$C$18+D20*$D$18,0)</f>
        <v>2653</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4454</v>
      </c>
      <c r="D21" s="151">
        <f ca="1">SUMIF(INDIRECT("'"&amp;D4&amp;"'"&amp;"!A:A"),结果表!B21,INDIRECT("'"&amp;D4&amp;"'"&amp;"!B:B"))</f>
        <v>7008</v>
      </c>
      <c r="E21" s="274"/>
      <c r="F21" s="280" t="s">
        <v>327</v>
      </c>
      <c r="G21" s="282">
        <f ca="1">ROUND(C21*$C$18+D21*$D$18,0)</f>
        <v>5986</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0.5734221396778636</v>
      </c>
      <c r="E22" s="284"/>
      <c r="F22" s="285"/>
      <c r="G22" s="286">
        <f ca="1">ROUND(G19/('数据-汇总表'!D3/666.67),0)</f>
        <v>399</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502"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544"/>
      <c r="B25" s="1316" t="s">
        <v>331</v>
      </c>
      <c r="C25" s="290">
        <f>IF(B30=0,0,C30)</f>
        <v>0</v>
      </c>
      <c r="D25" s="291"/>
      <c r="E25" s="311"/>
      <c r="F25" s="311"/>
      <c r="G25" s="311"/>
      <c r="H25" s="311"/>
      <c r="I25" s="311"/>
      <c r="J25" s="2010"/>
      <c r="K25" s="1250" t="str">
        <f ca="1">项目基本情况!B16&amp;"国有建设用地使用权价格："&amp;O38&amp;"万元"</f>
        <v>出让国有建设用地使用权价格：209867万元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大写金额：人民币贰拾亿玖仟捌佰陆拾柒万元整</v>
      </c>
      <c r="L26" s="1247"/>
      <c r="M26" s="1247"/>
      <c r="N26" s="1247"/>
      <c r="O26" s="1246"/>
      <c r="P26" s="2010"/>
      <c r="Q26" s="2010"/>
      <c r="R26" s="2010"/>
      <c r="S26" s="2010"/>
      <c r="T26" s="2010"/>
      <c r="U26" s="2010"/>
      <c r="V26" s="2010"/>
      <c r="W26" s="292"/>
      <c r="X26" s="292"/>
      <c r="Y26" s="292"/>
      <c r="Z26" s="292"/>
    </row>
    <row r="27" spans="1:26" ht="18">
      <c r="A27" s="293"/>
      <c r="B27" s="294"/>
      <c r="C27" s="294"/>
      <c r="D27" s="295">
        <f ca="1">G19*10000/'数据-汇总表'!F31</f>
        <v>4276.0779896705981</v>
      </c>
      <c r="E27" s="311"/>
      <c r="F27" s="311"/>
      <c r="G27" s="311"/>
      <c r="H27" s="311"/>
      <c r="I27" s="311"/>
      <c r="J27" s="2010"/>
      <c r="K27" s="1253" t="str">
        <f ca="1">"单位面积地价："&amp;M38&amp;"元/平方米"</f>
        <v>单位面积地价：5986元/平方米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楼面地价：2653元/平方米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抵押价格：209867万元</v>
      </c>
      <c r="L29" s="1247"/>
      <c r="M29" s="1247"/>
      <c r="N29" s="1247"/>
      <c r="O29" s="1246"/>
      <c r="P29" s="2010"/>
      <c r="V29" s="2010"/>
    </row>
    <row r="30" spans="1:26" ht="18.75" thickBot="1">
      <c r="A30" s="3076" t="s">
        <v>336</v>
      </c>
      <c r="B30" s="309"/>
      <c r="C30" s="309"/>
      <c r="D30" s="310"/>
      <c r="E30" s="3077" t="s">
        <v>2961</v>
      </c>
      <c r="F30" s="311"/>
      <c r="G30" s="311"/>
      <c r="H30" s="311"/>
      <c r="I30" s="311"/>
      <c r="J30" s="2010"/>
      <c r="K30" s="1253" t="str">
        <f ca="1">IF(K29="——","——","大写金额：人民币"&amp;NUMBERSTRING(INT(O39*10000),2)&amp;"元整")</f>
        <v>大写金额：人民币贰拾亿玖仟捌佰陆拾柒万元整</v>
      </c>
      <c r="L30" s="1247"/>
      <c r="M30" s="1247"/>
      <c r="N30" s="1247"/>
      <c r="O30" s="1246"/>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75" thickBot="1">
      <c r="A32" s="268" t="s">
        <v>337</v>
      </c>
      <c r="B32" s="1375" t="s">
        <v>1688</v>
      </c>
      <c r="C32" s="1376">
        <f ca="1">G19-C24</f>
        <v>209867</v>
      </c>
      <c r="D32" s="1377" t="s">
        <v>1689</v>
      </c>
      <c r="E32" s="311"/>
      <c r="F32" s="311"/>
      <c r="G32" s="311"/>
      <c r="H32" s="311"/>
      <c r="I32" s="311"/>
      <c r="J32" s="2010"/>
      <c r="K32" s="2424" t="str">
        <f>IF(K31="——","——","大写金额：人民币"&amp;NUMBERSTRING(INT(O40*10000),2)&amp;"元整")</f>
        <v>——</v>
      </c>
      <c r="L32" s="2427"/>
      <c r="M32" s="2427"/>
      <c r="N32" s="2427"/>
      <c r="O32" s="2428"/>
      <c r="P32" s="2010"/>
      <c r="V32" s="2010"/>
    </row>
    <row r="33" spans="1:26" ht="18.75" thickBot="1">
      <c r="A33" s="298" t="s">
        <v>340</v>
      </c>
      <c r="B33" s="1378" t="s">
        <v>1690</v>
      </c>
      <c r="C33" s="264">
        <f ca="1">ROUND(C32*10000/'数据-汇总表'!E3,0)</f>
        <v>2653</v>
      </c>
      <c r="D33" s="1379" t="s">
        <v>1691</v>
      </c>
      <c r="E33" s="3502" t="s">
        <v>338</v>
      </c>
      <c r="F33" s="296" t="s">
        <v>339</v>
      </c>
      <c r="G33" s="297"/>
      <c r="H33" s="979"/>
      <c r="I33" s="1254"/>
      <c r="J33" s="2010"/>
      <c r="K33" s="1253" t="str">
        <f>IF(项目基本情况!E9="——","——","抵押净值："&amp;C46&amp;"万元")</f>
        <v>——</v>
      </c>
      <c r="L33" s="1247"/>
      <c r="M33" s="1247"/>
      <c r="N33" s="1247"/>
      <c r="O33" s="1246"/>
      <c r="P33" s="2010"/>
      <c r="V33" s="2010"/>
    </row>
    <row r="34" spans="1:26" s="1249" customFormat="1" ht="18.75" thickBot="1">
      <c r="A34" s="300"/>
      <c r="B34" s="1380" t="s">
        <v>1692</v>
      </c>
      <c r="C34" s="264">
        <f ca="1">ROUND(C32*10000/'数据-汇总表'!D3,0)</f>
        <v>5986</v>
      </c>
      <c r="D34" s="1381" t="s">
        <v>1691</v>
      </c>
      <c r="E34" s="3503"/>
      <c r="F34" s="127" t="s">
        <v>341</v>
      </c>
      <c r="G34" s="299"/>
      <c r="H34" s="105"/>
      <c r="I34" s="311"/>
      <c r="J34" s="2010"/>
      <c r="K34" s="1256" t="str">
        <f>IF(K33="——","——","大写金额：人民币"&amp;NUMBERSTRING(INT(O41*10000),2)&amp;"元整")</f>
        <v>——</v>
      </c>
      <c r="L34" s="1257"/>
      <c r="M34" s="1257"/>
      <c r="N34" s="1257"/>
      <c r="O34" s="1258"/>
      <c r="P34" s="2010"/>
      <c r="Q34" s="292"/>
      <c r="R34" s="292"/>
      <c r="S34" s="292"/>
      <c r="T34" s="292"/>
      <c r="U34" s="292"/>
      <c r="V34" s="2010"/>
      <c r="W34" s="292"/>
      <c r="X34" s="292"/>
      <c r="Y34" s="292"/>
      <c r="Z34" s="292"/>
    </row>
    <row r="35" spans="1:26" ht="15.75" thickBot="1">
      <c r="A35" s="284"/>
      <c r="B35" s="1382"/>
      <c r="C35" s="1383">
        <f ca="1">ROUND(C32/('数据-汇总表'!D3/666.67),0)</f>
        <v>399</v>
      </c>
      <c r="D35" s="1384" t="s">
        <v>1693</v>
      </c>
      <c r="E35" s="3504"/>
      <c r="F35" s="301" t="s">
        <v>342</v>
      </c>
      <c r="G35" s="981"/>
      <c r="H35" s="980" t="s">
        <v>343</v>
      </c>
      <c r="I35" s="311"/>
      <c r="J35" s="2010"/>
      <c r="K35" s="3508" t="s">
        <v>350</v>
      </c>
      <c r="L35" s="3508" t="s">
        <v>351</v>
      </c>
      <c r="M35" s="1259" t="s">
        <v>352</v>
      </c>
      <c r="N35" s="3508" t="s">
        <v>353</v>
      </c>
      <c r="O35" s="3508" t="s">
        <v>354</v>
      </c>
      <c r="P35" s="2010"/>
      <c r="V35" s="2010"/>
    </row>
    <row r="36" spans="1:26" ht="16.5" customHeight="1">
      <c r="A36" s="303" t="s">
        <v>344</v>
      </c>
      <c r="B36" s="304" t="s">
        <v>333</v>
      </c>
      <c r="C36" s="305" t="s">
        <v>345</v>
      </c>
      <c r="D36" s="305" t="s">
        <v>346</v>
      </c>
      <c r="E36" s="306" t="s">
        <v>347</v>
      </c>
      <c r="F36" s="311"/>
      <c r="G36" s="311"/>
      <c r="H36" s="311"/>
      <c r="I36" s="311"/>
      <c r="J36" s="2012"/>
      <c r="K36" s="3509"/>
      <c r="L36" s="3509"/>
      <c r="M36" s="1261" t="s">
        <v>355</v>
      </c>
      <c r="N36" s="3509"/>
      <c r="O36" s="3509"/>
      <c r="P36" s="2010"/>
      <c r="V36" s="2010"/>
    </row>
    <row r="37" spans="1:26" ht="16.5" customHeight="1" thickBot="1">
      <c r="A37" s="1255" t="s">
        <v>348</v>
      </c>
      <c r="B37" s="307"/>
      <c r="C37" s="294"/>
      <c r="D37" s="294"/>
      <c r="E37" s="295"/>
      <c r="F37" s="311"/>
      <c r="G37" s="311"/>
      <c r="H37" s="311"/>
      <c r="I37" s="311"/>
      <c r="J37" s="2012"/>
      <c r="K37" s="3510"/>
      <c r="L37" s="3510"/>
      <c r="M37" s="1262"/>
      <c r="N37" s="3510"/>
      <c r="O37" s="3510"/>
      <c r="P37" s="2010"/>
      <c r="V37" s="2010"/>
    </row>
    <row r="38" spans="1:26" ht="16.5" customHeight="1" thickBot="1">
      <c r="A38" s="1255" t="s">
        <v>349</v>
      </c>
      <c r="B38" s="307"/>
      <c r="C38" s="294"/>
      <c r="D38" s="294"/>
      <c r="E38" s="295"/>
      <c r="F38" s="311"/>
      <c r="G38" s="311"/>
      <c r="H38" s="311"/>
      <c r="I38" s="311"/>
      <c r="J38" s="2012"/>
      <c r="K38" s="1263">
        <f>'数据-汇总表'!D3</f>
        <v>350568.67</v>
      </c>
      <c r="L38" s="1264">
        <f>'数据-汇总表'!E3</f>
        <v>790993.2</v>
      </c>
      <c r="M38" s="1264">
        <f ca="1">C34</f>
        <v>5986</v>
      </c>
      <c r="N38" s="1264">
        <f ca="1">C33</f>
        <v>2653</v>
      </c>
      <c r="O38" s="1265">
        <f ca="1">C32</f>
        <v>209867</v>
      </c>
      <c r="P38" s="2010"/>
      <c r="V38" s="2010"/>
    </row>
    <row r="39" spans="1:26" ht="16.5" customHeight="1" thickBot="1">
      <c r="A39" s="1260"/>
      <c r="B39" s="308"/>
      <c r="C39" s="309"/>
      <c r="D39" s="309"/>
      <c r="E39" s="310"/>
      <c r="F39" s="311"/>
      <c r="G39" s="311"/>
      <c r="H39" s="311"/>
      <c r="I39" s="311"/>
      <c r="J39" s="2012"/>
      <c r="K39" s="3485" t="str">
        <f>MID(A44,3,LEN(A44)-2)</f>
        <v>抵押价格</v>
      </c>
      <c r="L39" s="3486"/>
      <c r="M39" s="3486"/>
      <c r="N39" s="3487"/>
      <c r="O39" s="1386">
        <f ca="1">C44</f>
        <v>209867</v>
      </c>
      <c r="P39" s="2010"/>
      <c r="V39" s="2010"/>
    </row>
    <row r="40" spans="1:26" ht="19.5" thickBot="1">
      <c r="A40" s="104" t="s">
        <v>873</v>
      </c>
      <c r="B40" s="311"/>
      <c r="C40" s="311"/>
      <c r="D40" s="311"/>
      <c r="E40" s="311"/>
      <c r="F40" s="311"/>
      <c r="G40" s="311"/>
      <c r="H40" s="311"/>
      <c r="I40" s="311"/>
      <c r="J40" s="2012"/>
      <c r="K40" s="3485" t="str">
        <f t="shared" ref="K40:K41" si="0">MID(A45,3,LEN(A45)-2)</f>
        <v/>
      </c>
      <c r="L40" s="3486"/>
      <c r="M40" s="3486"/>
      <c r="N40" s="3487"/>
      <c r="O40" s="1386" t="str">
        <f>C45</f>
        <v>——</v>
      </c>
      <c r="P40" s="2010"/>
      <c r="V40" s="2010"/>
    </row>
    <row r="41" spans="1:26" ht="16.5" thickBot="1">
      <c r="A41" s="312" t="s">
        <v>356</v>
      </c>
      <c r="B41" s="313"/>
      <c r="C41" s="314" t="s">
        <v>357</v>
      </c>
      <c r="D41" s="315" t="s">
        <v>358</v>
      </c>
      <c r="E41" s="315" t="s">
        <v>359</v>
      </c>
      <c r="F41" s="316" t="s">
        <v>360</v>
      </c>
      <c r="G41" s="311"/>
      <c r="H41" s="311"/>
      <c r="I41" s="311"/>
      <c r="J41" s="2012"/>
      <c r="K41" s="3485" t="str">
        <f t="shared" si="0"/>
        <v/>
      </c>
      <c r="L41" s="3486"/>
      <c r="M41" s="3486"/>
      <c r="N41" s="3487"/>
      <c r="O41" s="1386" t="str">
        <f>C46</f>
        <v>——</v>
      </c>
      <c r="P41" s="2010"/>
      <c r="V41" s="2010"/>
    </row>
    <row r="42" spans="1:26" ht="29.25">
      <c r="A42" s="3545" t="s">
        <v>2065</v>
      </c>
      <c r="B42" s="3546"/>
      <c r="C42" s="264">
        <f ca="1">C32</f>
        <v>209867</v>
      </c>
      <c r="D42" s="317">
        <f ca="1">C33</f>
        <v>2653</v>
      </c>
      <c r="E42" s="317">
        <f ca="1">C34</f>
        <v>5986</v>
      </c>
      <c r="F42" s="318">
        <f ca="1">C35</f>
        <v>399</v>
      </c>
      <c r="G42" s="311"/>
      <c r="H42" s="311"/>
      <c r="I42" s="319"/>
      <c r="J42" s="2012"/>
      <c r="K42" s="1266" t="s">
        <v>361</v>
      </c>
      <c r="L42" s="2029" t="s">
        <v>362</v>
      </c>
      <c r="M42" s="1267" t="s">
        <v>363</v>
      </c>
      <c r="N42" s="2030" t="s">
        <v>364</v>
      </c>
      <c r="O42" s="2031" t="s">
        <v>365</v>
      </c>
      <c r="P42" s="2010"/>
      <c r="V42" s="2010"/>
    </row>
    <row r="43" spans="1:26" ht="30">
      <c r="A43" s="3555" t="s">
        <v>2726</v>
      </c>
      <c r="B43" s="3556"/>
      <c r="C43" s="264">
        <f>IF(H33="正常操作",G33+G34+G35,G34+G35)</f>
        <v>0</v>
      </c>
      <c r="D43" s="317" t="s">
        <v>43</v>
      </c>
      <c r="E43" s="317" t="s">
        <v>44</v>
      </c>
      <c r="F43" s="318" t="s">
        <v>44</v>
      </c>
      <c r="G43" s="2818" t="s">
        <v>952</v>
      </c>
      <c r="H43" s="311"/>
      <c r="I43" s="319"/>
      <c r="J43" s="2012"/>
      <c r="K43" s="1268" t="str">
        <f>C4</f>
        <v>比较法-住宅、综合</v>
      </c>
      <c r="L43" s="1269">
        <f ca="1">IF(L42="估价结果/万元",C19,C20)</f>
        <v>156145</v>
      </c>
      <c r="M43" s="1270">
        <f>C18</f>
        <v>0.4</v>
      </c>
      <c r="N43" s="1271">
        <f ca="1">IF(N42="测算结果/万元",G19,G20)</f>
        <v>209867</v>
      </c>
      <c r="O43" s="1272">
        <f ca="1">IF(O42="最终结果/万元",C32,C33)</f>
        <v>209867</v>
      </c>
      <c r="P43" s="2010"/>
      <c r="V43" s="2010"/>
    </row>
    <row r="44" spans="1:26" ht="30.75" thickBot="1">
      <c r="A44" s="3545" t="str">
        <f>IF(OR(项目基本情况!E8="抵押价格",项目基本情况!E8="已注销及未注销"),"3.抵押价格","——")</f>
        <v>3.抵押价格</v>
      </c>
      <c r="B44" s="3546"/>
      <c r="C44" s="264">
        <f ca="1">IF(A44="——","——",C42-C43)</f>
        <v>209867</v>
      </c>
      <c r="D44" s="317">
        <f ca="1">ROUND(C44*10000/'数据-汇总表'!E3,0)</f>
        <v>2653</v>
      </c>
      <c r="E44" s="317">
        <f ca="1">ROUND(C44*10000/'数据-汇总表'!D3,0)</f>
        <v>5986</v>
      </c>
      <c r="F44" s="318">
        <f ca="1">ROUND(C44/('数据-汇总表'!D3/666.67),0)</f>
        <v>399</v>
      </c>
      <c r="G44" s="311"/>
      <c r="H44" s="311"/>
      <c r="I44" s="319"/>
      <c r="J44" s="2012"/>
      <c r="K44" s="1273" t="str">
        <f>D4</f>
        <v>剩余法-待开发</v>
      </c>
      <c r="L44" s="1274">
        <f ca="1">IF(L42="估价结果/万元",D19,D20)</f>
        <v>245682</v>
      </c>
      <c r="M44" s="1275">
        <f>D18</f>
        <v>0.6</v>
      </c>
      <c r="N44" s="1276"/>
      <c r="O44" s="1277"/>
      <c r="P44" s="2010"/>
      <c r="V44" s="2010"/>
    </row>
    <row r="45" spans="1:26" ht="15">
      <c r="A45" s="3550" t="str">
        <f>IF(项目基本情况!E8="已注销及未注销","4.抵押担保权已注销时的抵押价格",IF(项目基本情况!E8="已注销","3.抵押担保权已注销时的抵押价格","——"))</f>
        <v>——</v>
      </c>
      <c r="B45" s="3551"/>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547" t="str">
        <f>IF(项目基本情况!E9="抵押净值",IF(A45="——","4.抵押净值","5.抵押净值"),"——")</f>
        <v>——</v>
      </c>
      <c r="B46" s="3548"/>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513" t="s">
        <v>374</v>
      </c>
      <c r="B63" s="3514"/>
      <c r="C63" s="3515"/>
      <c r="D63" s="341">
        <f ca="1">ROUND(C42*F63,0)</f>
        <v>125920</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552" t="s">
        <v>378</v>
      </c>
      <c r="B64" s="3553"/>
      <c r="C64" s="3553"/>
      <c r="D64" s="3553"/>
      <c r="E64" s="3553"/>
      <c r="F64" s="3553"/>
      <c r="G64" s="3554"/>
      <c r="H64" s="1283"/>
      <c r="I64" s="947"/>
      <c r="J64" s="1972"/>
      <c r="K64" s="1544"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7"/>
      <c r="J65" s="1972"/>
      <c r="K65" s="1284"/>
      <c r="L65" s="1285"/>
      <c r="M65" s="1285"/>
      <c r="N65" s="1317" t="s">
        <v>379</v>
      </c>
      <c r="O65" s="1318"/>
      <c r="P65" s="1319"/>
      <c r="Q65" s="2010"/>
      <c r="R65" s="2010"/>
      <c r="S65" s="2010"/>
      <c r="T65" s="2010"/>
      <c r="U65" s="2010"/>
      <c r="V65" s="2010"/>
    </row>
    <row r="66" spans="1:22" ht="25.5">
      <c r="A66" s="3549" t="s">
        <v>386</v>
      </c>
      <c r="B66" s="3520"/>
      <c r="C66" s="3520"/>
      <c r="D66" s="261">
        <f ca="1">IF(H66="情况1",0,IF(H66="情况2",D70,IF(H66="情况3",D71,IF(H66="情况4",D72))))</f>
        <v>6596</v>
      </c>
      <c r="E66" s="992" t="str">
        <f>IF(H66="情况4","(销售额-原购置价)×税（费）率","销售额×税（费）率")</f>
        <v>销售额×税（费）率</v>
      </c>
      <c r="F66" s="350">
        <f>IF(H66="情况1","免征",'数据-取费表'!B41)</f>
        <v>5.5000000000000007E-2</v>
      </c>
      <c r="G66" s="351" t="s">
        <v>387</v>
      </c>
      <c r="H66" s="191" t="s">
        <v>388</v>
      </c>
      <c r="I66" s="1283"/>
      <c r="J66" s="2016"/>
      <c r="K66" s="1286">
        <v>1</v>
      </c>
      <c r="L66" s="3489" t="s">
        <v>385</v>
      </c>
      <c r="M66" s="3490"/>
      <c r="N66" s="2419"/>
      <c r="O66" s="2420"/>
      <c r="P66" s="2421"/>
      <c r="Q66" s="2010"/>
      <c r="R66" s="2010"/>
      <c r="S66" s="2010"/>
      <c r="T66" s="2010"/>
      <c r="U66" s="2010"/>
      <c r="V66" s="2010"/>
    </row>
    <row r="67" spans="1:22" ht="25.5" customHeight="1">
      <c r="A67" s="352" t="s">
        <v>390</v>
      </c>
      <c r="B67" s="3532" t="s">
        <v>391</v>
      </c>
      <c r="C67" s="3532"/>
      <c r="D67" s="353">
        <v>0</v>
      </c>
      <c r="E67" s="41" t="s">
        <v>392</v>
      </c>
      <c r="F67" s="62" t="s">
        <v>21</v>
      </c>
      <c r="G67" s="3516"/>
      <c r="H67" s="311"/>
      <c r="I67" s="1287"/>
      <c r="J67" s="2017"/>
      <c r="K67" s="1958">
        <v>2</v>
      </c>
      <c r="L67" s="3488" t="s">
        <v>389</v>
      </c>
      <c r="M67" s="3488"/>
      <c r="N67" s="1320">
        <f>'数据-取费表'!B2</f>
        <v>43763</v>
      </c>
      <c r="O67" s="1320"/>
      <c r="P67" s="1320"/>
      <c r="Q67" s="2010"/>
      <c r="R67" s="2010"/>
      <c r="S67" s="2010"/>
      <c r="T67" s="2010"/>
      <c r="U67" s="2010"/>
      <c r="V67" s="2010"/>
    </row>
    <row r="68" spans="1:22" ht="25.5" customHeight="1">
      <c r="A68" s="354"/>
      <c r="B68" s="3532" t="s">
        <v>394</v>
      </c>
      <c r="C68" s="3532"/>
      <c r="D68" s="355"/>
      <c r="E68" s="77"/>
      <c r="F68" s="356"/>
      <c r="G68" s="3517"/>
      <c r="H68" s="311"/>
      <c r="I68" s="1287"/>
      <c r="J68" s="2017"/>
      <c r="K68" s="1958">
        <v>3</v>
      </c>
      <c r="L68" s="3488" t="s">
        <v>393</v>
      </c>
      <c r="M68" s="3488"/>
      <c r="N68" s="1288">
        <f ca="1">C42</f>
        <v>209867</v>
      </c>
      <c r="O68" s="1288"/>
      <c r="P68" s="1288"/>
      <c r="Q68" s="2010"/>
      <c r="R68" s="2010"/>
      <c r="S68" s="2010"/>
      <c r="T68" s="2010"/>
      <c r="U68" s="2010"/>
      <c r="V68" s="2010"/>
    </row>
    <row r="69" spans="1:22" ht="12" customHeight="1">
      <c r="A69" s="357"/>
      <c r="B69" s="3532" t="s">
        <v>395</v>
      </c>
      <c r="C69" s="3532"/>
      <c r="D69" s="358"/>
      <c r="E69" s="73"/>
      <c r="F69" s="356"/>
      <c r="G69" s="3518"/>
      <c r="H69" s="311"/>
      <c r="I69" s="1287"/>
      <c r="J69" s="2017"/>
      <c r="K69" s="1289">
        <v>4</v>
      </c>
      <c r="L69" s="3494" t="s">
        <v>2879</v>
      </c>
      <c r="M69" s="3495"/>
      <c r="N69" s="1290">
        <f ca="1">C44</f>
        <v>209867</v>
      </c>
      <c r="O69" s="1290"/>
      <c r="P69" s="1290"/>
      <c r="Q69" s="2010"/>
      <c r="R69" s="2010"/>
      <c r="S69" s="2010"/>
      <c r="T69" s="2010"/>
      <c r="U69" s="2010"/>
      <c r="V69" s="2010"/>
    </row>
    <row r="70" spans="1:22" ht="24" customHeight="1">
      <c r="A70" s="359" t="s">
        <v>396</v>
      </c>
      <c r="B70" s="3532" t="s">
        <v>397</v>
      </c>
      <c r="C70" s="3532"/>
      <c r="D70" s="358">
        <f ca="1">ROUND(D63*'数据-取费表'!B41/(1+'数据-取费表'!C42),0)</f>
        <v>6596</v>
      </c>
      <c r="E70" s="17" t="s">
        <v>398</v>
      </c>
      <c r="F70" s="360">
        <f>'数据-取费表'!B41</f>
        <v>5.5000000000000007E-2</v>
      </c>
      <c r="G70" s="361"/>
      <c r="H70" s="311"/>
      <c r="I70" s="1287"/>
      <c r="J70" s="2017"/>
      <c r="K70" s="3009"/>
      <c r="L70" s="3010"/>
      <c r="M70" s="3010"/>
      <c r="N70" s="3011" t="s">
        <v>2884</v>
      </c>
      <c r="O70" s="3010"/>
      <c r="P70" s="3012"/>
      <c r="Q70" s="2010"/>
      <c r="R70" s="2010"/>
      <c r="S70" s="2010"/>
      <c r="T70" s="2010"/>
      <c r="U70" s="2010"/>
      <c r="V70" s="2010"/>
    </row>
    <row r="71" spans="1:22" ht="12" customHeight="1">
      <c r="A71" s="359" t="s">
        <v>404</v>
      </c>
      <c r="B71" s="3531" t="s">
        <v>405</v>
      </c>
      <c r="C71" s="3543"/>
      <c r="D71" s="358">
        <f ca="1">ROUND(D63*'数据-取费表'!B41/(1+'数据-取费表'!C42),0)</f>
        <v>6596</v>
      </c>
      <c r="E71" s="17" t="s">
        <v>398</v>
      </c>
      <c r="F71" s="360">
        <f>'数据-取费表'!B41</f>
        <v>5.5000000000000007E-2</v>
      </c>
      <c r="G71" s="361"/>
      <c r="H71" s="311"/>
      <c r="I71" s="1287"/>
      <c r="J71" s="2017"/>
      <c r="K71" s="3008" t="s">
        <v>399</v>
      </c>
      <c r="L71" s="3496" t="s">
        <v>400</v>
      </c>
      <c r="M71" s="3496"/>
      <c r="N71" s="3008" t="s">
        <v>401</v>
      </c>
      <c r="O71" s="3008" t="s">
        <v>402</v>
      </c>
      <c r="P71" s="3008" t="s">
        <v>403</v>
      </c>
      <c r="Q71" s="2010"/>
      <c r="R71" s="2010"/>
      <c r="S71" s="2010"/>
      <c r="T71" s="2010"/>
      <c r="U71" s="2010"/>
      <c r="V71" s="2010"/>
    </row>
    <row r="72" spans="1:22" ht="12" customHeight="1">
      <c r="A72" s="359" t="s">
        <v>407</v>
      </c>
      <c r="B72" s="3531" t="s">
        <v>408</v>
      </c>
      <c r="C72" s="3543"/>
      <c r="D72" s="358">
        <f ca="1">C86</f>
        <v>6486</v>
      </c>
      <c r="E72" s="73" t="s">
        <v>409</v>
      </c>
      <c r="F72" s="360">
        <f>'数据-取费表'!B41</f>
        <v>5.5000000000000007E-2</v>
      </c>
      <c r="G72" s="361"/>
      <c r="H72" s="1293"/>
      <c r="I72" s="1287"/>
      <c r="J72" s="2017"/>
      <c r="K72" s="1958">
        <v>1</v>
      </c>
      <c r="L72" s="3493" t="s">
        <v>406</v>
      </c>
      <c r="M72" s="3493"/>
      <c r="N72" s="1291">
        <f ca="1">D66</f>
        <v>6596</v>
      </c>
      <c r="O72" s="1841" t="str">
        <f>E66</f>
        <v>销售额×税（费）率</v>
      </c>
      <c r="P72" s="1292">
        <f>F66</f>
        <v>5.5000000000000007E-2</v>
      </c>
      <c r="Q72" s="2010"/>
      <c r="R72" s="2010"/>
      <c r="S72" s="2010"/>
      <c r="T72" s="2010"/>
      <c r="U72" s="2010"/>
      <c r="V72" s="2010"/>
    </row>
    <row r="73" spans="1:22" ht="24" customHeight="1">
      <c r="A73" s="3519" t="s">
        <v>411</v>
      </c>
      <c r="B73" s="3520"/>
      <c r="C73" s="3520"/>
      <c r="D73" s="362">
        <f>IF(H73="个人住宅",0,ROUND(D63*I73,0))</f>
        <v>0</v>
      </c>
      <c r="E73" s="17" t="s">
        <v>412</v>
      </c>
      <c r="F73" s="360" t="str">
        <f>IF(H73="正常",I73,"免征")</f>
        <v>免征</v>
      </c>
      <c r="G73" s="361"/>
      <c r="H73" s="191" t="s">
        <v>2452</v>
      </c>
      <c r="I73" s="360">
        <f>'数据-取费表'!B49</f>
        <v>5.0000000000000001E-4</v>
      </c>
      <c r="J73" s="2017"/>
      <c r="K73" s="1958">
        <v>2</v>
      </c>
      <c r="L73" s="3493" t="s">
        <v>410</v>
      </c>
      <c r="M73" s="3493"/>
      <c r="N73" s="1291">
        <f t="shared" ref="N73:P74" si="1">D73</f>
        <v>0</v>
      </c>
      <c r="O73" s="1841" t="str">
        <f t="shared" si="1"/>
        <v>销售额×税（费）率</v>
      </c>
      <c r="P73" s="1292" t="str">
        <f t="shared" si="1"/>
        <v>免征</v>
      </c>
      <c r="Q73" s="2010"/>
      <c r="R73" s="2010"/>
      <c r="S73" s="2010"/>
      <c r="T73" s="2010"/>
      <c r="U73" s="2010"/>
      <c r="V73" s="2010"/>
    </row>
    <row r="74" spans="1:22" ht="24.75">
      <c r="A74" s="3519" t="s">
        <v>415</v>
      </c>
      <c r="B74" s="3520"/>
      <c r="C74" s="3520"/>
      <c r="D74" s="362">
        <f ca="1">IF(H74="个人住宅",D75,D76)</f>
        <v>70729</v>
      </c>
      <c r="E74" s="17" t="s">
        <v>416</v>
      </c>
      <c r="F74" s="360" t="str">
        <f>IF(H74="正常",F76,"免征")</f>
        <v>——</v>
      </c>
      <c r="G74" s="982" t="s">
        <v>417</v>
      </c>
      <c r="H74" s="363" t="s">
        <v>413</v>
      </c>
      <c r="I74" s="42"/>
      <c r="J74" s="2017"/>
      <c r="K74" s="1958">
        <v>3</v>
      </c>
      <c r="L74" s="3493" t="s">
        <v>414</v>
      </c>
      <c r="M74" s="3493"/>
      <c r="N74" s="1291">
        <f t="shared" ca="1" si="1"/>
        <v>70729</v>
      </c>
      <c r="O74" s="1841" t="str">
        <f t="shared" si="1"/>
        <v>增值额×税（费）率</v>
      </c>
      <c r="P74" s="1294" t="str">
        <f t="shared" si="1"/>
        <v>——</v>
      </c>
      <c r="Q74" s="2010"/>
      <c r="R74" s="2010"/>
      <c r="S74" s="2010"/>
      <c r="T74" s="2010"/>
      <c r="U74" s="2010"/>
      <c r="V74" s="2010"/>
    </row>
    <row r="75" spans="1:22" ht="24">
      <c r="A75" s="359" t="s">
        <v>418</v>
      </c>
      <c r="B75" s="3500" t="s">
        <v>419</v>
      </c>
      <c r="C75" s="3501"/>
      <c r="D75" s="364">
        <v>0</v>
      </c>
      <c r="E75" s="41" t="s">
        <v>420</v>
      </c>
      <c r="F75" s="365"/>
      <c r="G75" s="361"/>
      <c r="H75" s="42"/>
      <c r="I75" s="42"/>
      <c r="J75" s="2017"/>
      <c r="K75" s="3001">
        <f>IF(H77="非个人房产","",4)</f>
        <v>4</v>
      </c>
      <c r="L75" s="3493" t="str">
        <f>IF(H77="非个人房产","——","个人所得税")</f>
        <v>个人所得税</v>
      </c>
      <c r="M75" s="3493"/>
      <c r="N75" s="1295">
        <f ca="1">D77</f>
        <v>1259</v>
      </c>
      <c r="O75" s="1854" t="str">
        <f>E77</f>
        <v>销售额×税（费）率</v>
      </c>
      <c r="P75" s="1296">
        <f>F77</f>
        <v>0.01</v>
      </c>
      <c r="Q75" s="2010"/>
      <c r="R75" s="2010"/>
      <c r="S75" s="2010"/>
      <c r="T75" s="2010"/>
      <c r="U75" s="2010"/>
      <c r="V75" s="2010"/>
    </row>
    <row r="76" spans="1:22" ht="24.75">
      <c r="A76" s="359" t="s">
        <v>396</v>
      </c>
      <c r="B76" s="3500" t="s">
        <v>422</v>
      </c>
      <c r="C76" s="3542"/>
      <c r="D76" s="362">
        <f ca="1">IF(H76="转让取得",C99,C115)</f>
        <v>70729</v>
      </c>
      <c r="E76" s="17" t="s">
        <v>423</v>
      </c>
      <c r="F76" s="53" t="s">
        <v>21</v>
      </c>
      <c r="G76" s="361"/>
      <c r="H76" s="363" t="s">
        <v>424</v>
      </c>
      <c r="I76" s="42"/>
      <c r="J76" s="2017"/>
      <c r="K76" s="3001" t="str">
        <f>IF(项目基本情况!K6="上海银行",IF(K75="",4,K75+1),"")</f>
        <v/>
      </c>
      <c r="L76" s="3481" t="str">
        <f>IF(项目基本情况!K6="上海银行","其他处置费用","")</f>
        <v/>
      </c>
      <c r="M76" s="3482"/>
      <c r="N76" s="1291" t="str">
        <f>IF(项目基本情况!K6="上海银行",N89,"")</f>
        <v/>
      </c>
      <c r="O76" s="3483" t="str">
        <f>IF(项目基本情况!K6="上海银行","包含处置中涉及的律师、诉讼、拍卖、评估等费用","")</f>
        <v/>
      </c>
      <c r="P76" s="3484"/>
      <c r="Q76" s="2010"/>
      <c r="R76" s="2010"/>
      <c r="S76" s="2010"/>
      <c r="T76" s="2010"/>
      <c r="U76" s="2010"/>
      <c r="V76" s="2010"/>
    </row>
    <row r="77" spans="1:22" ht="26.25" thickBot="1">
      <c r="A77" s="3511" t="s">
        <v>426</v>
      </c>
      <c r="B77" s="3512"/>
      <c r="C77" s="3512"/>
      <c r="D77" s="366">
        <f ca="1">IF(H77="非个人房产","——",IF(H77="个人住宅",0,ROUND(D63*I77,0)))</f>
        <v>1259</v>
      </c>
      <c r="E77" s="367" t="str">
        <f>IF(H77="非个人房产","——","销售额×税（费）率")</f>
        <v>销售额×税（费）率</v>
      </c>
      <c r="F77" s="368">
        <f>IF(H77="非个人房产","——",IF(H77="个人住宅","免征",I77))</f>
        <v>0.01</v>
      </c>
      <c r="G77" s="983" t="s">
        <v>417</v>
      </c>
      <c r="H77" s="363" t="s">
        <v>2880</v>
      </c>
      <c r="I77" s="369">
        <v>0.01</v>
      </c>
      <c r="J77" s="2017"/>
      <c r="K77" s="3507">
        <f>IF(AND(K75="",K76=""),4,IF(项目基本情况!K6="上海银行",K76+1,K75+1))</f>
        <v>5</v>
      </c>
      <c r="L77" s="3493" t="s">
        <v>2881</v>
      </c>
      <c r="M77" s="3007" t="s">
        <v>421</v>
      </c>
      <c r="N77" s="1297"/>
      <c r="O77" s="1298">
        <f ca="1">SUMIF(N72:N76,"&lt;9e307")</f>
        <v>78584</v>
      </c>
      <c r="P77" s="1299"/>
      <c r="Q77" s="3005">
        <f ca="1">O77/N69</f>
        <v>0.37444667336932436</v>
      </c>
      <c r="R77" s="2010"/>
      <c r="S77" s="2010"/>
      <c r="T77" s="2010"/>
      <c r="U77" s="2010"/>
      <c r="V77" s="2010"/>
    </row>
    <row r="78" spans="1:22" ht="12" customHeight="1">
      <c r="A78" s="1300"/>
      <c r="B78" s="311"/>
      <c r="C78" s="311"/>
      <c r="D78" s="311"/>
      <c r="E78" s="42"/>
      <c r="F78" s="42"/>
      <c r="G78" s="42"/>
      <c r="H78" s="1002"/>
      <c r="I78" s="311"/>
      <c r="J78" s="2017"/>
      <c r="K78" s="3507"/>
      <c r="L78" s="3493"/>
      <c r="M78" s="3007" t="s">
        <v>425</v>
      </c>
      <c r="N78" s="1297"/>
      <c r="O78" s="1298" t="str">
        <f ca="1">NUMBERSTRING(INT(O77*10000),2)&amp;"元整"</f>
        <v>柒亿捌仟伍佰捌拾肆万元整</v>
      </c>
      <c r="P78" s="1299"/>
      <c r="Q78" s="2010"/>
      <c r="R78" s="2010"/>
      <c r="S78" s="2010"/>
      <c r="T78" s="2010"/>
      <c r="U78" s="2010"/>
      <c r="V78" s="2010"/>
    </row>
    <row r="79" spans="1:22" ht="13.5" thickBot="1">
      <c r="A79" s="3497" t="s">
        <v>427</v>
      </c>
      <c r="B79" s="3497"/>
      <c r="C79" s="3497"/>
      <c r="D79" s="3497"/>
      <c r="E79" s="3497"/>
      <c r="F79" s="42"/>
      <c r="G79" s="42"/>
      <c r="H79" s="1002"/>
      <c r="I79" s="311"/>
      <c r="J79" s="2017"/>
      <c r="K79" s="3491">
        <f>K77+1</f>
        <v>6</v>
      </c>
      <c r="L79" s="3493" t="s">
        <v>2882</v>
      </c>
      <c r="M79" s="3007" t="s">
        <v>421</v>
      </c>
      <c r="N79" s="1297"/>
      <c r="O79" s="1298">
        <f ca="1">N69-O77</f>
        <v>131283</v>
      </c>
      <c r="P79" s="1299"/>
      <c r="Q79" s="2010"/>
      <c r="R79" s="2010"/>
      <c r="S79" s="2010"/>
      <c r="T79" s="2010"/>
      <c r="U79" s="2010"/>
      <c r="V79" s="2010"/>
    </row>
    <row r="80" spans="1:22" ht="25.5">
      <c r="A80" s="3498" t="s">
        <v>428</v>
      </c>
      <c r="B80" s="3499"/>
      <c r="C80" s="993"/>
      <c r="D80" s="993" t="s">
        <v>429</v>
      </c>
      <c r="E80" s="370" t="s">
        <v>430</v>
      </c>
      <c r="F80" s="42"/>
      <c r="G80" s="42"/>
      <c r="H80" s="1002"/>
      <c r="I80" s="311"/>
      <c r="J80" s="2010"/>
      <c r="K80" s="3492"/>
      <c r="L80" s="3493"/>
      <c r="M80" s="3007" t="s">
        <v>425</v>
      </c>
      <c r="N80" s="1297"/>
      <c r="O80" s="1298" t="str">
        <f ca="1">NUMBERSTRING(INT(O79*10000),2)&amp;"元整"</f>
        <v>壹拾叁亿壹仟贰佰捌拾叁万元整</v>
      </c>
      <c r="P80" s="1299"/>
      <c r="Q80" s="2010"/>
      <c r="R80" s="2010"/>
      <c r="S80" s="2010"/>
      <c r="T80" s="2010"/>
      <c r="U80" s="2010"/>
      <c r="V80" s="2010"/>
    </row>
    <row r="81" spans="1:26" ht="13.5" thickBot="1">
      <c r="A81" s="381" t="s">
        <v>1823</v>
      </c>
      <c r="B81" s="371" t="s">
        <v>431</v>
      </c>
      <c r="C81" s="372">
        <f ca="1">ROUND((C82+C83)/(1+'数据-取费表'!C42),0)</f>
        <v>119924</v>
      </c>
      <c r="D81" s="373"/>
      <c r="E81" s="374"/>
      <c r="F81" s="42"/>
      <c r="G81" s="42"/>
      <c r="H81" s="1002"/>
      <c r="I81" s="311"/>
      <c r="J81" s="2010"/>
      <c r="K81" s="3001">
        <f>K79+1</f>
        <v>7</v>
      </c>
      <c r="L81" s="3505" t="s">
        <v>2883</v>
      </c>
      <c r="M81" s="3506"/>
      <c r="N81" s="1301"/>
      <c r="O81" s="1302">
        <f ca="1">ROUND(O79*10000/'数据-汇总表'!E3,0)</f>
        <v>1660</v>
      </c>
      <c r="P81" s="1303"/>
      <c r="Q81" s="2010"/>
      <c r="R81" s="2010"/>
      <c r="S81" s="2010"/>
      <c r="T81" s="2010"/>
      <c r="U81" s="2010"/>
      <c r="V81" s="2010"/>
    </row>
    <row r="82" spans="1:26" ht="13.5" thickTop="1">
      <c r="A82" s="375" t="s">
        <v>1824</v>
      </c>
      <c r="B82" s="376" t="s">
        <v>432</v>
      </c>
      <c r="C82" s="377">
        <f ca="1">D63</f>
        <v>125920</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1825</v>
      </c>
      <c r="B83" s="376" t="s">
        <v>433</v>
      </c>
      <c r="C83" s="380">
        <v>0</v>
      </c>
      <c r="D83" s="378"/>
      <c r="E83" s="379"/>
      <c r="F83" s="42"/>
      <c r="G83" s="42"/>
      <c r="H83" s="1002"/>
      <c r="I83" s="311"/>
      <c r="J83" s="2010"/>
      <c r="K83" s="3480" t="s">
        <v>2870</v>
      </c>
      <c r="L83" s="3013" t="s">
        <v>2871</v>
      </c>
      <c r="M83" s="3003">
        <f ca="1">IF(N69&gt;10000,N69*0.5%,IF(AND(N69&gt;1000,N69&lt;=10000),N69*1%,IF(AND(N69&gt;100,N69&lt;=1000),N69*3%,IF(AND(N69&gt;10,N69&lt;=100),N69*5%,N69*8%))))</f>
        <v>1049.335</v>
      </c>
      <c r="N83" s="53">
        <f ca="1">ROUND(M83,1)</f>
        <v>1049.3</v>
      </c>
      <c r="O83" s="3006"/>
      <c r="P83" s="2010"/>
      <c r="Q83" s="2010"/>
      <c r="R83" s="2010"/>
      <c r="S83" s="2010"/>
      <c r="T83" s="2010"/>
      <c r="U83" s="2010"/>
      <c r="V83" s="2010"/>
    </row>
    <row r="84" spans="1:26" ht="12.75">
      <c r="A84" s="381" t="s">
        <v>1826</v>
      </c>
      <c r="B84" s="382" t="s">
        <v>434</v>
      </c>
      <c r="C84" s="383">
        <v>2000</v>
      </c>
      <c r="D84" s="384" t="s">
        <v>19</v>
      </c>
      <c r="E84" s="3047" t="s">
        <v>2934</v>
      </c>
      <c r="F84" s="42"/>
      <c r="G84" s="42"/>
      <c r="H84" s="1002"/>
      <c r="I84" s="311"/>
      <c r="J84" s="2010"/>
      <c r="K84" s="3480"/>
      <c r="L84" s="3013" t="s">
        <v>2872</v>
      </c>
      <c r="M84" s="3003">
        <f ca="1">IF(N69&gt;2000,N69*0.5%,IF(AND(N69&gt;1000,N69&lt;=2000),N69*0.6%,IF(AND(N69&gt;500,N69&lt;=1000),N69*0.7%,IF(AND(N69&gt;200,N69&lt;=500),N69*0.8%,IF(AND(N69&gt;100,N69&lt;=200),N69*0.9%,IF(AND(N69&gt;50,N69&lt;=100),N69*1%,IF(AND(N69&gt;20,N69&lt;=50),N69*1.5%,IF(AND(N69&gt;10,N69&lt;=20),N69*2%,IF(AND(N69&gt;1,N69&lt;=10),N69*2.5%)))))))))</f>
        <v>1049.335</v>
      </c>
      <c r="N84" s="53">
        <f t="shared" ref="N84:N85" ca="1" si="2">ROUND(M84,1)</f>
        <v>1049.3</v>
      </c>
      <c r="O84" s="2010" t="s">
        <v>2873</v>
      </c>
      <c r="P84" s="2010"/>
      <c r="Q84" s="2010"/>
      <c r="R84" s="2010"/>
      <c r="S84" s="2010"/>
      <c r="T84" s="2010"/>
      <c r="U84" s="2010"/>
      <c r="V84" s="2010"/>
    </row>
    <row r="85" spans="1:26" ht="12.75">
      <c r="A85" s="381" t="s">
        <v>1827</v>
      </c>
      <c r="B85" s="382" t="s">
        <v>435</v>
      </c>
      <c r="C85" s="385">
        <f ca="1">C81-C84</f>
        <v>117924</v>
      </c>
      <c r="D85" s="378" t="s">
        <v>19</v>
      </c>
      <c r="E85" s="379"/>
      <c r="F85" s="42"/>
      <c r="G85" s="42"/>
      <c r="H85" s="1002"/>
      <c r="I85" s="311"/>
      <c r="J85" s="2010"/>
      <c r="K85" s="3480"/>
      <c r="L85" s="3013" t="s">
        <v>2874</v>
      </c>
      <c r="M85" s="3003">
        <f ca="1">IF(N69&gt;1000,N69*0.1%,IF(AND(N69&gt;500,N69&lt;=1000),N69*0.5%,IF(AND(N69&gt;50,N69&lt;=500),N69*1%,IF(AND(N69&gt;1,N69&lt;=50),N69*1.5%))))</f>
        <v>209.86699999999999</v>
      </c>
      <c r="N85" s="53">
        <f t="shared" ca="1" si="2"/>
        <v>209.9</v>
      </c>
      <c r="O85" s="2010" t="s">
        <v>2873</v>
      </c>
      <c r="P85" s="2010"/>
      <c r="Q85" s="2010"/>
      <c r="R85" s="2010"/>
      <c r="S85" s="2010"/>
      <c r="T85" s="2010"/>
      <c r="U85" s="2010"/>
      <c r="V85" s="2010"/>
    </row>
    <row r="86" spans="1:26" ht="13.5" thickBot="1">
      <c r="A86" s="386" t="s">
        <v>1828</v>
      </c>
      <c r="B86" s="387" t="s">
        <v>436</v>
      </c>
      <c r="C86" s="388">
        <f ca="1">IF(C85&lt;=0,0,ROUND(C85*D86,0))</f>
        <v>6486</v>
      </c>
      <c r="D86" s="389">
        <f>'数据-取费表'!B41</f>
        <v>5.5000000000000007E-2</v>
      </c>
      <c r="E86" s="390"/>
      <c r="F86" s="42"/>
      <c r="G86" s="42"/>
      <c r="H86" s="1002"/>
      <c r="I86" s="311"/>
      <c r="J86" s="2010"/>
      <c r="K86" s="3480"/>
      <c r="L86" s="3013" t="s">
        <v>2875</v>
      </c>
      <c r="M86" s="3003">
        <f ca="1">N69*0.5%</f>
        <v>1049.335</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480"/>
      <c r="L87" s="3013" t="s">
        <v>2877</v>
      </c>
      <c r="M87" s="3003">
        <f ca="1">IF(N69&gt;=10000,(8.25+(N69-10000)*0.01%),IF(AND(N69&gt;=8000,N69&lt;10000),(7.85+(N69-8000)*0.02%),IF(AND(N69&gt;=5000,N69&lt;8000),(6.65+(N69-5000)*0.04%),IF(AND(N69&gt;=2000,N69&lt;5000),(4.25+(PN69-2000)*0.08%),IF(AND(N69&gt;=1000,N69&lt;2000),(2.75+(N69-1000)*0.15%),IF(AND(N69&gt;=100,N69&lt;1000),(0.5+(N69-100)*0.25%),IF(AND(N69&gt;0,N69&lt;100),N69*0.5%)))))))</f>
        <v>28.236700000000003</v>
      </c>
      <c r="N87" s="53">
        <f ca="1">ROUND(M87*0.9,1)</f>
        <v>25.4</v>
      </c>
      <c r="O87" s="3006"/>
      <c r="P87" s="311"/>
      <c r="Q87" s="2010"/>
      <c r="R87" s="2010"/>
      <c r="S87" s="2010"/>
      <c r="T87" s="2010"/>
      <c r="U87" s="2010"/>
      <c r="V87" s="2010"/>
      <c r="W87" s="292"/>
      <c r="X87" s="292"/>
      <c r="Y87" s="292"/>
      <c r="Z87" s="292"/>
    </row>
    <row r="88" spans="1:26" s="1309" customFormat="1" ht="15" thickBot="1">
      <c r="A88" s="3534" t="s">
        <v>437</v>
      </c>
      <c r="B88" s="3535"/>
      <c r="C88" s="3535"/>
      <c r="D88" s="3535"/>
      <c r="E88" s="3535"/>
      <c r="F88" s="3535"/>
      <c r="G88" s="3535"/>
      <c r="H88" s="3535"/>
      <c r="I88" s="1310"/>
      <c r="J88" s="2018"/>
      <c r="K88" s="3480"/>
      <c r="L88" s="3013" t="s">
        <v>2878</v>
      </c>
      <c r="M88" s="3003">
        <f ca="1">IF(N69&gt;10000,N69*0.5%,IF(AND(N69&gt;5000,N69&lt;=10000),N69*1%,IF(AND(N69&gt;1000,N69&lt;=5000),N69*2%,IF(AND(N69&gt;200,N69&lt;=1000),N69*3%,N69*5%))))</f>
        <v>1049.335</v>
      </c>
      <c r="N88" s="53">
        <f ca="1">ROUND(M88,1)</f>
        <v>1049.3</v>
      </c>
      <c r="O88" s="3006"/>
      <c r="P88" s="11"/>
      <c r="Q88" s="2015"/>
      <c r="R88" s="2015"/>
      <c r="S88" s="2015"/>
      <c r="T88" s="2015"/>
      <c r="U88" s="2015"/>
      <c r="V88" s="2015"/>
      <c r="W88" s="2019"/>
      <c r="X88" s="2019"/>
      <c r="Y88" s="2019"/>
      <c r="Z88" s="2019"/>
    </row>
    <row r="89" spans="1:26" s="1309" customFormat="1" ht="14.25">
      <c r="A89" s="3498" t="s">
        <v>428</v>
      </c>
      <c r="B89" s="3499"/>
      <c r="C89" s="993"/>
      <c r="D89" s="993" t="s">
        <v>429</v>
      </c>
      <c r="E89" s="391" t="s">
        <v>438</v>
      </c>
      <c r="F89" s="392"/>
      <c r="G89" s="392"/>
      <c r="H89" s="393"/>
      <c r="I89" s="1311"/>
      <c r="J89" s="2020"/>
      <c r="K89" s="3480"/>
      <c r="L89" s="3013" t="s">
        <v>27</v>
      </c>
      <c r="M89" s="3004"/>
      <c r="N89" s="53">
        <f ca="1">ROUND(SUM(N83:N88),0)</f>
        <v>3384</v>
      </c>
      <c r="O89" s="3014">
        <f ca="1">N89/N69</f>
        <v>1.6124497896286696E-2</v>
      </c>
      <c r="P89" s="2015"/>
      <c r="Q89" s="2015"/>
      <c r="R89" s="2015"/>
      <c r="S89" s="2015"/>
      <c r="T89" s="2015"/>
      <c r="U89" s="2015"/>
      <c r="V89" s="2015"/>
      <c r="W89" s="2019"/>
      <c r="X89" s="2019"/>
      <c r="Y89" s="2019"/>
      <c r="Z89" s="2019"/>
    </row>
    <row r="90" spans="1:26" s="1309" customFormat="1" ht="14.25">
      <c r="A90" s="381" t="s">
        <v>1823</v>
      </c>
      <c r="B90" s="382" t="s">
        <v>439</v>
      </c>
      <c r="C90" s="385">
        <f ca="1">ROUND(D63/(1+'数据-取费表'!C42),0)</f>
        <v>119924</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1" t="s">
        <v>1829</v>
      </c>
      <c r="B91" s="348" t="s">
        <v>440</v>
      </c>
      <c r="C91" s="385">
        <f ca="1">C92+C96</f>
        <v>3161</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5" t="s">
        <v>1831</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1832</v>
      </c>
      <c r="B94" s="400" t="s">
        <v>446</v>
      </c>
      <c r="C94" s="378">
        <f>IF(F93="购房发票",ROUND(C93*H93*5%,0),0)</f>
        <v>500</v>
      </c>
      <c r="D94" s="401">
        <v>0.05</v>
      </c>
      <c r="E94" s="3531" t="s">
        <v>447</v>
      </c>
      <c r="F94" s="3532"/>
      <c r="G94" s="3532"/>
      <c r="H94" s="3533"/>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1834</v>
      </c>
      <c r="B96" s="376" t="s">
        <v>450</v>
      </c>
      <c r="C96" s="405">
        <f ca="1">ROUND(D63*D96/(1+'数据-取费表'!C42),0)</f>
        <v>600</v>
      </c>
      <c r="D96" s="406">
        <f>'数据-取费表'!B43</f>
        <v>5.000000000000001E-3</v>
      </c>
      <c r="E96" s="3521" t="s">
        <v>2425</v>
      </c>
      <c r="F96" s="3522"/>
      <c r="G96" s="3522"/>
      <c r="H96" s="3523"/>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599" t="s">
        <v>1835</v>
      </c>
      <c r="B97" s="382" t="s">
        <v>451</v>
      </c>
      <c r="C97" s="385">
        <f ca="1">C90-C91</f>
        <v>116763</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599" t="s">
        <v>1836</v>
      </c>
      <c r="B98" s="382" t="s">
        <v>452</v>
      </c>
      <c r="C98" s="407">
        <f ca="1">IF(C97&lt;=0,0,C97/C91)</f>
        <v>36.938627016766844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0" t="s">
        <v>1837</v>
      </c>
      <c r="B99" s="387" t="s">
        <v>453</v>
      </c>
      <c r="C99" s="408">
        <f ca="1">ROUND(IF(C97&lt;=0,0,IF(C98&gt;=200%,C97*60%-C91*35%,IF(C98&gt;=100%,C97*50%-C91*15%,IF(C98&gt;=50%,C97*40%-C91*5%,IF(C98&lt;50%,C97*30%,0))))),0)</f>
        <v>68951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534" t="s">
        <v>454</v>
      </c>
      <c r="B101" s="3535"/>
      <c r="C101" s="3535"/>
      <c r="D101" s="3535"/>
      <c r="E101" s="3535"/>
      <c r="F101" s="3535"/>
      <c r="G101" s="3535"/>
      <c r="H101" s="3535"/>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498" t="s">
        <v>428</v>
      </c>
      <c r="B102" s="3499"/>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1823</v>
      </c>
      <c r="B103" s="382" t="s">
        <v>439</v>
      </c>
      <c r="C103" s="385">
        <f ca="1">ROUND(D63/(1+'数据-取费表'!C42),0)</f>
        <v>119924</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1829</v>
      </c>
      <c r="B104" s="348" t="s">
        <v>440</v>
      </c>
      <c r="C104" s="385">
        <f ca="1">IF(H106="仅含出让金",C105+C108+C109+C110+C111+C112,C105+C109+C110+C111+C112)</f>
        <v>1290</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1830</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1831</v>
      </c>
      <c r="B106" s="376" t="s">
        <v>456</v>
      </c>
      <c r="C106" s="416">
        <v>555</v>
      </c>
      <c r="D106" s="406"/>
      <c r="E106" s="417" t="s">
        <v>457</v>
      </c>
      <c r="F106" s="985"/>
      <c r="G106" s="418" t="s">
        <v>458</v>
      </c>
      <c r="H106" s="419"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1" t="s">
        <v>1838</v>
      </c>
      <c r="B109" s="376" t="s">
        <v>461</v>
      </c>
      <c r="C109" s="405">
        <f>IF(H109="——",IF(F1="现房",'剩余法-现房'!C18,'剩余法-待开发'!C18),I109)</f>
        <v>55</v>
      </c>
      <c r="D109" s="406"/>
      <c r="E109" s="3524" t="s">
        <v>462</v>
      </c>
      <c r="F109" s="3522"/>
      <c r="G109" s="3522"/>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1" t="s">
        <v>1839</v>
      </c>
      <c r="B110" s="376" t="s">
        <v>463</v>
      </c>
      <c r="C110" s="405">
        <f>ROUND((C105+C108+C109)*D110,0)</f>
        <v>63</v>
      </c>
      <c r="D110" s="406">
        <v>0.1</v>
      </c>
      <c r="E110" s="3524" t="s">
        <v>464</v>
      </c>
      <c r="F110" s="3522"/>
      <c r="G110" s="3522"/>
      <c r="H110" s="3523"/>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1" t="s">
        <v>1840</v>
      </c>
      <c r="B111" s="376" t="s">
        <v>450</v>
      </c>
      <c r="C111" s="405">
        <f ca="1">ROUND(D63*D111/(1+'数据-取费表'!C42),0)</f>
        <v>600</v>
      </c>
      <c r="D111" s="406">
        <f>'数据-取费表'!B43</f>
        <v>5.000000000000001E-3</v>
      </c>
      <c r="E111" s="3521" t="s">
        <v>2425</v>
      </c>
      <c r="F111" s="3522"/>
      <c r="G111" s="3522"/>
      <c r="H111" s="3523"/>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1" t="s">
        <v>1841</v>
      </c>
      <c r="B112" s="376" t="s">
        <v>465</v>
      </c>
      <c r="C112" s="405">
        <f>ROUND(C108*D112,0)</f>
        <v>0</v>
      </c>
      <c r="D112" s="406">
        <v>0.2</v>
      </c>
      <c r="E112" s="3524" t="s">
        <v>2450</v>
      </c>
      <c r="F112" s="3522"/>
      <c r="G112" s="3522"/>
      <c r="H112" s="3523"/>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599" t="s">
        <v>1835</v>
      </c>
      <c r="B113" s="382" t="s">
        <v>451</v>
      </c>
      <c r="C113" s="385">
        <f ca="1">ROUND(C103-C104,0)</f>
        <v>118634</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599" t="s">
        <v>1836</v>
      </c>
      <c r="B114" s="382" t="s">
        <v>452</v>
      </c>
      <c r="C114" s="407">
        <f ca="1">IF(C113&lt;=0,0,C113/C104)</f>
        <v>91.964341085271315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0" t="s">
        <v>1837</v>
      </c>
      <c r="B115" s="387" t="s">
        <v>453</v>
      </c>
      <c r="C115" s="408">
        <f ca="1">ROUND(IF(C113&lt;=0,0,IF(C114&gt;=200%,C113*60%-C104*35%,IF(C114&gt;=100%,C113*50%-C104*15%,IF(C114&gt;=50%,C113*40%-C104*5%,IF(C114&lt;50%,C113*30%,0))))),0)</f>
        <v>70729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N42" sqref="N42"/>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5"/>
      <c r="M1" s="1546"/>
      <c r="N1" s="1546"/>
      <c r="O1" s="1546"/>
      <c r="P1" s="1547"/>
      <c r="Q1" s="1547"/>
      <c r="R1" s="1547"/>
      <c r="S1" s="1547"/>
      <c r="T1" s="1547"/>
      <c r="U1" s="1547"/>
      <c r="V1" s="1547"/>
      <c r="W1" s="1547"/>
      <c r="X1" s="1547"/>
      <c r="Y1" s="1547"/>
      <c r="Z1" s="1547"/>
      <c r="AA1" s="1547"/>
      <c r="AB1" s="1547"/>
      <c r="AC1" s="1548"/>
      <c r="AD1" s="1330"/>
    </row>
    <row r="2" spans="1:30" s="1331" customFormat="1" ht="28.5" customHeight="1">
      <c r="A2" s="423" t="s">
        <v>467</v>
      </c>
      <c r="B2" s="508">
        <f>F68</f>
        <v>156145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30"/>
    </row>
    <row r="3" spans="1:30" s="1331" customFormat="1" ht="28.5" customHeight="1">
      <c r="A3" s="1373" t="s">
        <v>1684</v>
      </c>
      <c r="B3" s="510">
        <f>ROUND(B2*10000/'数据-汇总表'!E3,0)</f>
        <v>1974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30" s="1331" customFormat="1" ht="28.5" customHeight="1">
      <c r="A4" s="511" t="s">
        <v>520</v>
      </c>
      <c r="B4" s="427">
        <f>IF(B48="单位面积地价",C50,ROUND(B2*10000/'数据-汇总表'!D3,0))</f>
        <v>4454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30" s="1331" customFormat="1" ht="28.5" customHeight="1" thickBot="1">
      <c r="A5" s="429"/>
      <c r="B5" s="430">
        <f>ROUND(B2/('数据-汇总表'!D3/666.67),0)</f>
        <v>297</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8"/>
    </row>
    <row r="6" spans="1:30" ht="20.25">
      <c r="A6" s="512" t="s">
        <v>521</v>
      </c>
      <c r="B6" s="513"/>
      <c r="C6" s="3579" t="s">
        <v>522</v>
      </c>
      <c r="D6" s="3580"/>
      <c r="E6" s="3579" t="s">
        <v>523</v>
      </c>
      <c r="F6" s="3580"/>
      <c r="G6" s="3579" t="s">
        <v>524</v>
      </c>
      <c r="H6" s="3580"/>
      <c r="I6" s="3579" t="s">
        <v>525</v>
      </c>
      <c r="J6" s="3580"/>
      <c r="K6" s="514" t="s">
        <v>526</v>
      </c>
      <c r="L6" s="2115"/>
      <c r="M6" s="2114"/>
      <c r="N6" s="2114"/>
      <c r="O6" s="2116"/>
      <c r="P6" s="3581" t="s">
        <v>527</v>
      </c>
      <c r="Q6" s="3582"/>
      <c r="R6" s="3567" t="s">
        <v>523</v>
      </c>
      <c r="S6" s="3568"/>
      <c r="T6" s="3567" t="s">
        <v>524</v>
      </c>
      <c r="U6" s="3568"/>
      <c r="V6" s="3587" t="s">
        <v>525</v>
      </c>
      <c r="W6" s="3587"/>
      <c r="X6" s="1550"/>
      <c r="Y6" s="3567" t="s">
        <v>527</v>
      </c>
      <c r="Z6" s="3568"/>
      <c r="AA6" s="3562" t="s">
        <v>523</v>
      </c>
      <c r="AB6" s="3563" t="s">
        <v>524</v>
      </c>
      <c r="AC6" s="3562" t="s">
        <v>525</v>
      </c>
    </row>
    <row r="7" spans="1:30" ht="20.25">
      <c r="A7" s="515"/>
      <c r="B7" s="516"/>
      <c r="C7" s="3590" t="s">
        <v>2923</v>
      </c>
      <c r="D7" s="3591"/>
      <c r="E7" s="3590" t="str">
        <f>Sheet0!A2</f>
        <v>永清县李黄庄村村南</v>
      </c>
      <c r="F7" s="3591"/>
      <c r="G7" s="3590" t="str">
        <f>Sheet0!A7</f>
        <v>永清县李黄庄村</v>
      </c>
      <c r="H7" s="3591"/>
      <c r="I7" s="3590" t="str">
        <f>Sheet0!A12</f>
        <v>永清县高新技术产业开发区菜园村</v>
      </c>
      <c r="J7" s="3591"/>
      <c r="K7" s="514"/>
      <c r="L7" s="2115"/>
      <c r="M7" s="2114"/>
      <c r="N7" s="2114"/>
      <c r="O7" s="2116"/>
      <c r="P7" s="3583"/>
      <c r="Q7" s="3584"/>
      <c r="R7" s="3569"/>
      <c r="S7" s="3570"/>
      <c r="T7" s="3569"/>
      <c r="U7" s="3570"/>
      <c r="V7" s="3587"/>
      <c r="W7" s="3587"/>
      <c r="X7" s="1550"/>
      <c r="Y7" s="3569"/>
      <c r="Z7" s="3570"/>
      <c r="AA7" s="3563"/>
      <c r="AB7" s="3563"/>
      <c r="AC7" s="3563"/>
    </row>
    <row r="8" spans="1:30" ht="21" thickBot="1">
      <c r="A8" s="515"/>
      <c r="B8" s="516"/>
      <c r="C8" s="3592" t="s">
        <v>2927</v>
      </c>
      <c r="D8" s="3593"/>
      <c r="E8" s="3592" t="s">
        <v>2927</v>
      </c>
      <c r="F8" s="3593"/>
      <c r="G8" s="3588" t="s">
        <v>2927</v>
      </c>
      <c r="H8" s="3589"/>
      <c r="I8" s="3588" t="s">
        <v>2927</v>
      </c>
      <c r="J8" s="3589"/>
      <c r="K8" s="514" t="s">
        <v>528</v>
      </c>
      <c r="L8" s="2115"/>
      <c r="M8" s="2114"/>
      <c r="N8" s="2114"/>
      <c r="O8" s="2116"/>
      <c r="P8" s="3585"/>
      <c r="Q8" s="3586"/>
      <c r="R8" s="3569"/>
      <c r="S8" s="3570"/>
      <c r="T8" s="3571"/>
      <c r="U8" s="3572"/>
      <c r="V8" s="3587"/>
      <c r="W8" s="3587"/>
      <c r="X8" s="1550"/>
      <c r="Y8" s="3571"/>
      <c r="Z8" s="3572"/>
      <c r="AA8" s="3564"/>
      <c r="AB8" s="3564"/>
      <c r="AC8" s="3564"/>
    </row>
    <row r="9" spans="1:30" s="1215" customFormat="1" ht="21" thickBot="1">
      <c r="A9" s="2864"/>
      <c r="B9" s="2871" t="s">
        <v>529</v>
      </c>
      <c r="C9" s="2863">
        <f>'数据-取费表'!B2</f>
        <v>43763</v>
      </c>
      <c r="D9" s="520">
        <v>100</v>
      </c>
      <c r="E9" s="521" t="str">
        <f>Sheet0!H2</f>
        <v>2019-06-20</v>
      </c>
      <c r="F9" s="522">
        <f>SUMIF(72:72,YEAR(E9)&amp;"-"&amp;INT((MONTH(E9)+2)/3),73:73)</f>
        <v>100</v>
      </c>
      <c r="G9" s="523" t="str">
        <f>Sheet0!H7</f>
        <v>2018-06-28</v>
      </c>
      <c r="H9" s="520">
        <f>SUMIF(72:72,YEAR(G9)&amp;"-"&amp;INT((MONTH(G9)+2)/3),73:73)</f>
        <v>100</v>
      </c>
      <c r="I9" s="523" t="str">
        <f>Sheet0!H12</f>
        <v>2017-12-09</v>
      </c>
      <c r="J9" s="520">
        <f>SUMIF(72:72,YEAR(I9)&amp;"-"&amp;INT((MONTH(I9)+2)/3),73:73)</f>
        <v>100</v>
      </c>
      <c r="K9" s="524"/>
      <c r="L9" s="2117"/>
      <c r="M9" s="2114"/>
      <c r="N9" s="2114"/>
      <c r="O9" s="2118"/>
      <c r="P9" s="3565" t="s">
        <v>530</v>
      </c>
      <c r="Q9" s="3574"/>
      <c r="R9" s="1551" t="s">
        <v>8</v>
      </c>
      <c r="S9" s="1552">
        <f t="shared" ref="S9:S17" si="0">F9</f>
        <v>100</v>
      </c>
      <c r="T9" s="1551" t="s">
        <v>8</v>
      </c>
      <c r="U9" s="1552">
        <f t="shared" ref="U9:U17" si="1">H9</f>
        <v>100</v>
      </c>
      <c r="V9" s="1551" t="s">
        <v>8</v>
      </c>
      <c r="W9" s="1552">
        <f t="shared" ref="W9:W17" si="2">J9</f>
        <v>100</v>
      </c>
      <c r="X9" s="1553"/>
      <c r="Y9" s="3565" t="s">
        <v>530</v>
      </c>
      <c r="Z9" s="3566"/>
      <c r="AA9" s="1554">
        <f>D9/F9</f>
        <v>1</v>
      </c>
      <c r="AB9" s="1554">
        <f>D9/H9</f>
        <v>1</v>
      </c>
      <c r="AC9" s="1554">
        <f>D9/J9</f>
        <v>1</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7"/>
      <c r="M10" s="2114"/>
      <c r="N10" s="2114"/>
      <c r="O10" s="2118"/>
      <c r="P10" s="3565" t="s">
        <v>533</v>
      </c>
      <c r="Q10" s="3566"/>
      <c r="R10" s="1551" t="s">
        <v>8</v>
      </c>
      <c r="S10" s="1552">
        <f t="shared" si="0"/>
        <v>100</v>
      </c>
      <c r="T10" s="1551" t="s">
        <v>8</v>
      </c>
      <c r="U10" s="1552">
        <f t="shared" si="1"/>
        <v>100</v>
      </c>
      <c r="V10" s="1551" t="s">
        <v>8</v>
      </c>
      <c r="W10" s="1552">
        <f t="shared" si="2"/>
        <v>100</v>
      </c>
      <c r="X10" s="1553"/>
      <c r="Y10" s="3565" t="s">
        <v>533</v>
      </c>
      <c r="Z10" s="3566"/>
      <c r="AA10" s="1554">
        <f t="shared" ref="AA10:AA47" si="3">D10/F10</f>
        <v>1</v>
      </c>
      <c r="AB10" s="1554">
        <f t="shared" ref="AB10:AB47" si="4">D10/H10</f>
        <v>1</v>
      </c>
      <c r="AC10" s="1554">
        <f t="shared" ref="AC10:AC47" si="5">D10/J10</f>
        <v>1</v>
      </c>
    </row>
    <row r="11" spans="1:30" s="1215" customFormat="1" ht="20.25">
      <c r="A11" s="2866"/>
      <c r="B11" s="2873" t="s">
        <v>2752</v>
      </c>
      <c r="C11" s="2860" t="s">
        <v>923</v>
      </c>
      <c r="D11" s="254">
        <v>100</v>
      </c>
      <c r="E11" s="2860" t="s">
        <v>923</v>
      </c>
      <c r="F11" s="254">
        <f>SUMIF(77:77,E11,78:78)-SUMIF(77:77,C11,78:78)+100</f>
        <v>100</v>
      </c>
      <c r="G11" s="2860" t="s">
        <v>923</v>
      </c>
      <c r="H11" s="254">
        <f>SUMIF(77:77,G11,78:78)-SUMIF(77:77,C11,78:78)+100</f>
        <v>100</v>
      </c>
      <c r="I11" s="2860" t="s">
        <v>923</v>
      </c>
      <c r="J11" s="254">
        <f>SUMIF(77:77,I11,78:78)-SUMIF(77:77,C11,78:78)+100</f>
        <v>100</v>
      </c>
      <c r="K11" s="524"/>
      <c r="L11" s="2117"/>
      <c r="M11" s="2114"/>
      <c r="N11" s="2114"/>
      <c r="O11" s="2119"/>
      <c r="P11" s="3573" t="s">
        <v>535</v>
      </c>
      <c r="Q11" s="1146" t="str">
        <f t="shared" ref="Q11:Q17" si="6">B11</f>
        <v>用途</v>
      </c>
      <c r="R11" s="1551" t="s">
        <v>8</v>
      </c>
      <c r="S11" s="1552">
        <f t="shared" si="0"/>
        <v>100</v>
      </c>
      <c r="T11" s="1551" t="s">
        <v>8</v>
      </c>
      <c r="U11" s="1552">
        <f t="shared" si="1"/>
        <v>100</v>
      </c>
      <c r="V11" s="1551" t="s">
        <v>8</v>
      </c>
      <c r="W11" s="1552">
        <f t="shared" si="2"/>
        <v>100</v>
      </c>
      <c r="X11" s="1553"/>
      <c r="Y11" s="3530" t="s">
        <v>536</v>
      </c>
      <c r="Z11" s="1145" t="str">
        <f t="shared" ref="Z11:Z17" si="7">Q11</f>
        <v>用途</v>
      </c>
      <c r="AA11" s="1554">
        <f t="shared" si="3"/>
        <v>1</v>
      </c>
      <c r="AB11" s="1554">
        <f t="shared" si="4"/>
        <v>1</v>
      </c>
      <c r="AC11" s="1554">
        <f t="shared" si="5"/>
        <v>1</v>
      </c>
    </row>
    <row r="12" spans="1:30" s="1333" customFormat="1" ht="27">
      <c r="A12" s="2867"/>
      <c r="B12" s="2872" t="s">
        <v>2753</v>
      </c>
      <c r="C12" s="909">
        <f>项目基本情况!D19</f>
        <v>61.22</v>
      </c>
      <c r="D12" s="255">
        <v>100</v>
      </c>
      <c r="E12" s="529" t="s">
        <v>3109</v>
      </c>
      <c r="F12" s="255">
        <f>ROUND(100/'数据-取费表'!G16,0)</f>
        <v>104</v>
      </c>
      <c r="G12" s="530" t="s">
        <v>3109</v>
      </c>
      <c r="H12" s="255">
        <f>ROUND(100/'数据-取费表'!G16,0)</f>
        <v>104</v>
      </c>
      <c r="I12" s="530" t="s">
        <v>3109</v>
      </c>
      <c r="J12" s="255">
        <f>ROUND(100/'数据-取费表'!G16,0)</f>
        <v>104</v>
      </c>
      <c r="K12" s="531"/>
      <c r="L12" s="2120"/>
      <c r="M12" s="2114"/>
      <c r="N12" s="2114"/>
      <c r="O12" s="2121"/>
      <c r="P12" s="3573"/>
      <c r="Q12" s="1146" t="str">
        <f t="shared" si="6"/>
        <v>土地使用年限（年）</v>
      </c>
      <c r="R12" s="1551" t="s">
        <v>8</v>
      </c>
      <c r="S12" s="1552">
        <f t="shared" si="0"/>
        <v>104</v>
      </c>
      <c r="T12" s="1551" t="s">
        <v>8</v>
      </c>
      <c r="U12" s="1552">
        <f t="shared" si="1"/>
        <v>104</v>
      </c>
      <c r="V12" s="1551" t="s">
        <v>8</v>
      </c>
      <c r="W12" s="1552">
        <f t="shared" si="2"/>
        <v>104</v>
      </c>
      <c r="X12" s="1553"/>
      <c r="Y12" s="3530"/>
      <c r="Z12" s="1145" t="str">
        <f t="shared" si="7"/>
        <v>土地使用年限（年）</v>
      </c>
      <c r="AA12" s="1554">
        <f t="shared" si="3"/>
        <v>0.96153846153846156</v>
      </c>
      <c r="AB12" s="1554">
        <f t="shared" si="4"/>
        <v>0.96153846153846156</v>
      </c>
      <c r="AC12" s="1554">
        <f t="shared" si="5"/>
        <v>0.96153846153846156</v>
      </c>
    </row>
    <row r="13" spans="1:30" ht="20.25">
      <c r="A13" s="2868"/>
      <c r="B13" s="2872" t="s">
        <v>2754</v>
      </c>
      <c r="C13" s="534">
        <f>'数据-汇总表'!I6</f>
        <v>1.4</v>
      </c>
      <c r="D13" s="255">
        <v>100</v>
      </c>
      <c r="E13" s="533">
        <v>2</v>
      </c>
      <c r="F13" s="255">
        <f>LOOKUP(E13,82:82,83:83)-LOOKUP(C13,82:82,83:83)+100</f>
        <v>99</v>
      </c>
      <c r="G13" s="534">
        <v>2</v>
      </c>
      <c r="H13" s="255">
        <f>LOOKUP(G13,82:82,83:83)-LOOKUP(C13,82:82,83:83)+100</f>
        <v>99</v>
      </c>
      <c r="I13" s="533">
        <v>2</v>
      </c>
      <c r="J13" s="255">
        <f>LOOKUP(I13,82:82,83:83)-LOOKUP(C13,82:82,83:83)+100</f>
        <v>99</v>
      </c>
      <c r="K13" s="535">
        <v>1</v>
      </c>
      <c r="L13" s="2122"/>
      <c r="M13" s="2114"/>
      <c r="N13" s="2114"/>
      <c r="O13" s="2123"/>
      <c r="P13" s="3573"/>
      <c r="Q13" s="1146" t="str">
        <f t="shared" si="6"/>
        <v>容积率</v>
      </c>
      <c r="R13" s="1551" t="s">
        <v>8</v>
      </c>
      <c r="S13" s="1552">
        <f t="shared" si="0"/>
        <v>99</v>
      </c>
      <c r="T13" s="1551" t="s">
        <v>8</v>
      </c>
      <c r="U13" s="1552">
        <f t="shared" si="1"/>
        <v>99</v>
      </c>
      <c r="V13" s="1551" t="s">
        <v>8</v>
      </c>
      <c r="W13" s="1552">
        <f t="shared" si="2"/>
        <v>99</v>
      </c>
      <c r="X13" s="1553"/>
      <c r="Y13" s="3530"/>
      <c r="Z13" s="1145" t="str">
        <f t="shared" si="7"/>
        <v>容积率</v>
      </c>
      <c r="AA13" s="1554">
        <f t="shared" si="3"/>
        <v>1.0101010101010102</v>
      </c>
      <c r="AB13" s="1554">
        <f t="shared" si="4"/>
        <v>1.0101010101010102</v>
      </c>
      <c r="AC13" s="1554">
        <f t="shared" si="5"/>
        <v>1.0101010101010102</v>
      </c>
    </row>
    <row r="14" spans="1:30" s="1215" customFormat="1" ht="20.25">
      <c r="A14" s="2865"/>
      <c r="B14" s="2874" t="s">
        <v>2755</v>
      </c>
      <c r="C14" s="2861"/>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573"/>
      <c r="Q14" s="1146" t="str">
        <f t="shared" si="6"/>
        <v>配建</v>
      </c>
      <c r="R14" s="1551" t="s">
        <v>8</v>
      </c>
      <c r="S14" s="1552">
        <f t="shared" si="0"/>
        <v>100</v>
      </c>
      <c r="T14" s="1551" t="s">
        <v>8</v>
      </c>
      <c r="U14" s="1552">
        <f t="shared" si="1"/>
        <v>100</v>
      </c>
      <c r="V14" s="1551" t="s">
        <v>8</v>
      </c>
      <c r="W14" s="1552">
        <f t="shared" si="2"/>
        <v>100</v>
      </c>
      <c r="X14" s="1553"/>
      <c r="Y14" s="3530"/>
      <c r="Z14" s="1145" t="str">
        <f t="shared" si="7"/>
        <v>配建</v>
      </c>
      <c r="AA14" s="1554">
        <f>D14/F14</f>
        <v>1</v>
      </c>
      <c r="AB14" s="1554">
        <f>D14/H14</f>
        <v>1</v>
      </c>
      <c r="AC14" s="1554">
        <f>D14/J14</f>
        <v>1</v>
      </c>
    </row>
    <row r="15" spans="1:30" ht="20.25">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573"/>
      <c r="Q15" s="1146">
        <f t="shared" si="6"/>
        <v>111</v>
      </c>
      <c r="R15" s="1551" t="s">
        <v>8</v>
      </c>
      <c r="S15" s="1552">
        <f t="shared" si="0"/>
        <v>100</v>
      </c>
      <c r="T15" s="1551" t="s">
        <v>8</v>
      </c>
      <c r="U15" s="1552">
        <f t="shared" si="1"/>
        <v>100</v>
      </c>
      <c r="V15" s="1551" t="s">
        <v>8</v>
      </c>
      <c r="W15" s="1552">
        <f t="shared" si="2"/>
        <v>100</v>
      </c>
      <c r="X15" s="1553"/>
      <c r="Y15" s="3530"/>
      <c r="Z15" s="1145">
        <f t="shared" si="7"/>
        <v>111</v>
      </c>
      <c r="AA15" s="1554">
        <f>D15/F15</f>
        <v>1</v>
      </c>
      <c r="AB15" s="1554">
        <f>D15/H15</f>
        <v>1</v>
      </c>
      <c r="AC15" s="1554">
        <f>D15/J15</f>
        <v>1</v>
      </c>
    </row>
    <row r="16" spans="1:30" ht="2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573"/>
      <c r="Q16" s="1146">
        <f t="shared" si="6"/>
        <v>111</v>
      </c>
      <c r="R16" s="1551" t="s">
        <v>8</v>
      </c>
      <c r="S16" s="1552">
        <f t="shared" si="0"/>
        <v>100</v>
      </c>
      <c r="T16" s="1551" t="s">
        <v>8</v>
      </c>
      <c r="U16" s="1552">
        <f t="shared" si="1"/>
        <v>100</v>
      </c>
      <c r="V16" s="1551" t="s">
        <v>8</v>
      </c>
      <c r="W16" s="1552">
        <f t="shared" si="2"/>
        <v>100</v>
      </c>
      <c r="X16" s="1553"/>
      <c r="Y16" s="3530"/>
      <c r="Z16" s="1145">
        <f t="shared" si="7"/>
        <v>111</v>
      </c>
      <c r="AA16" s="1554">
        <f>D16/F16</f>
        <v>1</v>
      </c>
      <c r="AB16" s="1554">
        <f>D16/H16</f>
        <v>1</v>
      </c>
      <c r="AC16" s="1554">
        <f>D16/J16</f>
        <v>1</v>
      </c>
    </row>
    <row r="17" spans="1:29" ht="20.25">
      <c r="A17" s="2862"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98</v>
      </c>
      <c r="K17" s="535">
        <v>2</v>
      </c>
      <c r="L17" s="2124"/>
      <c r="M17" s="2114"/>
      <c r="N17" s="2114"/>
      <c r="O17" s="2123"/>
      <c r="P17" s="3575" t="s">
        <v>540</v>
      </c>
      <c r="Q17" s="1555" t="str">
        <f t="shared" si="6"/>
        <v>居住社区成熟度</v>
      </c>
      <c r="R17" s="1556" t="s">
        <v>8</v>
      </c>
      <c r="S17" s="1557">
        <f t="shared" si="0"/>
        <v>100</v>
      </c>
      <c r="T17" s="1556" t="s">
        <v>8</v>
      </c>
      <c r="U17" s="1557">
        <f t="shared" si="1"/>
        <v>100</v>
      </c>
      <c r="V17" s="1556" t="s">
        <v>8</v>
      </c>
      <c r="W17" s="1557">
        <f t="shared" si="2"/>
        <v>98</v>
      </c>
      <c r="X17" s="1550"/>
      <c r="Y17" s="3575" t="s">
        <v>540</v>
      </c>
      <c r="Z17" s="1558" t="str">
        <f t="shared" si="7"/>
        <v>居住社区成熟度</v>
      </c>
      <c r="AA17" s="1559">
        <f t="shared" si="3"/>
        <v>1</v>
      </c>
      <c r="AB17" s="1559">
        <f t="shared" si="4"/>
        <v>1</v>
      </c>
      <c r="AC17" s="1559">
        <f t="shared" si="5"/>
        <v>1.0204081632653061</v>
      </c>
    </row>
    <row r="18" spans="1:29" ht="20.25">
      <c r="A18" s="532"/>
      <c r="B18" s="553"/>
      <c r="C18" s="554" t="s">
        <v>3103</v>
      </c>
      <c r="D18" s="557"/>
      <c r="E18" s="558" t="s">
        <v>3103</v>
      </c>
      <c r="F18" s="555"/>
      <c r="G18" s="556" t="s">
        <v>3103</v>
      </c>
      <c r="H18" s="559"/>
      <c r="I18" s="558" t="s">
        <v>3129</v>
      </c>
      <c r="J18" s="555"/>
      <c r="K18" s="531"/>
      <c r="L18" s="2124"/>
      <c r="M18" s="2114"/>
      <c r="N18" s="2114"/>
      <c r="O18" s="2123"/>
      <c r="P18" s="3576"/>
      <c r="Q18" s="1555"/>
      <c r="R18" s="1556"/>
      <c r="S18" s="1557"/>
      <c r="T18" s="1556"/>
      <c r="U18" s="1557"/>
      <c r="V18" s="1556"/>
      <c r="W18" s="1557"/>
      <c r="X18" s="1550"/>
      <c r="Y18" s="3576"/>
      <c r="Z18" s="1558"/>
      <c r="AA18" s="1559">
        <v>1</v>
      </c>
      <c r="AB18" s="1559">
        <v>1</v>
      </c>
      <c r="AC18" s="1559">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4"/>
      <c r="M19" s="2114"/>
      <c r="N19" s="2114"/>
      <c r="O19" s="2123"/>
      <c r="P19" s="3576"/>
      <c r="Q19" s="1555" t="str">
        <f>B19</f>
        <v>商业繁华度</v>
      </c>
      <c r="R19" s="1556" t="s">
        <v>8</v>
      </c>
      <c r="S19" s="1557">
        <f>F19</f>
        <v>100</v>
      </c>
      <c r="T19" s="1556" t="s">
        <v>8</v>
      </c>
      <c r="U19" s="1557">
        <f>H19</f>
        <v>100</v>
      </c>
      <c r="V19" s="1556" t="s">
        <v>8</v>
      </c>
      <c r="W19" s="1557">
        <f>J19</f>
        <v>100</v>
      </c>
      <c r="X19" s="1550"/>
      <c r="Y19" s="3576"/>
      <c r="Z19" s="1558" t="str">
        <f>Q19</f>
        <v>商业繁华度</v>
      </c>
      <c r="AA19" s="1559">
        <f t="shared" si="3"/>
        <v>1</v>
      </c>
      <c r="AB19" s="1559">
        <f t="shared" si="4"/>
        <v>1</v>
      </c>
      <c r="AC19" s="1559">
        <f t="shared" si="5"/>
        <v>1</v>
      </c>
    </row>
    <row r="20" spans="1:29" ht="20.25">
      <c r="A20" s="532"/>
      <c r="B20" s="566"/>
      <c r="C20" s="567" t="s">
        <v>3103</v>
      </c>
      <c r="D20" s="563"/>
      <c r="E20" s="567" t="s">
        <v>3103</v>
      </c>
      <c r="F20" s="559"/>
      <c r="G20" s="567" t="s">
        <v>3103</v>
      </c>
      <c r="H20" s="555"/>
      <c r="I20" s="567" t="s">
        <v>3103</v>
      </c>
      <c r="J20" s="555"/>
      <c r="K20" s="531"/>
      <c r="L20" s="2124"/>
      <c r="M20" s="2114"/>
      <c r="N20" s="2114"/>
      <c r="O20" s="2123"/>
      <c r="P20" s="3576"/>
      <c r="Q20" s="1555"/>
      <c r="R20" s="1556"/>
      <c r="S20" s="1557"/>
      <c r="T20" s="1556"/>
      <c r="U20" s="1557"/>
      <c r="V20" s="1556"/>
      <c r="W20" s="1557"/>
      <c r="X20" s="1550"/>
      <c r="Y20" s="3576"/>
      <c r="Z20" s="1558"/>
      <c r="AA20" s="1559">
        <v>1</v>
      </c>
      <c r="AB20" s="1559">
        <v>1</v>
      </c>
      <c r="AC20" s="1559">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576"/>
      <c r="Q21" s="1555" t="str">
        <f>B21</f>
        <v>办公集聚程度</v>
      </c>
      <c r="R21" s="1556" t="s">
        <v>8</v>
      </c>
      <c r="S21" s="1557">
        <f>F21</f>
        <v>100</v>
      </c>
      <c r="T21" s="1556" t="s">
        <v>8</v>
      </c>
      <c r="U21" s="1557">
        <f>H21</f>
        <v>100</v>
      </c>
      <c r="V21" s="1556" t="s">
        <v>8</v>
      </c>
      <c r="W21" s="1557">
        <f>J21</f>
        <v>100</v>
      </c>
      <c r="X21" s="1550"/>
      <c r="Y21" s="3576"/>
      <c r="Z21" s="1558" t="str">
        <f>Q21</f>
        <v>办公集聚程度</v>
      </c>
      <c r="AA21" s="1559">
        <f t="shared" si="3"/>
        <v>1</v>
      </c>
      <c r="AB21" s="1559">
        <f t="shared" si="4"/>
        <v>1</v>
      </c>
      <c r="AC21" s="1559">
        <f t="shared" si="5"/>
        <v>1</v>
      </c>
    </row>
    <row r="22" spans="1:29" ht="20.25" hidden="1">
      <c r="A22" s="532"/>
      <c r="B22" s="566"/>
      <c r="C22" s="554"/>
      <c r="D22" s="557"/>
      <c r="E22" s="558"/>
      <c r="F22" s="555"/>
      <c r="G22" s="556"/>
      <c r="H22" s="555"/>
      <c r="I22" s="558"/>
      <c r="J22" s="555"/>
      <c r="K22" s="531"/>
      <c r="L22" s="2124"/>
      <c r="M22" s="2114"/>
      <c r="N22" s="2114"/>
      <c r="O22" s="2123"/>
      <c r="P22" s="3576"/>
      <c r="Q22" s="1555"/>
      <c r="R22" s="1556"/>
      <c r="S22" s="1557"/>
      <c r="T22" s="1556"/>
      <c r="U22" s="1557"/>
      <c r="V22" s="1556"/>
      <c r="W22" s="1557"/>
      <c r="X22" s="1550"/>
      <c r="Y22" s="3576"/>
      <c r="Z22" s="1558"/>
      <c r="AA22" s="1559">
        <v>1</v>
      </c>
      <c r="AB22" s="1559">
        <v>1</v>
      </c>
      <c r="AC22" s="1559">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102</v>
      </c>
      <c r="I23" s="564"/>
      <c r="J23" s="559">
        <f>SUMIF(96:96,I24,97:97)-SUMIF(96:96,C24,97:97)+100</f>
        <v>102</v>
      </c>
      <c r="K23" s="535">
        <v>2</v>
      </c>
      <c r="L23" s="2124"/>
      <c r="M23" s="2114"/>
      <c r="N23" s="2114"/>
      <c r="O23" s="2123"/>
      <c r="P23" s="3576"/>
      <c r="Q23" s="1555" t="str">
        <f>B23</f>
        <v>交通便捷度</v>
      </c>
      <c r="R23" s="1556" t="s">
        <v>8</v>
      </c>
      <c r="S23" s="1557">
        <f>F23</f>
        <v>100</v>
      </c>
      <c r="T23" s="1556" t="s">
        <v>8</v>
      </c>
      <c r="U23" s="1557">
        <f>H23</f>
        <v>102</v>
      </c>
      <c r="V23" s="1556" t="s">
        <v>8</v>
      </c>
      <c r="W23" s="1557">
        <f>J23</f>
        <v>102</v>
      </c>
      <c r="X23" s="1550"/>
      <c r="Y23" s="3576"/>
      <c r="Z23" s="1558" t="str">
        <f>Q23</f>
        <v>交通便捷度</v>
      </c>
      <c r="AA23" s="1559">
        <f t="shared" si="3"/>
        <v>1</v>
      </c>
      <c r="AB23" s="1559">
        <f t="shared" si="4"/>
        <v>0.98039215686274506</v>
      </c>
      <c r="AC23" s="1559">
        <f t="shared" si="5"/>
        <v>0.98039215686274506</v>
      </c>
    </row>
    <row r="24" spans="1:29" ht="20.25">
      <c r="A24" s="532"/>
      <c r="B24" s="578"/>
      <c r="C24" s="554" t="s">
        <v>3103</v>
      </c>
      <c r="D24" s="557"/>
      <c r="E24" s="554" t="s">
        <v>3103</v>
      </c>
      <c r="F24" s="555"/>
      <c r="G24" s="556" t="s">
        <v>3127</v>
      </c>
      <c r="H24" s="555"/>
      <c r="I24" s="558" t="s">
        <v>3127</v>
      </c>
      <c r="J24" s="555"/>
      <c r="K24" s="531"/>
      <c r="L24" s="2124"/>
      <c r="M24" s="2114"/>
      <c r="N24" s="2114"/>
      <c r="O24" s="2123"/>
      <c r="P24" s="3576"/>
      <c r="Q24" s="1555"/>
      <c r="R24" s="1556"/>
      <c r="S24" s="1557"/>
      <c r="T24" s="1556"/>
      <c r="U24" s="1557"/>
      <c r="V24" s="1556"/>
      <c r="W24" s="1557"/>
      <c r="X24" s="1550"/>
      <c r="Y24" s="3576"/>
      <c r="Z24" s="1558"/>
      <c r="AA24" s="1559">
        <v>1</v>
      </c>
      <c r="AB24" s="1559">
        <v>1</v>
      </c>
      <c r="AC24" s="155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576"/>
      <c r="Q25" s="1555" t="str">
        <f t="shared" ref="Q25:Q39" si="8">B25</f>
        <v>区域土地利用方向</v>
      </c>
      <c r="R25" s="1556" t="s">
        <v>8</v>
      </c>
      <c r="S25" s="1557">
        <f>F25</f>
        <v>100</v>
      </c>
      <c r="T25" s="1556" t="s">
        <v>8</v>
      </c>
      <c r="U25" s="1557">
        <f>H25</f>
        <v>100</v>
      </c>
      <c r="V25" s="1556" t="s">
        <v>8</v>
      </c>
      <c r="W25" s="1557">
        <f>J25</f>
        <v>100</v>
      </c>
      <c r="X25" s="1550"/>
      <c r="Y25" s="3576"/>
      <c r="Z25" s="1558" t="str">
        <f>Q25</f>
        <v>区域土地利用方向</v>
      </c>
      <c r="AA25" s="1559">
        <f t="shared" si="3"/>
        <v>1</v>
      </c>
      <c r="AB25" s="1559">
        <f t="shared" si="4"/>
        <v>1</v>
      </c>
      <c r="AC25" s="1559">
        <f t="shared" si="5"/>
        <v>1</v>
      </c>
    </row>
    <row r="26" spans="1:29" ht="20.25">
      <c r="A26" s="515"/>
      <c r="B26" s="1006"/>
      <c r="C26" s="554" t="s">
        <v>3127</v>
      </c>
      <c r="D26" s="557"/>
      <c r="E26" s="554" t="s">
        <v>3127</v>
      </c>
      <c r="F26" s="555"/>
      <c r="G26" s="554" t="s">
        <v>3127</v>
      </c>
      <c r="H26" s="555"/>
      <c r="I26" s="554" t="s">
        <v>3127</v>
      </c>
      <c r="J26" s="555"/>
      <c r="K26" s="531"/>
      <c r="L26" s="2124"/>
      <c r="M26" s="2114"/>
      <c r="N26" s="2114"/>
      <c r="O26" s="2123"/>
      <c r="P26" s="3576"/>
      <c r="Q26" s="1555"/>
      <c r="R26" s="1556"/>
      <c r="S26" s="1557"/>
      <c r="T26" s="1556"/>
      <c r="U26" s="1557"/>
      <c r="V26" s="1556"/>
      <c r="W26" s="1557"/>
      <c r="X26" s="1550"/>
      <c r="Y26" s="3576"/>
      <c r="Z26" s="1558"/>
      <c r="AA26" s="1559"/>
      <c r="AB26" s="1559"/>
      <c r="AC26" s="1559"/>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4"/>
      <c r="M27" s="2114"/>
      <c r="N27" s="2114"/>
      <c r="O27" s="2123"/>
      <c r="P27" s="3576"/>
      <c r="Q27" s="1555" t="str">
        <f t="shared" si="8"/>
        <v>自然及人文环境状况</v>
      </c>
      <c r="R27" s="1556" t="s">
        <v>8</v>
      </c>
      <c r="S27" s="1557">
        <f>F27</f>
        <v>100</v>
      </c>
      <c r="T27" s="1556" t="s">
        <v>8</v>
      </c>
      <c r="U27" s="1557">
        <f>H27</f>
        <v>100</v>
      </c>
      <c r="V27" s="1556" t="s">
        <v>8</v>
      </c>
      <c r="W27" s="1557">
        <f>J27</f>
        <v>100</v>
      </c>
      <c r="X27" s="1550"/>
      <c r="Y27" s="3576"/>
      <c r="Z27" s="1558" t="str">
        <f>Q27</f>
        <v>自然及人文环境状况</v>
      </c>
      <c r="AA27" s="1559">
        <f t="shared" si="3"/>
        <v>1</v>
      </c>
      <c r="AB27" s="1559">
        <f t="shared" si="4"/>
        <v>1</v>
      </c>
      <c r="AC27" s="1559">
        <f t="shared" si="5"/>
        <v>1</v>
      </c>
    </row>
    <row r="28" spans="1:29" ht="20.25">
      <c r="A28" s="515"/>
      <c r="B28" s="566"/>
      <c r="C28" s="554" t="s">
        <v>3103</v>
      </c>
      <c r="D28" s="557"/>
      <c r="E28" s="554" t="s">
        <v>3103</v>
      </c>
      <c r="F28" s="555"/>
      <c r="G28" s="554" t="s">
        <v>3103</v>
      </c>
      <c r="H28" s="555"/>
      <c r="I28" s="554" t="s">
        <v>3103</v>
      </c>
      <c r="J28" s="555"/>
      <c r="K28" s="531"/>
      <c r="L28" s="2124"/>
      <c r="M28" s="2114"/>
      <c r="N28" s="2114"/>
      <c r="O28" s="2123"/>
      <c r="P28" s="3576"/>
      <c r="Q28" s="1555"/>
      <c r="R28" s="1556"/>
      <c r="S28" s="1557"/>
      <c r="T28" s="1556"/>
      <c r="U28" s="1557"/>
      <c r="V28" s="1556"/>
      <c r="W28" s="1557"/>
      <c r="X28" s="1550"/>
      <c r="Y28" s="3576"/>
      <c r="Z28" s="1558"/>
      <c r="AA28" s="1559">
        <v>1</v>
      </c>
      <c r="AB28" s="1559">
        <v>1</v>
      </c>
      <c r="AC28" s="1559">
        <v>1</v>
      </c>
    </row>
    <row r="29" spans="1:29" s="1215" customFormat="1" ht="20.25">
      <c r="A29" s="577"/>
      <c r="B29" s="2552"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7"/>
      <c r="M29" s="2114"/>
      <c r="N29" s="2114"/>
      <c r="O29" s="2119"/>
      <c r="P29" s="3576"/>
      <c r="Q29" s="1146" t="str">
        <f t="shared" si="8"/>
        <v>公共配套设施</v>
      </c>
      <c r="R29" s="1551" t="s">
        <v>8</v>
      </c>
      <c r="S29" s="1552">
        <f>F29</f>
        <v>100</v>
      </c>
      <c r="T29" s="1551" t="s">
        <v>8</v>
      </c>
      <c r="U29" s="1552">
        <f>H29</f>
        <v>100</v>
      </c>
      <c r="V29" s="1551" t="s">
        <v>8</v>
      </c>
      <c r="W29" s="1552">
        <f>J29</f>
        <v>100</v>
      </c>
      <c r="X29" s="1553"/>
      <c r="Y29" s="3576"/>
      <c r="Z29" s="1145" t="str">
        <f>Q29</f>
        <v>公共配套设施</v>
      </c>
      <c r="AA29" s="1559">
        <f>D29/F29</f>
        <v>1</v>
      </c>
      <c r="AB29" s="1559">
        <f>D29/H29</f>
        <v>1</v>
      </c>
      <c r="AC29" s="1559">
        <f>D29/J29</f>
        <v>1</v>
      </c>
    </row>
    <row r="30" spans="1:29" s="1215" customFormat="1" ht="20.25">
      <c r="A30" s="577"/>
      <c r="B30" s="566"/>
      <c r="C30" s="579" t="s">
        <v>3103</v>
      </c>
      <c r="D30" s="557"/>
      <c r="E30" s="579" t="s">
        <v>3103</v>
      </c>
      <c r="F30" s="555"/>
      <c r="G30" s="554" t="s">
        <v>3103</v>
      </c>
      <c r="H30" s="555"/>
      <c r="I30" s="554" t="s">
        <v>3103</v>
      </c>
      <c r="J30" s="555"/>
      <c r="K30" s="531"/>
      <c r="L30" s="2117"/>
      <c r="M30" s="2114"/>
      <c r="N30" s="2114"/>
      <c r="O30" s="2119"/>
      <c r="P30" s="3576"/>
      <c r="Q30" s="1146"/>
      <c r="R30" s="1551"/>
      <c r="S30" s="1552"/>
      <c r="T30" s="1551"/>
      <c r="U30" s="1552"/>
      <c r="V30" s="1551"/>
      <c r="W30" s="1552"/>
      <c r="X30" s="1553"/>
      <c r="Y30" s="3576"/>
      <c r="Z30" s="1145"/>
      <c r="AA30" s="1559">
        <v>1</v>
      </c>
      <c r="AB30" s="1559">
        <v>1</v>
      </c>
      <c r="AC30" s="1559">
        <v>1</v>
      </c>
    </row>
    <row r="31" spans="1:29" s="1215" customFormat="1" ht="20.25">
      <c r="A31" s="577"/>
      <c r="B31" s="2552"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7"/>
      <c r="M31" s="2114"/>
      <c r="N31" s="2114"/>
      <c r="O31" s="2119"/>
      <c r="P31" s="3576"/>
      <c r="Q31" s="2539" t="str">
        <f t="shared" ref="Q31" si="9">B31</f>
        <v>基础设施水平</v>
      </c>
      <c r="R31" s="1551" t="s">
        <v>8</v>
      </c>
      <c r="S31" s="1552">
        <f>F31</f>
        <v>100</v>
      </c>
      <c r="T31" s="1551" t="s">
        <v>8</v>
      </c>
      <c r="U31" s="1552">
        <f>H31</f>
        <v>100</v>
      </c>
      <c r="V31" s="1551" t="s">
        <v>8</v>
      </c>
      <c r="W31" s="1552">
        <f>J31</f>
        <v>100</v>
      </c>
      <c r="X31" s="1553"/>
      <c r="Y31" s="3576"/>
      <c r="Z31" s="2536" t="str">
        <f>Q31</f>
        <v>基础设施水平</v>
      </c>
      <c r="AA31" s="1559">
        <f>D31/F31</f>
        <v>1</v>
      </c>
      <c r="AB31" s="1559">
        <f>D31/H31</f>
        <v>1</v>
      </c>
      <c r="AC31" s="1559">
        <f>D31/J31</f>
        <v>1</v>
      </c>
    </row>
    <row r="32" spans="1:29" s="1215" customFormat="1" ht="20.25">
      <c r="A32" s="577"/>
      <c r="B32" s="566"/>
      <c r="C32" s="579" t="s">
        <v>3106</v>
      </c>
      <c r="D32" s="557"/>
      <c r="E32" s="579" t="s">
        <v>3106</v>
      </c>
      <c r="F32" s="555"/>
      <c r="G32" s="579" t="s">
        <v>3106</v>
      </c>
      <c r="H32" s="555"/>
      <c r="I32" s="579" t="s">
        <v>3106</v>
      </c>
      <c r="J32" s="555"/>
      <c r="K32" s="531"/>
      <c r="L32" s="2117"/>
      <c r="M32" s="2114"/>
      <c r="N32" s="2114"/>
      <c r="O32" s="2119"/>
      <c r="P32" s="3576"/>
      <c r="Q32" s="2539"/>
      <c r="R32" s="1551"/>
      <c r="S32" s="1552"/>
      <c r="T32" s="1551"/>
      <c r="U32" s="1552"/>
      <c r="V32" s="1551"/>
      <c r="W32" s="1552"/>
      <c r="X32" s="1553"/>
      <c r="Y32" s="3576"/>
      <c r="Z32" s="2536"/>
      <c r="AA32" s="1559">
        <v>1</v>
      </c>
      <c r="AB32" s="1559">
        <v>1</v>
      </c>
      <c r="AC32" s="1559">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57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576"/>
      <c r="Z33" s="1558" t="str">
        <f t="shared" ref="Z33:Z47" si="13">Q33</f>
        <v>临街状况</v>
      </c>
      <c r="AA33" s="1559">
        <f t="shared" si="3"/>
        <v>1</v>
      </c>
      <c r="AB33" s="1559">
        <f t="shared" si="4"/>
        <v>1</v>
      </c>
      <c r="AC33" s="1559">
        <f t="shared" si="5"/>
        <v>1</v>
      </c>
    </row>
    <row r="34" spans="1:29" ht="27">
      <c r="A34" s="532"/>
      <c r="B34" s="578" t="s">
        <v>548</v>
      </c>
      <c r="C34" s="562"/>
      <c r="D34" s="563">
        <v>100</v>
      </c>
      <c r="E34" s="564"/>
      <c r="F34" s="559">
        <f>SUMIF(108:108,E35,109:109)-SUMIF(108:108,C35,109:109)+100</f>
        <v>98</v>
      </c>
      <c r="G34" s="562"/>
      <c r="H34" s="559">
        <f>SUMIF(108:108,G35,109:109)-SUMIF(108:108,C35,109:109)+100</f>
        <v>106</v>
      </c>
      <c r="I34" s="564"/>
      <c r="J34" s="559">
        <f>SUMIF(108:108,I35,109:109)-SUMIF(108:108,C35,109:109)+100</f>
        <v>102</v>
      </c>
      <c r="K34" s="535">
        <v>2</v>
      </c>
      <c r="L34" s="2124"/>
      <c r="M34" s="2114"/>
      <c r="N34" s="2114"/>
      <c r="O34" s="2123"/>
      <c r="P34" s="3576"/>
      <c r="Q34" s="1555" t="str">
        <f t="shared" si="8"/>
        <v>毗邻道路的类型与等级</v>
      </c>
      <c r="R34" s="1556" t="s">
        <v>8</v>
      </c>
      <c r="S34" s="1557">
        <f t="shared" si="10"/>
        <v>98</v>
      </c>
      <c r="T34" s="1556" t="s">
        <v>8</v>
      </c>
      <c r="U34" s="1557">
        <f t="shared" si="11"/>
        <v>106</v>
      </c>
      <c r="V34" s="1556" t="s">
        <v>8</v>
      </c>
      <c r="W34" s="1557">
        <f t="shared" si="12"/>
        <v>102</v>
      </c>
      <c r="X34" s="1550"/>
      <c r="Y34" s="3576"/>
      <c r="Z34" s="1558" t="str">
        <f t="shared" si="13"/>
        <v>毗邻道路的类型与等级</v>
      </c>
      <c r="AA34" s="1559">
        <f t="shared" si="3"/>
        <v>1.0204081632653061</v>
      </c>
      <c r="AB34" s="1559">
        <f t="shared" si="4"/>
        <v>0.94339622641509435</v>
      </c>
      <c r="AC34" s="1559">
        <f t="shared" si="5"/>
        <v>0.98039215686274506</v>
      </c>
    </row>
    <row r="35" spans="1:29" ht="20.25">
      <c r="A35" s="532"/>
      <c r="B35" s="566"/>
      <c r="C35" s="554" t="s">
        <v>3727</v>
      </c>
      <c r="D35" s="557"/>
      <c r="E35" s="576" t="s">
        <v>3125</v>
      </c>
      <c r="F35" s="555"/>
      <c r="G35" s="554" t="s">
        <v>3119</v>
      </c>
      <c r="H35" s="555"/>
      <c r="I35" s="576" t="s">
        <v>3122</v>
      </c>
      <c r="J35" s="555"/>
      <c r="K35" s="581"/>
      <c r="L35" s="2124"/>
      <c r="M35" s="2114"/>
      <c r="N35" s="2114"/>
      <c r="O35" s="2123"/>
      <c r="P35" s="3576"/>
      <c r="Q35" s="1555"/>
      <c r="R35" s="1556"/>
      <c r="S35" s="1557"/>
      <c r="T35" s="1556"/>
      <c r="U35" s="1557"/>
      <c r="V35" s="1556"/>
      <c r="W35" s="1557"/>
      <c r="X35" s="1550"/>
      <c r="Y35" s="3576"/>
      <c r="Z35" s="1558"/>
      <c r="AA35" s="1559">
        <v>1</v>
      </c>
      <c r="AB35" s="1559">
        <v>1</v>
      </c>
      <c r="AC35" s="1559">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76"/>
      <c r="Q36" s="1555" t="str">
        <f t="shared" si="8"/>
        <v>土地级别</v>
      </c>
      <c r="R36" s="1556" t="s">
        <v>8</v>
      </c>
      <c r="S36" s="1557">
        <f t="shared" si="10"/>
        <v>100</v>
      </c>
      <c r="T36" s="1556" t="s">
        <v>8</v>
      </c>
      <c r="U36" s="1557">
        <f t="shared" si="11"/>
        <v>100</v>
      </c>
      <c r="V36" s="1556" t="s">
        <v>8</v>
      </c>
      <c r="W36" s="1557">
        <f t="shared" si="12"/>
        <v>100</v>
      </c>
      <c r="X36" s="1550"/>
      <c r="Y36" s="3576"/>
      <c r="Z36" s="1558" t="str">
        <f t="shared" si="13"/>
        <v>土地级别</v>
      </c>
      <c r="AA36" s="1559">
        <f t="shared" si="3"/>
        <v>1</v>
      </c>
      <c r="AB36" s="1559">
        <f t="shared" si="4"/>
        <v>1</v>
      </c>
      <c r="AC36" s="1559">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76"/>
      <c r="Q37" s="1555">
        <f t="shared" si="8"/>
        <v>111</v>
      </c>
      <c r="R37" s="1556" t="s">
        <v>8</v>
      </c>
      <c r="S37" s="1557">
        <f t="shared" si="10"/>
        <v>100</v>
      </c>
      <c r="T37" s="1556" t="s">
        <v>8</v>
      </c>
      <c r="U37" s="1557">
        <f t="shared" si="11"/>
        <v>100</v>
      </c>
      <c r="V37" s="1556" t="s">
        <v>8</v>
      </c>
      <c r="W37" s="1557">
        <f t="shared" si="12"/>
        <v>100</v>
      </c>
      <c r="X37" s="1550"/>
      <c r="Y37" s="3576"/>
      <c r="Z37" s="1558">
        <f t="shared" si="13"/>
        <v>111</v>
      </c>
      <c r="AA37" s="1559">
        <f t="shared" si="3"/>
        <v>1</v>
      </c>
      <c r="AB37" s="1559">
        <f t="shared" si="4"/>
        <v>1</v>
      </c>
      <c r="AC37" s="1559">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77" t="s">
        <v>550</v>
      </c>
      <c r="Q38" s="1555">
        <f t="shared" si="8"/>
        <v>111</v>
      </c>
      <c r="R38" s="1556" t="s">
        <v>8</v>
      </c>
      <c r="S38" s="1557">
        <f t="shared" si="10"/>
        <v>100</v>
      </c>
      <c r="T38" s="1556" t="s">
        <v>8</v>
      </c>
      <c r="U38" s="1557">
        <f t="shared" si="11"/>
        <v>100</v>
      </c>
      <c r="V38" s="1556" t="s">
        <v>8</v>
      </c>
      <c r="W38" s="1557">
        <f t="shared" si="12"/>
        <v>100</v>
      </c>
      <c r="X38" s="1550"/>
      <c r="Y38" s="3578" t="s">
        <v>550</v>
      </c>
      <c r="Z38" s="1558">
        <f t="shared" si="13"/>
        <v>111</v>
      </c>
      <c r="AA38" s="1559">
        <f t="shared" si="3"/>
        <v>1</v>
      </c>
      <c r="AB38" s="1559">
        <f t="shared" si="4"/>
        <v>1</v>
      </c>
      <c r="AC38" s="1559">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78"/>
      <c r="Q39" s="1555">
        <f t="shared" si="8"/>
        <v>111</v>
      </c>
      <c r="R39" s="1560" t="s">
        <v>8</v>
      </c>
      <c r="S39" s="1561">
        <f t="shared" si="10"/>
        <v>100</v>
      </c>
      <c r="T39" s="1560" t="s">
        <v>8</v>
      </c>
      <c r="U39" s="1561">
        <f t="shared" si="11"/>
        <v>100</v>
      </c>
      <c r="V39" s="1560" t="s">
        <v>8</v>
      </c>
      <c r="W39" s="1561">
        <f t="shared" si="12"/>
        <v>100</v>
      </c>
      <c r="X39" s="1562"/>
      <c r="Y39" s="3578"/>
      <c r="Z39" s="1563">
        <f t="shared" si="13"/>
        <v>111</v>
      </c>
      <c r="AA39" s="1559">
        <f t="shared" si="3"/>
        <v>1</v>
      </c>
      <c r="AB39" s="1559">
        <f t="shared" si="4"/>
        <v>1</v>
      </c>
      <c r="AC39" s="1559">
        <f t="shared" si="5"/>
        <v>1</v>
      </c>
    </row>
    <row r="40" spans="1:29" ht="20.25">
      <c r="A40" s="2859" t="s">
        <v>2751</v>
      </c>
      <c r="B40" s="595" t="s">
        <v>552</v>
      </c>
      <c r="C40" s="596">
        <f>'数据-基础表'!A3</f>
        <v>350568.67</v>
      </c>
      <c r="D40" s="597">
        <v>100</v>
      </c>
      <c r="E40" s="596">
        <f>Sheet0!D2</f>
        <v>27496.09</v>
      </c>
      <c r="F40" s="597">
        <f>LOOKUP(E40,119:119,120:120)-LOOKUP(C40,119:119,120:120)+100</f>
        <v>92</v>
      </c>
      <c r="G40" s="596">
        <f>Sheet0!D7</f>
        <v>47817.19</v>
      </c>
      <c r="H40" s="597">
        <f>LOOKUP(G40,119:119,120:120)-LOOKUP(C40,119:119,120:120)+100</f>
        <v>92</v>
      </c>
      <c r="I40" s="598">
        <f>Sheet0!D12</f>
        <v>61267.13</v>
      </c>
      <c r="J40" s="597">
        <f>LOOKUP(I40,119:119,120:120)-LOOKUP(C40,119:119,120:120)+100</f>
        <v>94</v>
      </c>
      <c r="K40" s="581"/>
      <c r="L40" s="2124"/>
      <c r="M40" s="2114"/>
      <c r="N40" s="2114"/>
      <c r="O40" s="2123"/>
      <c r="P40" s="3578"/>
      <c r="Q40" s="1555" t="str">
        <f>B40</f>
        <v>宗地面积</v>
      </c>
      <c r="R40" s="1556" t="s">
        <v>8</v>
      </c>
      <c r="S40" s="1557">
        <f t="shared" si="10"/>
        <v>92</v>
      </c>
      <c r="T40" s="1556" t="s">
        <v>8</v>
      </c>
      <c r="U40" s="1557">
        <f t="shared" si="11"/>
        <v>92</v>
      </c>
      <c r="V40" s="1556" t="s">
        <v>8</v>
      </c>
      <c r="W40" s="1557">
        <f t="shared" si="12"/>
        <v>94</v>
      </c>
      <c r="X40" s="1550"/>
      <c r="Y40" s="3578"/>
      <c r="Z40" s="1558" t="str">
        <f t="shared" si="13"/>
        <v>宗地面积</v>
      </c>
      <c r="AA40" s="1559">
        <f t="shared" si="3"/>
        <v>1.0869565217391304</v>
      </c>
      <c r="AB40" s="1559">
        <f t="shared" si="4"/>
        <v>1.0869565217391304</v>
      </c>
      <c r="AC40" s="1559">
        <f t="shared" si="5"/>
        <v>1.0638297872340425</v>
      </c>
    </row>
    <row r="41" spans="1:29" ht="20.25">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4"/>
      <c r="M41" s="2114"/>
      <c r="N41" s="2114"/>
      <c r="O41" s="2123"/>
      <c r="P41" s="3578"/>
      <c r="Q41" s="1555" t="str">
        <f t="shared" ref="Q41:Q47" si="14">B41</f>
        <v>宗地形状</v>
      </c>
      <c r="R41" s="1556" t="s">
        <v>8</v>
      </c>
      <c r="S41" s="1557">
        <f t="shared" si="10"/>
        <v>100</v>
      </c>
      <c r="T41" s="1556" t="s">
        <v>8</v>
      </c>
      <c r="U41" s="1557">
        <f t="shared" si="11"/>
        <v>100</v>
      </c>
      <c r="V41" s="1556" t="s">
        <v>8</v>
      </c>
      <c r="W41" s="1557">
        <f t="shared" si="12"/>
        <v>100</v>
      </c>
      <c r="X41" s="1550"/>
      <c r="Y41" s="3578"/>
      <c r="Z41" s="1558" t="str">
        <f t="shared" si="13"/>
        <v>宗地形状</v>
      </c>
      <c r="AA41" s="1559">
        <f t="shared" si="3"/>
        <v>1</v>
      </c>
      <c r="AB41" s="1559">
        <f t="shared" si="4"/>
        <v>1</v>
      </c>
      <c r="AC41" s="1559">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4"/>
      <c r="M42" s="2114"/>
      <c r="N42" s="2114"/>
      <c r="O42" s="2123"/>
      <c r="P42" s="3578"/>
      <c r="Q42" s="1555" t="str">
        <f t="shared" si="14"/>
        <v>临街宽度及深度</v>
      </c>
      <c r="R42" s="1556" t="s">
        <v>8</v>
      </c>
      <c r="S42" s="1557">
        <f t="shared" si="10"/>
        <v>100</v>
      </c>
      <c r="T42" s="1556" t="s">
        <v>8</v>
      </c>
      <c r="U42" s="1557">
        <f t="shared" si="11"/>
        <v>100</v>
      </c>
      <c r="V42" s="1556" t="s">
        <v>8</v>
      </c>
      <c r="W42" s="1557">
        <f t="shared" si="12"/>
        <v>100</v>
      </c>
      <c r="X42" s="1550"/>
      <c r="Y42" s="3578"/>
      <c r="Z42" s="1558" t="str">
        <f t="shared" si="13"/>
        <v>临街宽度及深度</v>
      </c>
      <c r="AA42" s="1559">
        <f t="shared" si="3"/>
        <v>1</v>
      </c>
      <c r="AB42" s="1559">
        <f t="shared" si="4"/>
        <v>1</v>
      </c>
      <c r="AC42" s="1559">
        <f t="shared" si="5"/>
        <v>1</v>
      </c>
    </row>
    <row r="43" spans="1:29" s="1215" customFormat="1" ht="20.25">
      <c r="A43" s="600"/>
      <c r="B43" s="1877"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7"/>
      <c r="M43" s="2114"/>
      <c r="N43" s="2114"/>
      <c r="O43" s="2119"/>
      <c r="P43" s="3578"/>
      <c r="Q43" s="1555" t="str">
        <f t="shared" si="14"/>
        <v>宗地开发程度</v>
      </c>
      <c r="R43" s="1551" t="s">
        <v>8</v>
      </c>
      <c r="S43" s="1552">
        <f t="shared" si="10"/>
        <v>100</v>
      </c>
      <c r="T43" s="1551" t="s">
        <v>8</v>
      </c>
      <c r="U43" s="1552">
        <f t="shared" si="11"/>
        <v>100</v>
      </c>
      <c r="V43" s="1551" t="s">
        <v>8</v>
      </c>
      <c r="W43" s="1552">
        <f t="shared" si="12"/>
        <v>100</v>
      </c>
      <c r="X43" s="1553"/>
      <c r="Y43" s="3578"/>
      <c r="Z43" s="1145" t="str">
        <f t="shared" si="13"/>
        <v>宗地开发程度</v>
      </c>
      <c r="AA43" s="1554">
        <f t="shared" si="3"/>
        <v>1</v>
      </c>
      <c r="AB43" s="1554">
        <f t="shared" si="4"/>
        <v>1</v>
      </c>
      <c r="AC43" s="1554">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4"/>
      <c r="M44" s="2114"/>
      <c r="N44" s="2114"/>
      <c r="O44" s="2123"/>
      <c r="P44" s="3578" t="s">
        <v>550</v>
      </c>
      <c r="Q44" s="1555" t="str">
        <f t="shared" si="14"/>
        <v>工程地质条件</v>
      </c>
      <c r="R44" s="1556" t="s">
        <v>8</v>
      </c>
      <c r="S44" s="1557">
        <f t="shared" si="10"/>
        <v>100</v>
      </c>
      <c r="T44" s="1556" t="s">
        <v>8</v>
      </c>
      <c r="U44" s="1557">
        <f t="shared" si="11"/>
        <v>100</v>
      </c>
      <c r="V44" s="1556" t="s">
        <v>8</v>
      </c>
      <c r="W44" s="1557">
        <f t="shared" si="12"/>
        <v>100</v>
      </c>
      <c r="X44" s="1550"/>
      <c r="Y44" s="3578" t="s">
        <v>550</v>
      </c>
      <c r="Z44" s="1558" t="str">
        <f t="shared" si="13"/>
        <v>工程地质条件</v>
      </c>
      <c r="AA44" s="1559">
        <f t="shared" si="3"/>
        <v>1</v>
      </c>
      <c r="AB44" s="1559">
        <f t="shared" si="4"/>
        <v>1</v>
      </c>
      <c r="AC44" s="1559">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578"/>
      <c r="Q45" s="1555">
        <f t="shared" si="14"/>
        <v>111</v>
      </c>
      <c r="R45" s="1556" t="s">
        <v>8</v>
      </c>
      <c r="S45" s="1557">
        <f t="shared" si="10"/>
        <v>100</v>
      </c>
      <c r="T45" s="1556" t="s">
        <v>8</v>
      </c>
      <c r="U45" s="1557">
        <f t="shared" si="11"/>
        <v>100</v>
      </c>
      <c r="V45" s="1556" t="s">
        <v>8</v>
      </c>
      <c r="W45" s="1557">
        <f t="shared" si="12"/>
        <v>100</v>
      </c>
      <c r="X45" s="1550"/>
      <c r="Y45" s="3578"/>
      <c r="Z45" s="1558">
        <f t="shared" si="13"/>
        <v>111</v>
      </c>
      <c r="AA45" s="1559">
        <f t="shared" si="3"/>
        <v>1</v>
      </c>
      <c r="AB45" s="1559">
        <f t="shared" si="4"/>
        <v>1</v>
      </c>
      <c r="AC45" s="1559">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78"/>
      <c r="Q46" s="1555">
        <f t="shared" si="14"/>
        <v>111</v>
      </c>
      <c r="R46" s="1556" t="s">
        <v>8</v>
      </c>
      <c r="S46" s="1557">
        <f t="shared" si="10"/>
        <v>100</v>
      </c>
      <c r="T46" s="1556" t="s">
        <v>8</v>
      </c>
      <c r="U46" s="1557">
        <f t="shared" si="11"/>
        <v>100</v>
      </c>
      <c r="V46" s="1556" t="s">
        <v>8</v>
      </c>
      <c r="W46" s="1557">
        <f t="shared" si="12"/>
        <v>100</v>
      </c>
      <c r="X46" s="1550"/>
      <c r="Y46" s="3578"/>
      <c r="Z46" s="1558">
        <f t="shared" si="13"/>
        <v>111</v>
      </c>
      <c r="AA46" s="1559">
        <f t="shared" si="3"/>
        <v>1</v>
      </c>
      <c r="AB46" s="1559">
        <f t="shared" si="4"/>
        <v>1</v>
      </c>
      <c r="AC46" s="1559">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78"/>
      <c r="Q47" s="1555">
        <f t="shared" si="14"/>
        <v>111</v>
      </c>
      <c r="R47" s="1560" t="s">
        <v>8</v>
      </c>
      <c r="S47" s="1561">
        <f t="shared" si="10"/>
        <v>100</v>
      </c>
      <c r="T47" s="1560" t="s">
        <v>8</v>
      </c>
      <c r="U47" s="1561">
        <f t="shared" si="11"/>
        <v>100</v>
      </c>
      <c r="V47" s="1560" t="s">
        <v>8</v>
      </c>
      <c r="W47" s="1561">
        <f t="shared" si="12"/>
        <v>100</v>
      </c>
      <c r="X47" s="1562"/>
      <c r="Y47" s="3578"/>
      <c r="Z47" s="1563">
        <f t="shared" si="13"/>
        <v>111</v>
      </c>
      <c r="AA47" s="1559">
        <f t="shared" si="3"/>
        <v>1</v>
      </c>
      <c r="AB47" s="1559">
        <f t="shared" si="4"/>
        <v>1</v>
      </c>
      <c r="AC47" s="1559">
        <f t="shared" si="5"/>
        <v>1</v>
      </c>
    </row>
    <row r="48" spans="1:29" ht="20.25">
      <c r="A48" s="607" t="s">
        <v>556</v>
      </c>
      <c r="B48" s="608" t="s">
        <v>3128</v>
      </c>
      <c r="C48" s="609" t="s">
        <v>1</v>
      </c>
      <c r="D48" s="610"/>
      <c r="E48" s="611">
        <f>Sheet0!K2</f>
        <v>3090</v>
      </c>
      <c r="F48" s="612"/>
      <c r="G48" s="613">
        <f>Sheet0!K7</f>
        <v>3401</v>
      </c>
      <c r="H48" s="614"/>
      <c r="I48" s="611">
        <f>Sheet0!K12</f>
        <v>3015</v>
      </c>
      <c r="J48" s="614"/>
      <c r="K48" s="1335"/>
      <c r="L48" s="2126"/>
      <c r="M48" s="2114"/>
      <c r="N48" s="2114"/>
      <c r="O48" s="2127"/>
      <c r="P48" s="3573" t="str">
        <f>A48</f>
        <v>成交单价</v>
      </c>
      <c r="Q48" s="3573"/>
      <c r="R48" s="3587">
        <f>E48</f>
        <v>3090</v>
      </c>
      <c r="S48" s="3587"/>
      <c r="T48" s="3587">
        <f>G48</f>
        <v>3401</v>
      </c>
      <c r="U48" s="3587"/>
      <c r="V48" s="3587">
        <f>I48</f>
        <v>3015</v>
      </c>
      <c r="W48" s="3587"/>
      <c r="X48" s="1542"/>
      <c r="Y48" s="1564"/>
      <c r="Z48" s="1542"/>
      <c r="AA48" s="1542"/>
      <c r="AB48" s="1542"/>
      <c r="AC48" s="1542"/>
    </row>
    <row r="49" spans="1:29" ht="21" thickBot="1">
      <c r="A49" s="615" t="s">
        <v>2689</v>
      </c>
      <c r="B49" s="616"/>
      <c r="C49" s="617">
        <f>R50</f>
        <v>3235</v>
      </c>
      <c r="D49" s="618"/>
      <c r="E49" s="617">
        <f>R49</f>
        <v>3329</v>
      </c>
      <c r="F49" s="619"/>
      <c r="G49" s="620">
        <f>T49</f>
        <v>3321</v>
      </c>
      <c r="H49" s="618"/>
      <c r="I49" s="617">
        <f>V49</f>
        <v>3055</v>
      </c>
      <c r="J49" s="618"/>
      <c r="K49" s="1336"/>
      <c r="L49" s="2126"/>
      <c r="M49" s="2114"/>
      <c r="N49" s="2114"/>
      <c r="O49" s="2127"/>
      <c r="P49" s="3573" t="str">
        <f>A49</f>
        <v>比较价格（元/平方米）</v>
      </c>
      <c r="Q49" s="3573"/>
      <c r="R49" s="3597">
        <f>ROUND(PRODUCT(R48,AA9:AA47),0)</f>
        <v>3329</v>
      </c>
      <c r="S49" s="3597"/>
      <c r="T49" s="3597">
        <f>ROUND(PRODUCT(T48,AB9:AB47),0)</f>
        <v>3321</v>
      </c>
      <c r="U49" s="3597"/>
      <c r="V49" s="3597">
        <f>ROUND(PRODUCT(V48,AC9:AC47),0)</f>
        <v>3055</v>
      </c>
      <c r="W49" s="3597"/>
      <c r="X49" s="1542"/>
      <c r="Y49" s="1542"/>
      <c r="Z49" s="1542"/>
      <c r="AA49" s="1542"/>
      <c r="AB49" s="1542"/>
      <c r="AC49" s="1542"/>
    </row>
    <row r="50" spans="1:29" ht="21" thickBot="1">
      <c r="A50" s="621" t="s">
        <v>2929</v>
      </c>
      <c r="B50" s="622"/>
      <c r="C50" s="623">
        <f>R50</f>
        <v>3235</v>
      </c>
      <c r="D50" s="623"/>
      <c r="E50" s="623"/>
      <c r="F50" s="623"/>
      <c r="G50" s="623"/>
      <c r="H50" s="623"/>
      <c r="I50" s="623"/>
      <c r="J50" s="623"/>
      <c r="K50" s="1337"/>
      <c r="L50" s="2126"/>
      <c r="M50" s="2114"/>
      <c r="N50" s="2114"/>
      <c r="O50" s="2127"/>
      <c r="P50" s="3594" t="str">
        <f>A50</f>
        <v>估价对象XX用房的比较价格（楼面单价，元/平方米）</v>
      </c>
      <c r="Q50" s="3595"/>
      <c r="R50" s="3596">
        <f>ROUND(AVERAGE(R49:V49),0)</f>
        <v>3235</v>
      </c>
      <c r="S50" s="3596"/>
      <c r="T50" s="3596"/>
      <c r="U50" s="3596"/>
      <c r="V50" s="3596"/>
      <c r="W50" s="3596"/>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7.7346278317152128E-2</v>
      </c>
      <c r="F53" s="627" t="str">
        <f>IF(OR(E53&gt;=0.3,E53&lt;=-0.3),"超过30%","")</f>
        <v/>
      </c>
      <c r="G53" s="626">
        <f>IF(G48&lt;G49,G49/G48-1,G48/G49-1)</f>
        <v>2.4089129780186624E-2</v>
      </c>
      <c r="H53" s="627" t="str">
        <f>IF(OR(G53&gt;=0.3,G53&lt;=-0.3),"超过30%","")</f>
        <v/>
      </c>
      <c r="I53" s="626">
        <f>IF(I48&lt;I49,I49/I48-1,I48/I49-1)</f>
        <v>1.3266998341625147E-2</v>
      </c>
      <c r="J53" s="627"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2.4089129780187069E-3</v>
      </c>
      <c r="F54" s="627" t="str">
        <f>IF(OR(E54&gt;=0.2,E54&lt;=-0.2),"超过20%","")</f>
        <v/>
      </c>
      <c r="G54" s="626">
        <f>IF(G49&lt;I49,I49/G49-1,G49/I49-1)</f>
        <v>8.70703764320786E-2</v>
      </c>
      <c r="H54" s="627" t="str">
        <f>IF(OR(G54&gt;=0.2,G54&lt;=-0.2),"超过20%","")</f>
        <v/>
      </c>
      <c r="I54" s="626">
        <f>IF(I49&lt;E49,E49/I49-1,I49/E49-1)</f>
        <v>8.9689034369885512E-2</v>
      </c>
      <c r="J54" s="627"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0.10064724919093848</v>
      </c>
      <c r="F55" s="627" t="str">
        <f>IF(OR(E55&gt;=0.3,E55&lt;=-0.3),"超过30%","")</f>
        <v/>
      </c>
      <c r="G55" s="626">
        <f>IF(G48&lt;I48,I48/G48-1,G48/I48-1)</f>
        <v>0.12802653399668329</v>
      </c>
      <c r="H55" s="627" t="str">
        <f>IF(OR(G55&gt;=0.3,G55&lt;=-0.3),"超过30%","")</f>
        <v/>
      </c>
      <c r="I55" s="626">
        <f>IF(I48&lt;E48,E48/I48-1,I48/E48-1)</f>
        <v>2.4875621890547261E-2</v>
      </c>
      <c r="J55" s="627"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9" t="s">
        <v>560</v>
      </c>
      <c r="B57" s="630" t="s">
        <v>561</v>
      </c>
      <c r="C57" s="1543" t="s">
        <v>1724</v>
      </c>
      <c r="D57" s="2209" t="s">
        <v>2291</v>
      </c>
      <c r="E57" s="631" t="s">
        <v>562</v>
      </c>
      <c r="F57" s="632" t="s">
        <v>563</v>
      </c>
      <c r="G57" s="3557" t="s">
        <v>2279</v>
      </c>
      <c r="H57" s="3558"/>
      <c r="I57" s="1538" t="s">
        <v>1722</v>
      </c>
      <c r="J57" s="1538" t="str">
        <f>项目基本情况!F41</f>
        <v>廊坊市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3235</v>
      </c>
      <c r="C58" s="635">
        <v>1</v>
      </c>
      <c r="D58" s="2210">
        <v>1</v>
      </c>
      <c r="E58" s="635">
        <f>'数据-汇总表'!E8+'数据-汇总表'!E9</f>
        <v>482673.68000000005</v>
      </c>
      <c r="F58" s="636">
        <f t="shared" ref="F58:F67" si="15">ROUND(B58*E58/10000,0)</f>
        <v>156145</v>
      </c>
      <c r="G58" s="3559"/>
      <c r="H58" s="356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561"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56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56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56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8">
        <f t="shared" si="17"/>
        <v>0</v>
      </c>
      <c r="C63" s="378">
        <f t="shared" si="16"/>
        <v>0</v>
      </c>
      <c r="D63" s="2211">
        <v>0.25</v>
      </c>
      <c r="E63" s="641">
        <f>'数据-汇总表'!E11</f>
        <v>0</v>
      </c>
      <c r="F63" s="636">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156438.94999999998</v>
      </c>
      <c r="F65" s="636">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2292</v>
      </c>
      <c r="E68" s="643">
        <f>IF(B48="楼面地价",SUM(E58:E67),'数据-汇总表'!D3)</f>
        <v>639112.63</v>
      </c>
      <c r="F68" s="644">
        <f>IF(B48="楼面地价",SUM(F58:F67),ROUND(C50*E68/10000,0))</f>
        <v>156145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2019-10-1</v>
      </c>
      <c r="D70" s="2751">
        <f>EDATE(C70,-3)</f>
        <v>43647</v>
      </c>
      <c r="E70" s="2751">
        <f t="shared" ref="E70:N70" si="18">EDATE(D70,-3)</f>
        <v>43556</v>
      </c>
      <c r="F70" s="2751">
        <f t="shared" si="18"/>
        <v>43466</v>
      </c>
      <c r="G70" s="2751">
        <f t="shared" si="18"/>
        <v>43374</v>
      </c>
      <c r="H70" s="2751">
        <f t="shared" si="18"/>
        <v>43282</v>
      </c>
      <c r="I70" s="2751">
        <f t="shared" si="18"/>
        <v>43191</v>
      </c>
      <c r="J70" s="2751">
        <f t="shared" si="18"/>
        <v>43101</v>
      </c>
      <c r="K70" s="2751">
        <f t="shared" si="18"/>
        <v>43009</v>
      </c>
      <c r="L70" s="2751">
        <f t="shared" si="18"/>
        <v>42917</v>
      </c>
      <c r="M70" s="2751">
        <f t="shared" si="18"/>
        <v>42826</v>
      </c>
      <c r="N70" s="2751">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2" customFormat="1" ht="15">
      <c r="A72" s="2529" t="s">
        <v>2529</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5" customFormat="1" ht="27" customHeight="1">
      <c r="A73" s="2758" t="s">
        <v>923</v>
      </c>
      <c r="B73" s="479" t="str">
        <f>"北京市平均增长率"&amp;TEXT(SUMIF(基准地价!N21:N25,A73,基准地价!P21:P25),"0.00%")</f>
        <v>北京市平均增长率0.00%</v>
      </c>
      <c r="C73" s="893">
        <v>100</v>
      </c>
      <c r="D73" s="730">
        <v>100</v>
      </c>
      <c r="E73" s="730">
        <v>100</v>
      </c>
      <c r="F73" s="730">
        <v>100</v>
      </c>
      <c r="G73" s="730">
        <v>100</v>
      </c>
      <c r="H73" s="730">
        <v>100</v>
      </c>
      <c r="I73" s="730">
        <v>100</v>
      </c>
      <c r="J73" s="730">
        <v>100</v>
      </c>
      <c r="K73" s="730">
        <v>100</v>
      </c>
      <c r="L73" s="730"/>
      <c r="M73" s="2745"/>
      <c r="N73" s="2746"/>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2643</v>
      </c>
      <c r="B74" s="2757"/>
      <c r="C74" s="2743">
        <v>0</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82" t="s">
        <v>3108</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1</v>
      </c>
      <c r="D82" s="541">
        <v>2</v>
      </c>
      <c r="E82" s="541">
        <v>3</v>
      </c>
      <c r="F82" s="541">
        <v>4</v>
      </c>
      <c r="G82" s="541">
        <v>5</v>
      </c>
      <c r="H82" s="541"/>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2545</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8" t="s">
        <v>2547</v>
      </c>
      <c r="C104" s="2559" t="s">
        <v>2548</v>
      </c>
      <c r="D104" s="2559" t="s">
        <v>2549</v>
      </c>
      <c r="E104" s="2559" t="s">
        <v>2550</v>
      </c>
      <c r="F104" s="2559" t="s">
        <v>2551</v>
      </c>
      <c r="G104" s="2559" t="s">
        <v>2552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84" t="s">
        <v>3120</v>
      </c>
      <c r="D108" s="3184" t="s">
        <v>3121</v>
      </c>
      <c r="E108" s="3184" t="s">
        <v>3123</v>
      </c>
      <c r="F108" s="3184" t="s">
        <v>3124</v>
      </c>
      <c r="G108" s="3184" t="s">
        <v>3126</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0(含)-50000</v>
      </c>
      <c r="D118" s="704" t="str">
        <f t="shared" si="25"/>
        <v>50000(含)-150000</v>
      </c>
      <c r="E118" s="704" t="str">
        <f t="shared" si="25"/>
        <v>150000(含)-250000</v>
      </c>
      <c r="F118" s="704" t="str">
        <f t="shared" si="25"/>
        <v>250000(含)-350000</v>
      </c>
      <c r="G118" s="704" t="str">
        <f t="shared" si="25"/>
        <v>350000(含)-450000</v>
      </c>
      <c r="H118" s="704" t="str">
        <f t="shared" si="25"/>
        <v>450000(含)-</v>
      </c>
      <c r="I118" s="704"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50000</v>
      </c>
      <c r="E119" s="730">
        <v>150000</v>
      </c>
      <c r="F119" s="730">
        <v>250000</v>
      </c>
      <c r="G119" s="730">
        <v>350000</v>
      </c>
      <c r="H119" s="730">
        <v>450000</v>
      </c>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102</v>
      </c>
      <c r="E120" s="726">
        <v>104</v>
      </c>
      <c r="F120" s="726">
        <v>106</v>
      </c>
      <c r="G120" s="726">
        <v>108</v>
      </c>
      <c r="H120" s="726">
        <v>110</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83" t="s">
        <v>3114</v>
      </c>
      <c r="D121" s="3183" t="s">
        <v>3116</v>
      </c>
      <c r="E121" s="3183" t="s">
        <v>3117</v>
      </c>
      <c r="F121" s="3183" t="s">
        <v>3118</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2422</v>
      </c>
      <c r="C125" s="1370"/>
      <c r="D125" s="1370"/>
      <c r="E125" s="1370"/>
      <c r="F125" s="1370"/>
      <c r="G125" s="1370"/>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688"/>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9" sqref="L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2">
        <f>MATCH(B1,'数据-取费表'!A6:A16,0)+5</f>
        <v>10</v>
      </c>
    </row>
    <row r="2" spans="1:31" s="2023" customFormat="1" ht="18" customHeight="1">
      <c r="A2" s="2083" t="s">
        <v>467</v>
      </c>
      <c r="B2" s="2087">
        <f ca="1">C36</f>
        <v>245682</v>
      </c>
      <c r="C2" s="2086"/>
      <c r="D2" s="2086"/>
      <c r="E2" s="2086"/>
      <c r="F2" s="2086"/>
      <c r="G2" s="2086"/>
      <c r="H2" s="2086"/>
      <c r="I2" s="2086"/>
      <c r="J2" s="2086"/>
      <c r="K2" s="2086"/>
    </row>
    <row r="3" spans="1:31" s="2023" customFormat="1" ht="18" customHeight="1">
      <c r="A3" s="2088" t="s">
        <v>1684</v>
      </c>
      <c r="B3" s="2089">
        <f ca="1">ROUND(B2*10000/IF(B1="",'数据-汇总表'!E3,INDIRECT("'数据-取费表'!K"&amp;$K$1)),0)</f>
        <v>3106</v>
      </c>
      <c r="C3" s="2086"/>
      <c r="D3" s="2086"/>
      <c r="E3" s="2086"/>
      <c r="F3" s="2086"/>
      <c r="G3" s="2086"/>
      <c r="H3" s="2086"/>
      <c r="I3" s="2086"/>
      <c r="J3" s="2086"/>
      <c r="K3" s="2086"/>
    </row>
    <row r="4" spans="1:31" s="2023" customFormat="1" ht="18" customHeight="1">
      <c r="A4" s="426" t="s">
        <v>468</v>
      </c>
      <c r="B4" s="427">
        <f ca="1">ROUND(B2*10000/IF(B1="",'数据-汇总表'!D3,INDIRECT("'数据-取费表'!R"&amp;$K$1)),0)</f>
        <v>7008</v>
      </c>
      <c r="C4" s="428"/>
      <c r="D4" s="422"/>
      <c r="E4" s="422"/>
      <c r="F4" s="422"/>
      <c r="G4" s="422"/>
      <c r="H4" s="422"/>
      <c r="I4" s="422"/>
      <c r="J4" s="422"/>
      <c r="K4" s="422"/>
    </row>
    <row r="5" spans="1:31" s="2023" customFormat="1" ht="18" customHeight="1" thickBot="1">
      <c r="A5" s="429"/>
      <c r="B5" s="430">
        <f ca="1">ROUND(B2/(IF(B1="",'数据-汇总表'!D3,INDIRECT("'数据-取费表'!R"&amp;$K$1))/666.67),0)</f>
        <v>467</v>
      </c>
      <c r="C5" s="431" t="s">
        <v>469</v>
      </c>
      <c r="D5" s="422"/>
      <c r="E5" s="422"/>
      <c r="F5" s="422"/>
      <c r="G5" s="422"/>
      <c r="H5" s="422"/>
      <c r="I5" s="422"/>
      <c r="J5" s="422"/>
      <c r="K5" s="422"/>
    </row>
    <row r="6" spans="1:31" s="2093" customFormat="1" ht="16.5" customHeight="1">
      <c r="A6" s="2780" t="s">
        <v>1842</v>
      </c>
      <c r="B6" s="2781"/>
      <c r="C6" s="2782">
        <f ca="1">SUM(C10:K10)</f>
        <v>700772</v>
      </c>
      <c r="D6" s="2781"/>
      <c r="E6" s="2781"/>
      <c r="F6" s="2781"/>
      <c r="G6" s="2781"/>
      <c r="H6" s="2781"/>
      <c r="I6" s="2781"/>
      <c r="J6" s="2781"/>
      <c r="K6" s="2783"/>
    </row>
    <row r="7" spans="1:31" s="2095" customFormat="1" ht="15">
      <c r="A7" s="2784" t="s">
        <v>470</v>
      </c>
      <c r="B7" s="2785" t="s">
        <v>471</v>
      </c>
      <c r="C7" s="436" t="s">
        <v>3155</v>
      </c>
      <c r="D7" s="436" t="s">
        <v>3157</v>
      </c>
      <c r="E7" s="436" t="s">
        <v>3130</v>
      </c>
      <c r="F7" s="436" t="s">
        <v>3689</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1845</v>
      </c>
      <c r="B8" s="261" t="s">
        <v>472</v>
      </c>
      <c r="C8" s="2786">
        <f>'不动产比较法-住宅高层'!B3</f>
        <v>10827</v>
      </c>
      <c r="D8" s="2786">
        <f>'不动产比较法-住宅别墅'!B3</f>
        <v>16212</v>
      </c>
      <c r="E8" s="2786">
        <f ca="1">不动产收益法!B3</f>
        <v>3305</v>
      </c>
      <c r="F8" s="2786">
        <f>'不动产比较法-住宅洋房'!B3</f>
        <v>11260</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1846</v>
      </c>
      <c r="B9" s="261" t="s">
        <v>473</v>
      </c>
      <c r="C9" s="441">
        <f>SUMIF('数据-汇总表'!$C19:$C33,'剩余法-待开发'!C7,'数据-汇总表'!$E19:$E33)</f>
        <v>245596.74000000002</v>
      </c>
      <c r="D9" s="441">
        <f>SUMIF('数据-汇总表'!$C19:$C33,'剩余法-待开发'!D7,'数据-汇总表'!$E19:$E33)</f>
        <v>234671.93</v>
      </c>
      <c r="E9" s="441">
        <f>SUMIF('数据-汇总表'!$C19:$C33,'剩余法-待开发'!E7,'数据-汇总表'!$E19:$E33)</f>
        <v>156438.94999999998</v>
      </c>
      <c r="F9" s="441">
        <f>SUMIF('数据-汇总表'!$C19:$C33,'剩余法-待开发'!F7,'数据-汇总表'!$E19:$E33)</f>
        <v>2405.0100000000002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f ca="1">C6/(C9+D9+E9+F9)</f>
        <v>1.0964765318438472</v>
      </c>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7">
        <f>'不动产比较法-住宅高层'!B2</f>
        <v>265908</v>
      </c>
      <c r="D10" s="2977">
        <f>'不动产比较法-住宅别墅'!B2</f>
        <v>380450</v>
      </c>
      <c r="E10" s="2977">
        <f ca="1">不动产收益法!B2</f>
        <v>51706</v>
      </c>
      <c r="F10" s="2789">
        <f>'不动产比较法-住宅洋房'!B2</f>
        <v>2708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50">
        <f ca="1">IF(B1="",'数据-取费表'!P16,INDIRECT("'数据-取费表'!p"&amp;$K$1)+INDIRECT("'数据-取费表'!t"&amp;$K$1))</f>
        <v>194407</v>
      </c>
      <c r="D13" s="2796"/>
      <c r="E13" s="2797"/>
      <c r="F13" s="2798"/>
      <c r="G13" s="2764"/>
      <c r="H13" s="2765"/>
      <c r="I13" s="2765"/>
      <c r="J13" s="2765"/>
      <c r="K13" s="2766"/>
    </row>
    <row r="14" spans="1:31" s="2098" customFormat="1" ht="13.5" customHeight="1">
      <c r="A14" s="2794" t="s">
        <v>1849</v>
      </c>
      <c r="B14" s="2795" t="s">
        <v>480</v>
      </c>
      <c r="C14" s="53">
        <f ca="1">ROUND(C13*F14,0)</f>
        <v>9720</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12536</v>
      </c>
      <c r="D15" s="2796"/>
      <c r="E15" s="2797"/>
      <c r="F15" s="2799">
        <f>'数据-取费表'!B34</f>
        <v>0.1</v>
      </c>
      <c r="G15" s="2764" t="s">
        <v>483</v>
      </c>
      <c r="H15" s="2765"/>
      <c r="I15" s="2765"/>
      <c r="J15" s="2765"/>
      <c r="K15" s="2766"/>
      <c r="L15" s="3280" t="s">
        <v>3365</v>
      </c>
      <c r="M15" s="2098">
        <f>3000000000/面积!H22</f>
        <v>3742.8306546663703</v>
      </c>
    </row>
    <row r="16" spans="1:31" s="2099" customFormat="1" ht="13.5" customHeight="1">
      <c r="A16" s="2794" t="s">
        <v>1851</v>
      </c>
      <c r="B16" s="2795" t="s">
        <v>484</v>
      </c>
      <c r="C16" s="53">
        <f ca="1">ROUND(D16*E16/10000,0)</f>
        <v>11865</v>
      </c>
      <c r="D16" s="2796">
        <f ca="1">IF(B1="",'数据-汇总表'!E3,INDIRECT("'数据-取费表'!K"&amp;$K$1)+INDIRECT("'数据-取费表'!S"&amp;$K$1))</f>
        <v>790993.2</v>
      </c>
      <c r="E16" s="53">
        <f>'数据-取费表'!B35</f>
        <v>150</v>
      </c>
      <c r="F16" s="2799"/>
      <c r="G16" s="2764"/>
      <c r="H16" s="2765"/>
      <c r="I16" s="2765"/>
      <c r="J16" s="2765"/>
      <c r="K16" s="2766"/>
      <c r="L16" s="3280" t="s">
        <v>3366</v>
      </c>
      <c r="M16" s="2098">
        <f ca="1">结果表!G19/'数据-汇总表'!F31*10000</f>
        <v>4276.0779896705981</v>
      </c>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2916</v>
      </c>
      <c r="D17" s="475"/>
      <c r="E17" s="2800"/>
      <c r="F17" s="2801">
        <f>'数据-取费表'!B36</f>
        <v>1.4999999999999999E-2</v>
      </c>
      <c r="G17" s="261" t="s">
        <v>486</v>
      </c>
      <c r="H17" s="2767"/>
      <c r="I17" s="2767"/>
      <c r="J17" s="2767"/>
      <c r="K17" s="279"/>
    </row>
    <row r="18" spans="1:14" s="2098" customFormat="1" ht="13.5" customHeight="1">
      <c r="A18" s="2802" t="s">
        <v>1853</v>
      </c>
      <c r="B18" s="2803" t="s">
        <v>487</v>
      </c>
      <c r="C18" s="2804">
        <f ca="1">SUM(C13:C17)</f>
        <v>231444</v>
      </c>
      <c r="D18" s="2805"/>
      <c r="E18" s="468"/>
      <c r="F18" s="468"/>
      <c r="G18" s="2768" t="s">
        <v>2427</v>
      </c>
      <c r="H18" s="2769"/>
      <c r="I18" s="2769"/>
      <c r="J18" s="2769"/>
      <c r="K18" s="2770"/>
    </row>
    <row r="19" spans="1:14" s="2098" customFormat="1" ht="13.5" customHeight="1">
      <c r="A19" s="2802" t="s">
        <v>1854</v>
      </c>
      <c r="B19" s="2803" t="s">
        <v>488</v>
      </c>
      <c r="C19" s="2760">
        <f ca="1">ROUND(D19*E19/10000,0)</f>
        <v>3955</v>
      </c>
      <c r="D19" s="2806">
        <f ca="1">D16</f>
        <v>790993.2</v>
      </c>
      <c r="E19" s="2760">
        <f>'数据-取费表'!B32</f>
        <v>50</v>
      </c>
      <c r="F19" s="468"/>
      <c r="G19" s="2764" t="s">
        <v>489</v>
      </c>
      <c r="H19" s="2765"/>
      <c r="I19" s="2769"/>
      <c r="J19" s="2769"/>
      <c r="K19" s="2770"/>
    </row>
    <row r="20" spans="1:14" s="2098" customFormat="1" ht="13.5" customHeight="1">
      <c r="A20" s="2802" t="s">
        <v>1855</v>
      </c>
      <c r="B20" s="2803" t="s">
        <v>490</v>
      </c>
      <c r="C20" s="2760">
        <f ca="1">C21+C22-IF(B1="",'数据-取费表'!B29,IF(G20="已全部缴纳",C21+C22,H20))</f>
        <v>6636</v>
      </c>
      <c r="D20" s="2806"/>
      <c r="E20" s="2760"/>
      <c r="F20" s="2807"/>
      <c r="G20" s="3035"/>
      <c r="H20" s="2762"/>
      <c r="I20" s="2763" t="s">
        <v>2647</v>
      </c>
      <c r="J20" s="2769"/>
      <c r="K20" s="2770"/>
    </row>
    <row r="21" spans="1:14" s="2098" customFormat="1" ht="13.5" customHeight="1">
      <c r="A21" s="2794" t="s">
        <v>1856</v>
      </c>
      <c r="B21" s="2795" t="s">
        <v>491</v>
      </c>
      <c r="C21" s="53">
        <f ca="1">ROUND(D21*E21/10000,0)</f>
        <v>3861</v>
      </c>
      <c r="D21" s="2796">
        <f ca="1">IF(B1="",'数据-汇总表'!E5,IF(INDIRECT("'数据-取费表'!c"&amp;$K$1)="住宅",INDIRECT("'数据-取费表'!k"&amp;$K$1),0))</f>
        <v>482673.68000000005</v>
      </c>
      <c r="E21" s="53">
        <f>'数据-取费表'!B27</f>
        <v>80</v>
      </c>
      <c r="F21" s="2799"/>
      <c r="G21" s="26"/>
      <c r="H21" s="51"/>
      <c r="I21" s="51"/>
      <c r="J21" s="51"/>
      <c r="K21" s="2771"/>
    </row>
    <row r="22" spans="1:14" s="2098" customFormat="1" ht="13.5" customHeight="1">
      <c r="A22" s="2794" t="s">
        <v>1857</v>
      </c>
      <c r="B22" s="2795" t="s">
        <v>492</v>
      </c>
      <c r="C22" s="53">
        <f ca="1">ROUND(D22*E22/10000,0)</f>
        <v>2775</v>
      </c>
      <c r="D22" s="2796">
        <f ca="1">IF(B1="",'数据-汇总表'!E6,IF(INDIRECT("'数据-取费表'!c"&amp;$K$1)="住宅",INDIRECT("'数据-取费表'!s"&amp;$K$1),INDIRECT("'数据-取费表'!k"&amp;$K$1)+INDIRECT("'数据-取费表'!s"&amp;$K$1)))</f>
        <v>308319.5199999999</v>
      </c>
      <c r="E22" s="53">
        <f>'数据-取费表'!B28</f>
        <v>90</v>
      </c>
      <c r="F22" s="2799"/>
      <c r="G22" s="26"/>
      <c r="H22" s="51"/>
      <c r="I22" s="51"/>
      <c r="J22" s="51"/>
      <c r="K22" s="2771"/>
    </row>
    <row r="23" spans="1:14" s="2098" customFormat="1" ht="13.5" customHeight="1">
      <c r="A23" s="2802" t="s">
        <v>1858</v>
      </c>
      <c r="B23" s="2983" t="s">
        <v>2830</v>
      </c>
      <c r="C23" s="2804">
        <f ca="1">ROUND((C18+C19+C20)*F23,0)</f>
        <v>7261</v>
      </c>
      <c r="D23" s="468"/>
      <c r="E23" s="468"/>
      <c r="F23" s="2808">
        <f>'数据-取费表'!B37</f>
        <v>0.03</v>
      </c>
      <c r="G23" s="2764" t="s">
        <v>2428</v>
      </c>
      <c r="H23" s="2765"/>
      <c r="I23" s="2765"/>
      <c r="J23" s="2765"/>
      <c r="K23" s="2766"/>
      <c r="L23" s="2100"/>
      <c r="M23" s="2100"/>
      <c r="N23" s="2100"/>
    </row>
    <row r="24" spans="1:14" s="2098" customFormat="1" ht="13.5" customHeight="1">
      <c r="A24" s="2802" t="s">
        <v>1859</v>
      </c>
      <c r="B24" s="2983" t="s">
        <v>2833</v>
      </c>
      <c r="C24" s="2804">
        <f ca="1">ROUND(C6*F24,0)</f>
        <v>21023</v>
      </c>
      <c r="D24" s="475"/>
      <c r="E24" s="473"/>
      <c r="F24" s="2808">
        <f>'数据-取费表'!B38</f>
        <v>0.03</v>
      </c>
      <c r="G24" s="2773" t="s">
        <v>499</v>
      </c>
      <c r="H24" s="2767"/>
      <c r="I24" s="2767"/>
      <c r="J24" s="2767"/>
      <c r="K24" s="279"/>
      <c r="L24" s="2100"/>
      <c r="M24" s="2100"/>
      <c r="N24" s="2100"/>
    </row>
    <row r="25" spans="1:14" s="2101" customFormat="1" ht="13.5" customHeight="1">
      <c r="A25" s="2802" t="s">
        <v>1860</v>
      </c>
      <c r="B25" s="2983" t="s">
        <v>2831</v>
      </c>
      <c r="C25" s="467">
        <f>ROUND(F25/(1+'数据-取费表'!C42),4)</f>
        <v>2.9000000000000001E-2</v>
      </c>
      <c r="D25" s="462" t="s">
        <v>2825</v>
      </c>
      <c r="E25" s="469"/>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4" t="s">
        <v>2832</v>
      </c>
      <c r="C26" s="2809">
        <f ca="1">C28</f>
        <v>19487</v>
      </c>
      <c r="D26" s="467">
        <f ca="1">C27</f>
        <v>0.1537</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1856</v>
      </c>
      <c r="B27" s="2810" t="s">
        <v>496</v>
      </c>
      <c r="C27" s="2811">
        <f ca="1">ROUND(IF('数据-取费表'!B22&lt;=1,(1+C25)*F26*'数据-取费表'!B24,(1+C25)*(POWER((1+F26),'数据-取费表'!B24)-1)),4)</f>
        <v>0.1537</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1857</v>
      </c>
      <c r="B28" s="2810" t="s">
        <v>2834</v>
      </c>
      <c r="C28" s="2812">
        <f ca="1">ROUND(IF('数据-取费表'!B22&lt;=1,(C18+C19+C20+C23+C24)*F26*'数据-取费表'!B24/2,(C18+C19+C20+C23+C24)*(POWER((1+F26),'数据-取费表'!B24/2)-1)),0)</f>
        <v>19487</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1862</v>
      </c>
      <c r="B29" s="2803" t="s">
        <v>497</v>
      </c>
      <c r="C29" s="2804">
        <f ca="1">ROUND(C6*F29/(1+'数据-取费表'!C42),0)</f>
        <v>36707</v>
      </c>
      <c r="D29" s="468"/>
      <c r="E29" s="468"/>
      <c r="F29" s="2985">
        <f>'数据-取费表'!B41</f>
        <v>5.5000000000000007E-2</v>
      </c>
      <c r="G29" s="2773" t="s">
        <v>498</v>
      </c>
      <c r="H29" s="2765"/>
      <c r="I29" s="2765"/>
      <c r="J29" s="2765"/>
      <c r="K29" s="2766"/>
    </row>
    <row r="30" spans="1:14" s="2103" customFormat="1" ht="13.5" customHeight="1">
      <c r="A30" s="1617" t="s">
        <v>1863</v>
      </c>
      <c r="B30" s="2814" t="s">
        <v>500</v>
      </c>
      <c r="C30" s="2809">
        <f ca="1">C31</f>
        <v>326513</v>
      </c>
      <c r="D30" s="477">
        <f ca="1">C32</f>
        <v>0.1827</v>
      </c>
      <c r="E30" s="469" t="s">
        <v>495</v>
      </c>
      <c r="F30" s="471"/>
      <c r="G30" s="2772" t="s">
        <v>2965</v>
      </c>
      <c r="H30" s="2765"/>
      <c r="I30" s="2765"/>
      <c r="J30" s="2765"/>
      <c r="K30" s="2766"/>
    </row>
    <row r="31" spans="1:14" s="2102" customFormat="1" ht="13.5" customHeight="1">
      <c r="A31" s="803" t="s">
        <v>1856</v>
      </c>
      <c r="B31" s="2810"/>
      <c r="C31" s="450">
        <f ca="1">C18+C19+C20+C23+C24+C26+C29</f>
        <v>326513</v>
      </c>
      <c r="D31" s="472"/>
      <c r="E31" s="473"/>
      <c r="F31" s="474"/>
      <c r="G31" s="261"/>
      <c r="H31" s="2767"/>
      <c r="I31" s="2767"/>
      <c r="J31" s="2767"/>
      <c r="K31" s="279"/>
    </row>
    <row r="32" spans="1:14" s="2102" customFormat="1" ht="13.5" customHeight="1">
      <c r="A32" s="803" t="s">
        <v>1857</v>
      </c>
      <c r="B32" s="2810"/>
      <c r="C32" s="53">
        <f ca="1">ROUND(C25+D26,4)</f>
        <v>0.1827</v>
      </c>
      <c r="D32" s="472"/>
      <c r="E32" s="473"/>
      <c r="F32" s="474"/>
      <c r="G32" s="261"/>
      <c r="H32" s="2767"/>
      <c r="I32" s="2767"/>
      <c r="J32" s="2767"/>
      <c r="K32" s="279"/>
    </row>
    <row r="33" spans="1:11" s="2104" customFormat="1" ht="13.5" customHeight="1">
      <c r="A33" s="2982" t="s">
        <v>2829</v>
      </c>
      <c r="B33" s="2980" t="s">
        <v>2827</v>
      </c>
      <c r="C33" s="478">
        <f ca="1">C35</f>
        <v>43251</v>
      </c>
      <c r="D33" s="467">
        <f ca="1">C34</f>
        <v>0.1646</v>
      </c>
      <c r="E33" s="469" t="s">
        <v>495</v>
      </c>
      <c r="F33" s="479">
        <f ca="1">IF(B1="",'数据-取费表'!Q16,INDIRECT("'数据-取费表'!q"&amp;$K$1))</f>
        <v>0.16</v>
      </c>
      <c r="G33" s="2768"/>
      <c r="H33" s="2769"/>
      <c r="I33" s="2769"/>
      <c r="J33" s="2769"/>
      <c r="K33" s="2770"/>
    </row>
    <row r="34" spans="1:11" s="2105" customFormat="1" ht="13.5" customHeight="1">
      <c r="A34" s="375" t="s">
        <v>1856</v>
      </c>
      <c r="B34" s="2815" t="s">
        <v>501</v>
      </c>
      <c r="C34" s="472">
        <f ca="1">ROUND((1+C25)*F33,4)</f>
        <v>0.1646</v>
      </c>
      <c r="D34" s="472"/>
      <c r="E34" s="473"/>
      <c r="F34" s="480"/>
      <c r="G34" s="261" t="s">
        <v>2288</v>
      </c>
      <c r="H34" s="2767"/>
      <c r="I34" s="2767"/>
      <c r="J34" s="2767"/>
      <c r="K34" s="279"/>
    </row>
    <row r="35" spans="1:11" s="2105" customFormat="1" ht="13.5" customHeight="1" thickBot="1">
      <c r="A35" s="1618" t="s">
        <v>1857</v>
      </c>
      <c r="B35" s="2981" t="s">
        <v>2835</v>
      </c>
      <c r="C35" s="1610">
        <f ca="1">ROUND((C18+C19+C20+C23+C24)*F33,0)</f>
        <v>43251</v>
      </c>
      <c r="D35" s="1611"/>
      <c r="E35" s="2816"/>
      <c r="F35" s="1612"/>
      <c r="G35" s="2774"/>
      <c r="H35" s="2775"/>
      <c r="I35" s="2775"/>
      <c r="J35" s="2775"/>
      <c r="K35" s="2776"/>
    </row>
    <row r="36" spans="1:11" s="2067" customFormat="1" ht="13.5" customHeight="1" thickBot="1">
      <c r="A36" s="284" t="s">
        <v>1844</v>
      </c>
      <c r="B36" s="2778"/>
      <c r="C36" s="2817">
        <f ca="1">ROUND((C6-C30-C33)/(1+D30+D33),0)</f>
        <v>245682</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392" t="str">
        <f>项目基本情况!B1</f>
        <v>廊坊市永清县别古庄镇小荆垡村西北出让国有建设用地使用权抵押价格预评估</v>
      </c>
      <c r="C37" s="3392"/>
      <c r="D37" s="3392"/>
      <c r="E37" s="3392"/>
      <c r="F37" s="3392"/>
      <c r="G37" s="3392"/>
      <c r="H37" s="3392"/>
      <c r="I37" s="3392"/>
    </row>
    <row r="38" spans="1:9">
      <c r="A38" s="1638"/>
      <c r="B38" s="1638"/>
    </row>
    <row r="39" spans="1:9">
      <c r="A39" s="1636" t="s">
        <v>1901</v>
      </c>
      <c r="B39" s="1636" t="s">
        <v>2044</v>
      </c>
    </row>
    <row r="40" spans="1:9">
      <c r="A40" s="1636"/>
      <c r="B40" s="1636" t="str">
        <f>项目基本情况!B5</f>
        <v>廊坊国瑞房地产开发有限公司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吴薇、郑燚</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61"/>
      <c r="C1" s="2086"/>
      <c r="D1" s="2086"/>
      <c r="E1" s="2086"/>
      <c r="F1" s="2086"/>
      <c r="G1" s="2086"/>
      <c r="H1" s="2086"/>
      <c r="I1" s="2086"/>
      <c r="J1" s="2086"/>
      <c r="K1" s="422">
        <f>MATCH(B1,'数据-取费表'!A6:A16,0)+5</f>
        <v>10</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3" t="s">
        <v>1684</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2648</v>
      </c>
      <c r="B6" s="433"/>
      <c r="C6" s="1605">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5" t="s">
        <v>1848</v>
      </c>
      <c r="B13" s="449" t="s">
        <v>479</v>
      </c>
      <c r="C13" s="450">
        <f ca="1">IF(B1="",'数据-取费表'!M16,INDIRECT("'数据-取费表'!M"&amp;$K$1)+INDIRECT("'数据-取费表'!t"&amp;$K$1))</f>
        <v>194407</v>
      </c>
      <c r="D13" s="451"/>
      <c r="E13" s="365"/>
      <c r="F13" s="452"/>
      <c r="G13" s="444"/>
      <c r="H13" s="447"/>
      <c r="I13" s="447"/>
      <c r="J13" s="447"/>
      <c r="K13" s="448"/>
    </row>
    <row r="14" spans="1:41" s="2098" customFormat="1" ht="13.5" customHeight="1">
      <c r="A14" s="1615" t="s">
        <v>1849</v>
      </c>
      <c r="B14" s="449" t="s">
        <v>480</v>
      </c>
      <c r="C14" s="53">
        <f ca="1">ROUND(C13*F14,0)</f>
        <v>9720</v>
      </c>
      <c r="D14" s="451"/>
      <c r="E14" s="365"/>
      <c r="F14" s="453">
        <f>'数据-取费表'!B33</f>
        <v>0.05</v>
      </c>
      <c r="G14" s="444" t="s">
        <v>502</v>
      </c>
      <c r="H14" s="447"/>
      <c r="I14" s="447"/>
      <c r="J14" s="447"/>
      <c r="K14" s="448"/>
    </row>
    <row r="15" spans="1:41" s="2098" customFormat="1" ht="13.5" customHeight="1">
      <c r="A15" s="1615" t="s">
        <v>1850</v>
      </c>
      <c r="B15" s="449" t="s">
        <v>482</v>
      </c>
      <c r="C15" s="53">
        <f ca="1">ROUND(IF(B1="",SUMIF('数据-取费表'!C:C,"住宅",'数据-取费表'!M:M)*F15,IF(INDIRECT("'数据-取费表'!c"&amp;$K$1)="住宅",INDIRECT("'数据-取费表'!M"&amp;$K$1)*F15,0)),0)</f>
        <v>12536</v>
      </c>
      <c r="D15" s="451"/>
      <c r="E15" s="365"/>
      <c r="F15" s="453">
        <f>'数据-取费表'!B34</f>
        <v>0.1</v>
      </c>
      <c r="G15" s="444" t="s">
        <v>502</v>
      </c>
      <c r="H15" s="447"/>
      <c r="I15" s="447"/>
      <c r="J15" s="447"/>
      <c r="K15" s="448"/>
    </row>
    <row r="16" spans="1:41" s="2099" customFormat="1" ht="13.5" customHeight="1">
      <c r="A16" s="1615" t="s">
        <v>1851</v>
      </c>
      <c r="B16" s="449" t="s">
        <v>484</v>
      </c>
      <c r="C16" s="53">
        <f ca="1">ROUND(D16*E16/10000,0)</f>
        <v>11865</v>
      </c>
      <c r="D16" s="451">
        <f ca="1">IF(B1="",'数据-汇总表'!E3,INDIRECT("'数据-取费表'!K"&amp;$K$1)+INDIRECT("'数据-取费表'!S"&amp;$K$1))</f>
        <v>790993.2</v>
      </c>
      <c r="E16" s="53">
        <f>'数据-取费表'!B35</f>
        <v>150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9" t="s">
        <v>485</v>
      </c>
      <c r="C17" s="454">
        <f ca="1">ROUND(C13*F17,0)</f>
        <v>2916</v>
      </c>
      <c r="D17" s="455"/>
      <c r="E17" s="454"/>
      <c r="F17" s="456">
        <f>'数据-取费表'!B36</f>
        <v>1.4999999999999999E-2</v>
      </c>
      <c r="G17" s="444" t="s">
        <v>502</v>
      </c>
      <c r="H17" s="457"/>
      <c r="I17" s="457"/>
      <c r="J17" s="457"/>
      <c r="K17" s="458"/>
    </row>
    <row r="18" spans="1:14" s="2101" customFormat="1" ht="13.5" customHeight="1">
      <c r="A18" s="1616" t="s">
        <v>1853</v>
      </c>
      <c r="B18" s="459" t="s">
        <v>487</v>
      </c>
      <c r="C18" s="460">
        <f ca="1">SUM(C13:C17)</f>
        <v>231444</v>
      </c>
      <c r="D18" s="461"/>
      <c r="E18" s="462"/>
      <c r="F18" s="462"/>
      <c r="G18" s="1322" t="s">
        <v>2429</v>
      </c>
      <c r="H18" s="447"/>
      <c r="I18" s="447"/>
      <c r="J18" s="447"/>
      <c r="K18" s="448"/>
    </row>
    <row r="19" spans="1:14" s="2101" customFormat="1" ht="13.5" customHeight="1">
      <c r="A19" s="1616" t="s">
        <v>1854</v>
      </c>
      <c r="B19" s="459" t="s">
        <v>493</v>
      </c>
      <c r="C19" s="460">
        <f ca="1">ROUND(C18*F19,0)</f>
        <v>6943</v>
      </c>
      <c r="D19" s="462"/>
      <c r="E19" s="462"/>
      <c r="F19" s="466">
        <f>'数据-取费表'!B37</f>
        <v>0.03</v>
      </c>
      <c r="G19" s="444" t="s">
        <v>503</v>
      </c>
      <c r="H19" s="447"/>
      <c r="I19" s="447"/>
      <c r="J19" s="447"/>
      <c r="K19" s="448"/>
      <c r="L19" s="2103"/>
      <c r="M19" s="2103"/>
      <c r="N19" s="2103"/>
    </row>
    <row r="20" spans="1:14" s="2101" customFormat="1" ht="13.5" customHeight="1">
      <c r="A20" s="1616" t="s">
        <v>1855</v>
      </c>
      <c r="B20" s="459" t="s">
        <v>504</v>
      </c>
      <c r="C20" s="2978">
        <f>F20</f>
        <v>0.03</v>
      </c>
      <c r="D20" s="469" t="s">
        <v>505</v>
      </c>
      <c r="E20" s="469"/>
      <c r="F20" s="486">
        <f>'数据-取费表'!B38</f>
        <v>0.03</v>
      </c>
      <c r="G20" s="1322" t="s">
        <v>506</v>
      </c>
      <c r="H20" s="447"/>
      <c r="I20" s="447"/>
      <c r="J20" s="447"/>
      <c r="K20" s="448"/>
      <c r="L20" s="2103"/>
      <c r="M20" s="2103"/>
      <c r="N20" s="2103"/>
    </row>
    <row r="21" spans="1:14" s="2103" customFormat="1" ht="13.5" customHeight="1">
      <c r="A21" s="1616" t="s">
        <v>1858</v>
      </c>
      <c r="B21" s="461" t="s">
        <v>494</v>
      </c>
      <c r="C21" s="470">
        <f ca="1">C22</f>
        <v>17185</v>
      </c>
      <c r="D21" s="467">
        <f ca="1">C23</f>
        <v>2.2000000000000001E-3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2451</v>
      </c>
    </row>
    <row r="22" spans="1:14" s="2102" customFormat="1" ht="13.5" customHeight="1">
      <c r="A22" s="1615" t="s">
        <v>1848</v>
      </c>
      <c r="B22" s="1323" t="s">
        <v>2432</v>
      </c>
      <c r="C22" s="487">
        <f ca="1">ROUND(IF('数据-取费表'!B22&lt;=1,(C18+C19)*F21*'数据-取费表'!B20/2,(C18+C19)*(POWER((1+F21),'数据-取费表'!B20/2)-1)),0)</f>
        <v>17185</v>
      </c>
      <c r="D22" s="472"/>
      <c r="E22" s="473"/>
      <c r="F22" s="474"/>
      <c r="G22" s="2528" t="str">
        <f>IF('数据-取费表'!B22&lt;=1,"((1)+(2))×年利率×建设期÷2","((1)+(2))×((1+年利率)^(建设期÷2)-1)")</f>
        <v>((1)+(2))×((1+年利率)^(建设期÷2)-1)</v>
      </c>
      <c r="H22" s="457"/>
      <c r="I22" s="457"/>
      <c r="J22" s="457"/>
      <c r="K22" s="458"/>
    </row>
    <row r="23" spans="1:14" s="2102" customFormat="1" ht="13.5" customHeight="1">
      <c r="A23" s="1615" t="s">
        <v>1849</v>
      </c>
      <c r="B23" s="1323" t="s">
        <v>508</v>
      </c>
      <c r="C23" s="488">
        <f ca="1">ROUND(IF('数据-取费表'!B22&lt;=1,F20*F21*'数据-取费表'!B20/2,F20*(POWER((1+F21),'数据-取费表'!B20/2)-1)),4)</f>
        <v>2.2000000000000001E-3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6" t="s">
        <v>1859</v>
      </c>
      <c r="B24" s="2980" t="s">
        <v>2828</v>
      </c>
      <c r="C24" s="478">
        <f ca="1">C25</f>
        <v>38142</v>
      </c>
      <c r="D24" s="489">
        <f ca="1">C26</f>
        <v>4.7999999999999996E-3</v>
      </c>
      <c r="E24" s="469" t="s">
        <v>507</v>
      </c>
      <c r="F24" s="479">
        <f ca="1">IF(B1="",'数据-取费表'!Q16,INDIRECT("'数据-取费表'!q"&amp;$K$1))</f>
        <v>0.16</v>
      </c>
      <c r="G24" s="444"/>
      <c r="H24" s="447"/>
      <c r="I24" s="447"/>
      <c r="J24" s="447"/>
      <c r="K24" s="448"/>
    </row>
    <row r="25" spans="1:14" s="2102" customFormat="1" ht="13.5" customHeight="1">
      <c r="A25" s="1615" t="s">
        <v>1848</v>
      </c>
      <c r="B25" s="1323" t="s">
        <v>2433</v>
      </c>
      <c r="C25" s="490">
        <f ca="1">ROUND((C18+C19)*F24,0)</f>
        <v>38142</v>
      </c>
      <c r="D25" s="472"/>
      <c r="E25" s="473"/>
      <c r="F25" s="480"/>
      <c r="G25" s="1321" t="s">
        <v>2430</v>
      </c>
      <c r="H25" s="457"/>
      <c r="I25" s="457"/>
      <c r="J25" s="457"/>
      <c r="K25" s="458"/>
    </row>
    <row r="26" spans="1:14" s="2102" customFormat="1" ht="13.5" customHeight="1">
      <c r="A26" s="1615" t="s">
        <v>1849</v>
      </c>
      <c r="B26" s="1323" t="s">
        <v>509</v>
      </c>
      <c r="C26" s="491">
        <f ca="1">ROUND(F20*F24,4)</f>
        <v>4.7999999999999996E-3</v>
      </c>
      <c r="D26" s="472"/>
      <c r="E26" s="481"/>
      <c r="F26" s="480"/>
      <c r="G26" s="1321" t="s">
        <v>510</v>
      </c>
      <c r="H26" s="457"/>
      <c r="I26" s="457"/>
      <c r="J26" s="457"/>
      <c r="K26" s="458"/>
    </row>
    <row r="27" spans="1:14" s="2102" customFormat="1" ht="13.5" customHeight="1">
      <c r="A27" s="1619" t="s">
        <v>1867</v>
      </c>
      <c r="B27" s="459" t="s">
        <v>511</v>
      </c>
      <c r="C27" s="2979">
        <f>ROUND(F27/(1+'数据-取费表'!C42),4)</f>
        <v>5.2400000000000002E-2</v>
      </c>
      <c r="D27" s="462" t="s">
        <v>2826</v>
      </c>
      <c r="E27" s="462"/>
      <c r="F27" s="466">
        <f>'数据-取费表'!B41</f>
        <v>5.5000000000000007E-2</v>
      </c>
      <c r="G27" s="1942" t="s">
        <v>2289</v>
      </c>
      <c r="H27" s="447"/>
      <c r="I27" s="447"/>
      <c r="J27" s="447"/>
      <c r="K27" s="448"/>
    </row>
    <row r="28" spans="1:14" s="2103" customFormat="1" ht="13.5" customHeight="1">
      <c r="A28" s="1619" t="s">
        <v>1868</v>
      </c>
      <c r="B28" s="476" t="s">
        <v>512</v>
      </c>
      <c r="C28" s="470">
        <f ca="1">ROUND((C18+C19+C21+C24)/(1-C20-D21-D24-C27),0)</f>
        <v>322550</v>
      </c>
      <c r="D28" s="477"/>
      <c r="E28" s="469"/>
      <c r="F28" s="471"/>
      <c r="G28" s="1322" t="s">
        <v>2431</v>
      </c>
      <c r="H28" s="447"/>
      <c r="I28" s="447"/>
      <c r="J28" s="447"/>
      <c r="K28" s="448"/>
    </row>
    <row r="29" spans="1:14" s="2103" customFormat="1" ht="13.5" customHeight="1">
      <c r="A29" s="1619" t="s">
        <v>1869</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3" t="s">
        <v>1865</v>
      </c>
      <c r="B31" s="1325"/>
      <c r="C31" s="500">
        <f>ROUND(C6*F31/(1+'数据-取费表'!C42),0)</f>
        <v>0</v>
      </c>
      <c r="D31" s="1326"/>
      <c r="E31" s="1326"/>
      <c r="F31" s="501">
        <f>'数据-取费表'!B41</f>
        <v>5.5000000000000007E-2</v>
      </c>
      <c r="G31" s="1327"/>
      <c r="H31" s="1327"/>
      <c r="I31" s="1327"/>
      <c r="J31" s="1328"/>
      <c r="K31" s="1329"/>
    </row>
    <row r="32" spans="1:14" s="206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467</v>
      </c>
      <c r="B2" s="508"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c r="A3" s="1374" t="s">
        <v>1685</v>
      </c>
      <c r="B3" s="510"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8"/>
    </row>
    <row r="6" spans="1:29" ht="15">
      <c r="A6" s="512" t="s">
        <v>521</v>
      </c>
      <c r="B6" s="513"/>
      <c r="C6" s="3579" t="s">
        <v>522</v>
      </c>
      <c r="D6" s="3580"/>
      <c r="E6" s="3603" t="s">
        <v>523</v>
      </c>
      <c r="F6" s="3604"/>
      <c r="G6" s="3579" t="s">
        <v>524</v>
      </c>
      <c r="H6" s="3580"/>
      <c r="I6" s="3579" t="s">
        <v>525</v>
      </c>
      <c r="J6" s="3580"/>
      <c r="K6" s="514" t="s">
        <v>526</v>
      </c>
      <c r="L6" s="2115"/>
      <c r="M6" s="2116"/>
      <c r="N6" s="2116"/>
      <c r="O6" s="2116"/>
      <c r="P6" s="3581" t="s">
        <v>527</v>
      </c>
      <c r="Q6" s="3582"/>
      <c r="R6" s="3567" t="s">
        <v>523</v>
      </c>
      <c r="S6" s="3568"/>
      <c r="T6" s="3567" t="s">
        <v>524</v>
      </c>
      <c r="U6" s="3568"/>
      <c r="V6" s="3587" t="s">
        <v>525</v>
      </c>
      <c r="W6" s="3587"/>
      <c r="X6" s="1550"/>
      <c r="Y6" s="3567" t="s">
        <v>527</v>
      </c>
      <c r="Z6" s="3568"/>
      <c r="AA6" s="3562" t="s">
        <v>523</v>
      </c>
      <c r="AB6" s="3563" t="s">
        <v>524</v>
      </c>
      <c r="AC6" s="3562" t="s">
        <v>525</v>
      </c>
    </row>
    <row r="7" spans="1:29" ht="15">
      <c r="A7" s="515"/>
      <c r="B7" s="516"/>
      <c r="C7" s="3590" t="s">
        <v>2923</v>
      </c>
      <c r="D7" s="3591"/>
      <c r="E7" s="3605" t="s">
        <v>2924</v>
      </c>
      <c r="F7" s="3606"/>
      <c r="G7" s="3590" t="s">
        <v>2925</v>
      </c>
      <c r="H7" s="3591"/>
      <c r="I7" s="3590" t="s">
        <v>2926</v>
      </c>
      <c r="J7" s="3591"/>
      <c r="K7" s="514"/>
      <c r="L7" s="2115"/>
      <c r="M7" s="2116"/>
      <c r="N7" s="2116"/>
      <c r="O7" s="2116"/>
      <c r="P7" s="3583"/>
      <c r="Q7" s="3584"/>
      <c r="R7" s="3569"/>
      <c r="S7" s="3570"/>
      <c r="T7" s="3569"/>
      <c r="U7" s="3570"/>
      <c r="V7" s="3587"/>
      <c r="W7" s="3587"/>
      <c r="X7" s="1550"/>
      <c r="Y7" s="3569"/>
      <c r="Z7" s="3570"/>
      <c r="AA7" s="3563"/>
      <c r="AB7" s="3563"/>
      <c r="AC7" s="3563"/>
    </row>
    <row r="8" spans="1:29" ht="15.75" thickBot="1">
      <c r="A8" s="517"/>
      <c r="B8" s="518"/>
      <c r="C8" s="3588" t="s">
        <v>2927</v>
      </c>
      <c r="D8" s="3589"/>
      <c r="E8" s="3607" t="s">
        <v>2927</v>
      </c>
      <c r="F8" s="3608"/>
      <c r="G8" s="3588" t="s">
        <v>2927</v>
      </c>
      <c r="H8" s="3589"/>
      <c r="I8" s="3588" t="s">
        <v>2927</v>
      </c>
      <c r="J8" s="3589"/>
      <c r="K8" s="514" t="s">
        <v>528</v>
      </c>
      <c r="L8" s="2115"/>
      <c r="M8" s="2116"/>
      <c r="N8" s="2116"/>
      <c r="O8" s="2116"/>
      <c r="P8" s="3585"/>
      <c r="Q8" s="3586"/>
      <c r="R8" s="3569"/>
      <c r="S8" s="3570"/>
      <c r="T8" s="3571"/>
      <c r="U8" s="3572"/>
      <c r="V8" s="3587"/>
      <c r="W8" s="3587"/>
      <c r="X8" s="1550"/>
      <c r="Y8" s="3571"/>
      <c r="Z8" s="3572"/>
      <c r="AA8" s="3564"/>
      <c r="AB8" s="3564"/>
      <c r="AC8" s="3564"/>
    </row>
    <row r="9" spans="1:29" s="1215" customFormat="1" ht="15.75" thickBot="1">
      <c r="A9" s="2864"/>
      <c r="B9" s="2871" t="s">
        <v>529</v>
      </c>
      <c r="C9" s="519">
        <f>'数据-取费表'!B2</f>
        <v>43763</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565" t="s">
        <v>530</v>
      </c>
      <c r="Q9" s="3574"/>
      <c r="R9" s="1551" t="s">
        <v>8</v>
      </c>
      <c r="S9" s="1552">
        <f t="shared" ref="S9:S17" si="0">F9</f>
        <v>0</v>
      </c>
      <c r="T9" s="1551" t="s">
        <v>8</v>
      </c>
      <c r="U9" s="1552">
        <f t="shared" ref="U9:U17" si="1">H9</f>
        <v>0</v>
      </c>
      <c r="V9" s="1551" t="s">
        <v>8</v>
      </c>
      <c r="W9" s="1552">
        <f t="shared" ref="W9:W17" si="2">J9</f>
        <v>0</v>
      </c>
      <c r="X9" s="1553"/>
      <c r="Y9" s="3565" t="s">
        <v>530</v>
      </c>
      <c r="Z9" s="3566"/>
      <c r="AA9" s="1554" t="e">
        <f>D9/F9</f>
        <v>#DIV/0!</v>
      </c>
      <c r="AB9" s="1554" t="e">
        <f>D9/H9</f>
        <v>#DIV/0!</v>
      </c>
      <c r="AC9" s="1554"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565" t="s">
        <v>533</v>
      </c>
      <c r="Q10" s="3566"/>
      <c r="R10" s="1551" t="s">
        <v>8</v>
      </c>
      <c r="S10" s="1552">
        <f t="shared" si="0"/>
        <v>0</v>
      </c>
      <c r="T10" s="1551" t="s">
        <v>8</v>
      </c>
      <c r="U10" s="1552">
        <f t="shared" si="1"/>
        <v>0</v>
      </c>
      <c r="V10" s="1551" t="s">
        <v>8</v>
      </c>
      <c r="W10" s="1552">
        <f t="shared" si="2"/>
        <v>0</v>
      </c>
      <c r="X10" s="1553"/>
      <c r="Y10" s="3565" t="s">
        <v>533</v>
      </c>
      <c r="Z10" s="3566"/>
      <c r="AA10" s="1554" t="e">
        <f t="shared" ref="AA10:AA42" si="3">D10/F10</f>
        <v>#DIV/0!</v>
      </c>
      <c r="AB10" s="1554" t="e">
        <f t="shared" ref="AB10:AB42" si="4">D10/H10</f>
        <v>#DIV/0!</v>
      </c>
      <c r="AC10" s="1554" t="e">
        <f t="shared" ref="AC10:AC42" si="5">D10/J10</f>
        <v>#DIV/0!</v>
      </c>
    </row>
    <row r="11" spans="1:29" s="1215" customFormat="1" ht="15">
      <c r="A11" s="2866"/>
      <c r="B11" s="2873" t="s">
        <v>2752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573" t="s">
        <v>535</v>
      </c>
      <c r="Q11" s="1146" t="str">
        <f t="shared" ref="Q11:Q17" si="6">B11</f>
        <v>用途</v>
      </c>
      <c r="R11" s="1551" t="s">
        <v>8</v>
      </c>
      <c r="S11" s="1552">
        <f t="shared" si="0"/>
        <v>100</v>
      </c>
      <c r="T11" s="1551" t="s">
        <v>8</v>
      </c>
      <c r="U11" s="1552">
        <f t="shared" si="1"/>
        <v>100</v>
      </c>
      <c r="V11" s="1551" t="s">
        <v>8</v>
      </c>
      <c r="W11" s="1552">
        <f t="shared" si="2"/>
        <v>100</v>
      </c>
      <c r="X11" s="1553"/>
      <c r="Y11" s="3530" t="s">
        <v>536</v>
      </c>
      <c r="Z11" s="1145" t="str">
        <f t="shared" ref="Z11:Z17" si="7">Q11</f>
        <v>用途</v>
      </c>
      <c r="AA11" s="1554">
        <f t="shared" si="3"/>
        <v>1</v>
      </c>
      <c r="AB11" s="1554">
        <f t="shared" si="4"/>
        <v>1</v>
      </c>
      <c r="AC11" s="1554">
        <f t="shared" si="5"/>
        <v>1</v>
      </c>
    </row>
    <row r="12" spans="1:29" s="1333" customFormat="1" ht="27">
      <c r="A12" s="2867"/>
      <c r="B12" s="2872" t="s">
        <v>2753</v>
      </c>
      <c r="C12" s="528"/>
      <c r="D12" s="255">
        <v>100</v>
      </c>
      <c r="E12" s="528"/>
      <c r="F12" s="255">
        <f>ROUND(100/'数据-取费表'!G16,0)</f>
        <v>104</v>
      </c>
      <c r="G12" s="528"/>
      <c r="H12" s="255">
        <f>ROUND(100/'数据-取费表'!G16,0)</f>
        <v>104</v>
      </c>
      <c r="I12" s="528"/>
      <c r="J12" s="255">
        <f>ROUND(100/'数据-取费表'!G16,0)</f>
        <v>104</v>
      </c>
      <c r="K12" s="531"/>
      <c r="L12" s="2120"/>
      <c r="M12" s="2160"/>
      <c r="N12" s="2160"/>
      <c r="O12" s="2121"/>
      <c r="P12" s="3573"/>
      <c r="Q12" s="1146" t="str">
        <f t="shared" si="6"/>
        <v>土地使用年限（年）</v>
      </c>
      <c r="R12" s="1551" t="s">
        <v>8</v>
      </c>
      <c r="S12" s="1552">
        <f t="shared" si="0"/>
        <v>104</v>
      </c>
      <c r="T12" s="1551" t="s">
        <v>8</v>
      </c>
      <c r="U12" s="1552">
        <f t="shared" si="1"/>
        <v>104</v>
      </c>
      <c r="V12" s="1551" t="s">
        <v>8</v>
      </c>
      <c r="W12" s="1552">
        <f t="shared" si="2"/>
        <v>104</v>
      </c>
      <c r="X12" s="1553"/>
      <c r="Y12" s="3530"/>
      <c r="Z12" s="1145" t="str">
        <f t="shared" si="7"/>
        <v>土地使用年限（年）</v>
      </c>
      <c r="AA12" s="1554">
        <f t="shared" si="3"/>
        <v>0.96153846153846156</v>
      </c>
      <c r="AB12" s="1554">
        <f t="shared" si="4"/>
        <v>0.96153846153846156</v>
      </c>
      <c r="AC12" s="1554">
        <f t="shared" si="5"/>
        <v>0.96153846153846156</v>
      </c>
    </row>
    <row r="13" spans="1:29" ht="15">
      <c r="A13" s="2868"/>
      <c r="B13" s="287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573"/>
      <c r="Q13" s="1146" t="str">
        <f t="shared" si="6"/>
        <v>容积率</v>
      </c>
      <c r="R13" s="1551" t="s">
        <v>8</v>
      </c>
      <c r="S13" s="1552" t="e">
        <f t="shared" si="0"/>
        <v>#N/A</v>
      </c>
      <c r="T13" s="1551" t="s">
        <v>8</v>
      </c>
      <c r="U13" s="1552" t="e">
        <f t="shared" si="1"/>
        <v>#N/A</v>
      </c>
      <c r="V13" s="1551" t="s">
        <v>8</v>
      </c>
      <c r="W13" s="1552" t="e">
        <f t="shared" si="2"/>
        <v>#N/A</v>
      </c>
      <c r="X13" s="1553"/>
      <c r="Y13" s="3530"/>
      <c r="Z13" s="1145" t="str">
        <f t="shared" si="7"/>
        <v>容积率</v>
      </c>
      <c r="AA13" s="1554" t="e">
        <f t="shared" si="3"/>
        <v>#N/A</v>
      </c>
      <c r="AB13" s="1554" t="e">
        <f t="shared" si="4"/>
        <v>#N/A</v>
      </c>
      <c r="AC13" s="1554"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573"/>
      <c r="Q14" s="1146">
        <f t="shared" si="6"/>
        <v>111</v>
      </c>
      <c r="R14" s="1551" t="s">
        <v>8</v>
      </c>
      <c r="S14" s="1552">
        <f t="shared" si="0"/>
        <v>100</v>
      </c>
      <c r="T14" s="1551" t="s">
        <v>8</v>
      </c>
      <c r="U14" s="1552">
        <f t="shared" si="1"/>
        <v>100</v>
      </c>
      <c r="V14" s="1551" t="s">
        <v>8</v>
      </c>
      <c r="W14" s="1552">
        <f t="shared" si="2"/>
        <v>100</v>
      </c>
      <c r="X14" s="1553"/>
      <c r="Y14" s="3530"/>
      <c r="Z14" s="1145">
        <f t="shared" si="7"/>
        <v>111</v>
      </c>
      <c r="AA14" s="1554">
        <f>D14/F14</f>
        <v>1</v>
      </c>
      <c r="AB14" s="1554">
        <f>D14/H14</f>
        <v>1</v>
      </c>
      <c r="AC14" s="1554">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573"/>
      <c r="Q15" s="1146">
        <f t="shared" si="6"/>
        <v>111</v>
      </c>
      <c r="R15" s="1551" t="s">
        <v>8</v>
      </c>
      <c r="S15" s="1552">
        <f t="shared" si="0"/>
        <v>100</v>
      </c>
      <c r="T15" s="1551" t="s">
        <v>8</v>
      </c>
      <c r="U15" s="1552">
        <f t="shared" si="1"/>
        <v>100</v>
      </c>
      <c r="V15" s="1551" t="s">
        <v>8</v>
      </c>
      <c r="W15" s="1552">
        <f t="shared" si="2"/>
        <v>100</v>
      </c>
      <c r="X15" s="1553"/>
      <c r="Y15" s="3530"/>
      <c r="Z15" s="1145">
        <f t="shared" si="7"/>
        <v>111</v>
      </c>
      <c r="AA15" s="1554">
        <f t="shared" si="3"/>
        <v>1</v>
      </c>
      <c r="AB15" s="1554">
        <f t="shared" si="4"/>
        <v>1</v>
      </c>
      <c r="AC15" s="1554">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573"/>
      <c r="Q16" s="1146">
        <f t="shared" si="6"/>
        <v>111</v>
      </c>
      <c r="R16" s="1551" t="s">
        <v>8</v>
      </c>
      <c r="S16" s="1552">
        <f t="shared" si="0"/>
        <v>100</v>
      </c>
      <c r="T16" s="1551" t="s">
        <v>8</v>
      </c>
      <c r="U16" s="1552">
        <f t="shared" si="1"/>
        <v>100</v>
      </c>
      <c r="V16" s="1551" t="s">
        <v>8</v>
      </c>
      <c r="W16" s="1552">
        <f t="shared" si="2"/>
        <v>100</v>
      </c>
      <c r="X16" s="1553"/>
      <c r="Y16" s="3530"/>
      <c r="Z16" s="1145">
        <f t="shared" si="7"/>
        <v>111</v>
      </c>
      <c r="AA16" s="1554">
        <f t="shared" si="3"/>
        <v>1</v>
      </c>
      <c r="AB16" s="1554">
        <f t="shared" si="4"/>
        <v>1</v>
      </c>
      <c r="AC16" s="1554">
        <f t="shared" si="5"/>
        <v>1</v>
      </c>
    </row>
    <row r="17" spans="1:29" ht="57">
      <c r="A17" s="2862"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575" t="s">
        <v>540</v>
      </c>
      <c r="Q17" s="1555" t="str">
        <f t="shared" si="6"/>
        <v>产业集聚程度</v>
      </c>
      <c r="R17" s="1556" t="s">
        <v>8</v>
      </c>
      <c r="S17" s="1557">
        <f t="shared" si="0"/>
        <v>100</v>
      </c>
      <c r="T17" s="1556" t="s">
        <v>8</v>
      </c>
      <c r="U17" s="1557">
        <f t="shared" si="1"/>
        <v>100</v>
      </c>
      <c r="V17" s="1556" t="s">
        <v>8</v>
      </c>
      <c r="W17" s="1557">
        <f t="shared" si="2"/>
        <v>100</v>
      </c>
      <c r="X17" s="1550"/>
      <c r="Y17" s="3575" t="s">
        <v>540</v>
      </c>
      <c r="Z17" s="1558" t="str">
        <f t="shared" si="7"/>
        <v>产业集聚程度</v>
      </c>
      <c r="AA17" s="1559">
        <f t="shared" si="3"/>
        <v>1</v>
      </c>
      <c r="AB17" s="1559">
        <f t="shared" si="4"/>
        <v>1</v>
      </c>
      <c r="AC17" s="1559">
        <f t="shared" si="5"/>
        <v>1</v>
      </c>
    </row>
    <row r="18" spans="1:29" ht="15">
      <c r="A18" s="532"/>
      <c r="B18" s="869"/>
      <c r="C18" s="576"/>
      <c r="D18" s="555"/>
      <c r="E18" s="554"/>
      <c r="F18" s="555"/>
      <c r="G18" s="554"/>
      <c r="H18" s="559"/>
      <c r="I18" s="554"/>
      <c r="J18" s="555"/>
      <c r="K18" s="531"/>
      <c r="L18" s="2124"/>
      <c r="M18" s="2116"/>
      <c r="N18" s="2116"/>
      <c r="O18" s="2123"/>
      <c r="P18" s="3576"/>
      <c r="Q18" s="1555"/>
      <c r="R18" s="1556"/>
      <c r="S18" s="1557"/>
      <c r="T18" s="1556"/>
      <c r="U18" s="1557"/>
      <c r="V18" s="1556"/>
      <c r="W18" s="1557"/>
      <c r="X18" s="1550"/>
      <c r="Y18" s="3576"/>
      <c r="Z18" s="1558"/>
      <c r="AA18" s="1559">
        <v>1</v>
      </c>
      <c r="AB18" s="1559">
        <v>1</v>
      </c>
      <c r="AC18" s="1559">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76"/>
      <c r="Q19" s="1555" t="str">
        <f>B19</f>
        <v>交通便捷度</v>
      </c>
      <c r="R19" s="1556" t="s">
        <v>8</v>
      </c>
      <c r="S19" s="1557">
        <f>F19</f>
        <v>100</v>
      </c>
      <c r="T19" s="1556" t="s">
        <v>8</v>
      </c>
      <c r="U19" s="1557">
        <f>H19</f>
        <v>100</v>
      </c>
      <c r="V19" s="1556" t="s">
        <v>8</v>
      </c>
      <c r="W19" s="1557">
        <f>J19</f>
        <v>100</v>
      </c>
      <c r="X19" s="1550"/>
      <c r="Y19" s="3576"/>
      <c r="Z19" s="1558" t="str">
        <f>Q19</f>
        <v>交通便捷度</v>
      </c>
      <c r="AA19" s="1559">
        <f t="shared" si="3"/>
        <v>1</v>
      </c>
      <c r="AB19" s="1559">
        <f t="shared" si="4"/>
        <v>1</v>
      </c>
      <c r="AC19" s="1559">
        <f t="shared" si="5"/>
        <v>1</v>
      </c>
    </row>
    <row r="20" spans="1:29" ht="15">
      <c r="A20" s="532"/>
      <c r="B20" s="921"/>
      <c r="C20" s="576"/>
      <c r="D20" s="555"/>
      <c r="E20" s="556"/>
      <c r="F20" s="555"/>
      <c r="G20" s="556"/>
      <c r="H20" s="555"/>
      <c r="I20" s="558"/>
      <c r="J20" s="555"/>
      <c r="K20" s="531"/>
      <c r="L20" s="2124"/>
      <c r="M20" s="2116"/>
      <c r="N20" s="2116"/>
      <c r="O20" s="2123"/>
      <c r="P20" s="3576"/>
      <c r="Q20" s="1555"/>
      <c r="R20" s="1556"/>
      <c r="S20" s="1557"/>
      <c r="T20" s="1556"/>
      <c r="U20" s="1557"/>
      <c r="V20" s="1556"/>
      <c r="W20" s="1557"/>
      <c r="X20" s="1550"/>
      <c r="Y20" s="3576"/>
      <c r="Z20" s="1558"/>
      <c r="AA20" s="1559">
        <v>1</v>
      </c>
      <c r="AB20" s="1559">
        <v>1</v>
      </c>
      <c r="AC20" s="1559">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576"/>
      <c r="Q21" s="1555" t="str">
        <f t="shared" ref="Q21:Q35" si="8">B21</f>
        <v>区域土地利用方向</v>
      </c>
      <c r="R21" s="1556" t="s">
        <v>8</v>
      </c>
      <c r="S21" s="1557">
        <f>F21</f>
        <v>100</v>
      </c>
      <c r="T21" s="1556" t="s">
        <v>8</v>
      </c>
      <c r="U21" s="1557">
        <f>H21</f>
        <v>100</v>
      </c>
      <c r="V21" s="1556" t="s">
        <v>8</v>
      </c>
      <c r="W21" s="1557">
        <f>J21</f>
        <v>100</v>
      </c>
      <c r="X21" s="1550"/>
      <c r="Y21" s="3576"/>
      <c r="Z21" s="1558" t="str">
        <f>Q21</f>
        <v>区域土地利用方向</v>
      </c>
      <c r="AA21" s="1559">
        <f t="shared" si="3"/>
        <v>1</v>
      </c>
      <c r="AB21" s="1559">
        <f t="shared" si="4"/>
        <v>1</v>
      </c>
      <c r="AC21" s="1559">
        <f t="shared" si="5"/>
        <v>1</v>
      </c>
    </row>
    <row r="22" spans="1:29" ht="15">
      <c r="A22" s="515"/>
      <c r="B22" s="595"/>
      <c r="C22" s="576"/>
      <c r="D22" s="555"/>
      <c r="E22" s="556"/>
      <c r="F22" s="557"/>
      <c r="G22" s="558"/>
      <c r="H22" s="557"/>
      <c r="I22" s="558"/>
      <c r="J22" s="557"/>
      <c r="K22" s="1343"/>
      <c r="L22" s="2124"/>
      <c r="M22" s="2116"/>
      <c r="N22" s="2116"/>
      <c r="O22" s="2123"/>
      <c r="P22" s="3576"/>
      <c r="Q22" s="1555"/>
      <c r="R22" s="1556"/>
      <c r="S22" s="1557"/>
      <c r="T22" s="1556"/>
      <c r="U22" s="1557"/>
      <c r="V22" s="1556"/>
      <c r="W22" s="1557"/>
      <c r="X22" s="1550"/>
      <c r="Y22" s="3576"/>
      <c r="Z22" s="1558"/>
      <c r="AA22" s="1559"/>
      <c r="AB22" s="1559"/>
      <c r="AC22" s="1559"/>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76"/>
      <c r="Q23" s="1555" t="str">
        <f t="shared" si="8"/>
        <v>环境状况</v>
      </c>
      <c r="R23" s="1556" t="s">
        <v>8</v>
      </c>
      <c r="S23" s="1557">
        <f>F23</f>
        <v>100</v>
      </c>
      <c r="T23" s="1556" t="s">
        <v>8</v>
      </c>
      <c r="U23" s="1557">
        <f>H23</f>
        <v>100</v>
      </c>
      <c r="V23" s="1556" t="s">
        <v>8</v>
      </c>
      <c r="W23" s="1557">
        <f>J23</f>
        <v>100</v>
      </c>
      <c r="X23" s="1550"/>
      <c r="Y23" s="3576"/>
      <c r="Z23" s="1558" t="str">
        <f>Q23</f>
        <v>环境状况</v>
      </c>
      <c r="AA23" s="1559">
        <f t="shared" si="3"/>
        <v>1</v>
      </c>
      <c r="AB23" s="1559">
        <f t="shared" si="4"/>
        <v>1</v>
      </c>
      <c r="AC23" s="1559">
        <f t="shared" si="5"/>
        <v>1</v>
      </c>
    </row>
    <row r="24" spans="1:29" ht="15">
      <c r="A24" s="515"/>
      <c r="B24" s="595"/>
      <c r="C24" s="576"/>
      <c r="D24" s="555"/>
      <c r="E24" s="554"/>
      <c r="F24" s="555"/>
      <c r="G24" s="554"/>
      <c r="H24" s="555"/>
      <c r="I24" s="576"/>
      <c r="J24" s="555"/>
      <c r="K24" s="531"/>
      <c r="L24" s="2124"/>
      <c r="M24" s="2116"/>
      <c r="N24" s="2116"/>
      <c r="O24" s="2123"/>
      <c r="P24" s="3576"/>
      <c r="Q24" s="1555"/>
      <c r="R24" s="1556"/>
      <c r="S24" s="1557"/>
      <c r="T24" s="1556"/>
      <c r="U24" s="1557"/>
      <c r="V24" s="1556"/>
      <c r="W24" s="1557"/>
      <c r="X24" s="1550"/>
      <c r="Y24" s="3576"/>
      <c r="Z24" s="1558"/>
      <c r="AA24" s="1559">
        <v>1</v>
      </c>
      <c r="AB24" s="1559">
        <v>1</v>
      </c>
      <c r="AC24" s="1559">
        <v>1</v>
      </c>
    </row>
    <row r="25" spans="1:29" s="1215" customFormat="1" ht="42.75">
      <c r="A25" s="577"/>
      <c r="B25" s="2554"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76"/>
      <c r="Q25" s="1146" t="str">
        <f t="shared" si="8"/>
        <v>公共配套设施</v>
      </c>
      <c r="R25" s="1551" t="s">
        <v>8</v>
      </c>
      <c r="S25" s="1552">
        <f>F25</f>
        <v>100</v>
      </c>
      <c r="T25" s="1551" t="s">
        <v>8</v>
      </c>
      <c r="U25" s="1552">
        <f>H25</f>
        <v>100</v>
      </c>
      <c r="V25" s="1551" t="s">
        <v>8</v>
      </c>
      <c r="W25" s="1552">
        <f>J25</f>
        <v>100</v>
      </c>
      <c r="X25" s="1553"/>
      <c r="Y25" s="3576"/>
      <c r="Z25" s="1145" t="str">
        <f>Q25</f>
        <v>公共配套设施</v>
      </c>
      <c r="AA25" s="1559">
        <f>D25/F25</f>
        <v>1</v>
      </c>
      <c r="AB25" s="1559">
        <f>D25/H25</f>
        <v>1</v>
      </c>
      <c r="AC25" s="1559">
        <f>D25/J25</f>
        <v>1</v>
      </c>
    </row>
    <row r="26" spans="1:29" s="1215" customFormat="1" ht="15">
      <c r="A26" s="577"/>
      <c r="B26" s="595"/>
      <c r="C26" s="2553"/>
      <c r="D26" s="555"/>
      <c r="E26" s="554"/>
      <c r="F26" s="555"/>
      <c r="G26" s="554"/>
      <c r="H26" s="555"/>
      <c r="I26" s="576"/>
      <c r="J26" s="555"/>
      <c r="K26" s="531"/>
      <c r="L26" s="2117"/>
      <c r="M26" s="2118"/>
      <c r="N26" s="2118"/>
      <c r="O26" s="2119"/>
      <c r="P26" s="3576"/>
      <c r="Q26" s="1146"/>
      <c r="R26" s="1551"/>
      <c r="S26" s="1552"/>
      <c r="T26" s="1551"/>
      <c r="U26" s="1552"/>
      <c r="V26" s="1551"/>
      <c r="W26" s="1552"/>
      <c r="X26" s="1553"/>
      <c r="Y26" s="3576"/>
      <c r="Z26" s="1145"/>
      <c r="AA26" s="1554">
        <v>1</v>
      </c>
      <c r="AB26" s="1554">
        <v>1</v>
      </c>
      <c r="AC26" s="1554">
        <v>1</v>
      </c>
    </row>
    <row r="27" spans="1:29" s="1215" customFormat="1" ht="28.5">
      <c r="A27" s="577"/>
      <c r="B27" s="2554"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76"/>
      <c r="Q27" s="2539" t="str">
        <f t="shared" ref="Q27" si="9">B27</f>
        <v>基础设施水平</v>
      </c>
      <c r="R27" s="1551" t="s">
        <v>8</v>
      </c>
      <c r="S27" s="1552">
        <f>F27</f>
        <v>100</v>
      </c>
      <c r="T27" s="1551" t="s">
        <v>8</v>
      </c>
      <c r="U27" s="1552">
        <f>H27</f>
        <v>100</v>
      </c>
      <c r="V27" s="1551" t="s">
        <v>8</v>
      </c>
      <c r="W27" s="1552">
        <f>J27</f>
        <v>100</v>
      </c>
      <c r="X27" s="1553"/>
      <c r="Y27" s="3576"/>
      <c r="Z27" s="2536" t="str">
        <f>Q27</f>
        <v>基础设施水平</v>
      </c>
      <c r="AA27" s="1559">
        <f>D27/F27</f>
        <v>1</v>
      </c>
      <c r="AB27" s="1559">
        <f>D27/H27</f>
        <v>1</v>
      </c>
      <c r="AC27" s="1559">
        <f>D27/J27</f>
        <v>1</v>
      </c>
    </row>
    <row r="28" spans="1:29" s="1215" customFormat="1" ht="15">
      <c r="A28" s="577"/>
      <c r="B28" s="595"/>
      <c r="C28" s="2553"/>
      <c r="D28" s="555"/>
      <c r="E28" s="579"/>
      <c r="F28" s="555"/>
      <c r="G28" s="579"/>
      <c r="H28" s="555"/>
      <c r="I28" s="579"/>
      <c r="J28" s="555"/>
      <c r="K28" s="531"/>
      <c r="L28" s="2117"/>
      <c r="M28" s="2118"/>
      <c r="N28" s="2118"/>
      <c r="O28" s="2119"/>
      <c r="P28" s="3576"/>
      <c r="Q28" s="2539"/>
      <c r="R28" s="1551"/>
      <c r="S28" s="1552"/>
      <c r="T28" s="1551"/>
      <c r="U28" s="1552"/>
      <c r="V28" s="1551"/>
      <c r="W28" s="1552"/>
      <c r="X28" s="1553"/>
      <c r="Y28" s="3576"/>
      <c r="Z28" s="2536"/>
      <c r="AA28" s="1554">
        <v>1</v>
      </c>
      <c r="AB28" s="1554">
        <v>1</v>
      </c>
      <c r="AC28" s="1554">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7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76"/>
      <c r="Z29" s="1558" t="str">
        <f t="shared" ref="Z29:Z42" si="13">Q29</f>
        <v>临街状况</v>
      </c>
      <c r="AA29" s="1559">
        <f t="shared" si="3"/>
        <v>1</v>
      </c>
      <c r="AB29" s="1559">
        <f t="shared" si="4"/>
        <v>1</v>
      </c>
      <c r="AC29" s="1559">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76"/>
      <c r="Q30" s="1555" t="str">
        <f t="shared" si="8"/>
        <v>毗邻道路的类型与等级</v>
      </c>
      <c r="R30" s="1556" t="s">
        <v>8</v>
      </c>
      <c r="S30" s="1557">
        <f t="shared" si="10"/>
        <v>100</v>
      </c>
      <c r="T30" s="1556" t="s">
        <v>8</v>
      </c>
      <c r="U30" s="1557">
        <f t="shared" si="11"/>
        <v>100</v>
      </c>
      <c r="V30" s="1556" t="s">
        <v>8</v>
      </c>
      <c r="W30" s="1557">
        <f t="shared" si="12"/>
        <v>100</v>
      </c>
      <c r="X30" s="1550"/>
      <c r="Y30" s="3576"/>
      <c r="Z30" s="1558" t="str">
        <f t="shared" si="13"/>
        <v>毗邻道路的类型与等级</v>
      </c>
      <c r="AA30" s="1559">
        <f t="shared" si="3"/>
        <v>1</v>
      </c>
      <c r="AB30" s="1559">
        <f t="shared" si="4"/>
        <v>1</v>
      </c>
      <c r="AC30" s="1559">
        <f t="shared" si="5"/>
        <v>1</v>
      </c>
    </row>
    <row r="31" spans="1:29" ht="15">
      <c r="A31" s="532"/>
      <c r="B31" s="595"/>
      <c r="C31" s="576"/>
      <c r="D31" s="555"/>
      <c r="E31" s="576"/>
      <c r="F31" s="555"/>
      <c r="G31" s="576"/>
      <c r="H31" s="555"/>
      <c r="I31" s="576"/>
      <c r="J31" s="555"/>
      <c r="K31" s="581"/>
      <c r="L31" s="2124"/>
      <c r="M31" s="2116"/>
      <c r="N31" s="2116"/>
      <c r="O31" s="2123"/>
      <c r="P31" s="3576"/>
      <c r="Q31" s="1555"/>
      <c r="R31" s="1556"/>
      <c r="S31" s="1557"/>
      <c r="T31" s="1556"/>
      <c r="U31" s="1557"/>
      <c r="V31" s="1556"/>
      <c r="W31" s="1557"/>
      <c r="X31" s="1550"/>
      <c r="Y31" s="3576"/>
      <c r="Z31" s="1558"/>
      <c r="AA31" s="1559">
        <v>1</v>
      </c>
      <c r="AB31" s="1559">
        <v>1</v>
      </c>
      <c r="AC31" s="1559">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76"/>
      <c r="Q32" s="1555" t="str">
        <f t="shared" si="8"/>
        <v>土地级别</v>
      </c>
      <c r="R32" s="1556" t="s">
        <v>8</v>
      </c>
      <c r="S32" s="1557">
        <f t="shared" si="10"/>
        <v>100</v>
      </c>
      <c r="T32" s="1556" t="s">
        <v>8</v>
      </c>
      <c r="U32" s="1557">
        <f t="shared" si="11"/>
        <v>100</v>
      </c>
      <c r="V32" s="1556" t="s">
        <v>8</v>
      </c>
      <c r="W32" s="1557">
        <f t="shared" si="12"/>
        <v>100</v>
      </c>
      <c r="X32" s="1550"/>
      <c r="Y32" s="3576"/>
      <c r="Z32" s="1558" t="str">
        <f t="shared" si="13"/>
        <v>土地级别</v>
      </c>
      <c r="AA32" s="1559">
        <f t="shared" si="3"/>
        <v>1</v>
      </c>
      <c r="AB32" s="1559">
        <f t="shared" si="4"/>
        <v>1</v>
      </c>
      <c r="AC32" s="155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76"/>
      <c r="Q33" s="1555">
        <f t="shared" si="8"/>
        <v>111</v>
      </c>
      <c r="R33" s="1556" t="s">
        <v>8</v>
      </c>
      <c r="S33" s="1557">
        <f t="shared" si="10"/>
        <v>100</v>
      </c>
      <c r="T33" s="1556" t="s">
        <v>8</v>
      </c>
      <c r="U33" s="1557">
        <f t="shared" si="11"/>
        <v>100</v>
      </c>
      <c r="V33" s="1556" t="s">
        <v>8</v>
      </c>
      <c r="W33" s="1557">
        <f t="shared" si="12"/>
        <v>100</v>
      </c>
      <c r="X33" s="1550"/>
      <c r="Y33" s="3576"/>
      <c r="Z33" s="1558">
        <f t="shared" si="13"/>
        <v>111</v>
      </c>
      <c r="AA33" s="1559">
        <f t="shared" si="3"/>
        <v>1</v>
      </c>
      <c r="AB33" s="1559">
        <f t="shared" si="4"/>
        <v>1</v>
      </c>
      <c r="AC33" s="155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77" t="s">
        <v>550</v>
      </c>
      <c r="Q34" s="1555">
        <f t="shared" si="8"/>
        <v>111</v>
      </c>
      <c r="R34" s="1556" t="s">
        <v>8</v>
      </c>
      <c r="S34" s="1557">
        <f t="shared" si="10"/>
        <v>100</v>
      </c>
      <c r="T34" s="1556" t="s">
        <v>8</v>
      </c>
      <c r="U34" s="1557">
        <f t="shared" si="11"/>
        <v>100</v>
      </c>
      <c r="V34" s="1556" t="s">
        <v>8</v>
      </c>
      <c r="W34" s="1557">
        <f t="shared" si="12"/>
        <v>100</v>
      </c>
      <c r="X34" s="1550"/>
      <c r="Y34" s="3578" t="s">
        <v>550</v>
      </c>
      <c r="Z34" s="1558">
        <f t="shared" si="13"/>
        <v>111</v>
      </c>
      <c r="AA34" s="1559">
        <f t="shared" si="3"/>
        <v>1</v>
      </c>
      <c r="AB34" s="1559">
        <f t="shared" si="4"/>
        <v>1</v>
      </c>
      <c r="AC34" s="1559">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78"/>
      <c r="Q35" s="1555">
        <f t="shared" si="8"/>
        <v>111</v>
      </c>
      <c r="R35" s="1560" t="s">
        <v>8</v>
      </c>
      <c r="S35" s="1561">
        <f t="shared" si="10"/>
        <v>100</v>
      </c>
      <c r="T35" s="1560" t="s">
        <v>8</v>
      </c>
      <c r="U35" s="1561">
        <f t="shared" si="11"/>
        <v>100</v>
      </c>
      <c r="V35" s="1560" t="s">
        <v>8</v>
      </c>
      <c r="W35" s="1561">
        <f t="shared" si="12"/>
        <v>100</v>
      </c>
      <c r="X35" s="1562"/>
      <c r="Y35" s="3578"/>
      <c r="Z35" s="1563">
        <f t="shared" si="13"/>
        <v>111</v>
      </c>
      <c r="AA35" s="1559">
        <f t="shared" si="3"/>
        <v>1</v>
      </c>
      <c r="AB35" s="1559">
        <f t="shared" si="4"/>
        <v>1</v>
      </c>
      <c r="AC35" s="1559">
        <f t="shared" si="5"/>
        <v>1</v>
      </c>
    </row>
    <row r="36" spans="1:29" ht="15">
      <c r="A36" s="2859"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78"/>
      <c r="Q36" s="1555" t="str">
        <f>B36</f>
        <v>宗地面积</v>
      </c>
      <c r="R36" s="1556" t="s">
        <v>8</v>
      </c>
      <c r="S36" s="1557" t="e">
        <f t="shared" si="10"/>
        <v>#N/A</v>
      </c>
      <c r="T36" s="1556" t="s">
        <v>8</v>
      </c>
      <c r="U36" s="1557" t="e">
        <f t="shared" si="11"/>
        <v>#N/A</v>
      </c>
      <c r="V36" s="1556" t="s">
        <v>8</v>
      </c>
      <c r="W36" s="1557" t="e">
        <f t="shared" si="12"/>
        <v>#N/A</v>
      </c>
      <c r="X36" s="1550"/>
      <c r="Y36" s="3578"/>
      <c r="Z36" s="1558" t="str">
        <f t="shared" si="13"/>
        <v>宗地面积</v>
      </c>
      <c r="AA36" s="1559" t="e">
        <f t="shared" si="3"/>
        <v>#N/A</v>
      </c>
      <c r="AB36" s="1559" t="e">
        <f t="shared" si="4"/>
        <v>#N/A</v>
      </c>
      <c r="AC36" s="1559"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78"/>
      <c r="Q37" s="1555" t="str">
        <f t="shared" ref="Q37:Q42" si="14">B37</f>
        <v>宗地形状</v>
      </c>
      <c r="R37" s="1556" t="s">
        <v>8</v>
      </c>
      <c r="S37" s="1557">
        <f t="shared" si="10"/>
        <v>100</v>
      </c>
      <c r="T37" s="1556" t="s">
        <v>8</v>
      </c>
      <c r="U37" s="1557">
        <f t="shared" si="11"/>
        <v>100</v>
      </c>
      <c r="V37" s="1556" t="s">
        <v>8</v>
      </c>
      <c r="W37" s="1557">
        <f t="shared" si="12"/>
        <v>100</v>
      </c>
      <c r="X37" s="1550"/>
      <c r="Y37" s="3578"/>
      <c r="Z37" s="1558" t="str">
        <f t="shared" si="13"/>
        <v>宗地形状</v>
      </c>
      <c r="AA37" s="1559">
        <f t="shared" si="3"/>
        <v>1</v>
      </c>
      <c r="AB37" s="1559">
        <f t="shared" si="4"/>
        <v>1</v>
      </c>
      <c r="AC37" s="1559">
        <f t="shared" si="5"/>
        <v>1</v>
      </c>
    </row>
    <row r="38" spans="1:29" s="1215" customFormat="1" ht="15">
      <c r="A38" s="600"/>
      <c r="B38" s="187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78"/>
      <c r="Q38" s="1555" t="str">
        <f t="shared" si="14"/>
        <v>宗地开发程度</v>
      </c>
      <c r="R38" s="1551" t="s">
        <v>8</v>
      </c>
      <c r="S38" s="1552">
        <f t="shared" si="10"/>
        <v>100</v>
      </c>
      <c r="T38" s="1551" t="s">
        <v>8</v>
      </c>
      <c r="U38" s="1552">
        <f t="shared" si="11"/>
        <v>100</v>
      </c>
      <c r="V38" s="1551" t="s">
        <v>8</v>
      </c>
      <c r="W38" s="1552">
        <f t="shared" si="12"/>
        <v>100</v>
      </c>
      <c r="X38" s="1553"/>
      <c r="Y38" s="3578"/>
      <c r="Z38" s="1145" t="str">
        <f t="shared" si="13"/>
        <v>宗地开发程度</v>
      </c>
      <c r="AA38" s="1554">
        <f t="shared" si="3"/>
        <v>1</v>
      </c>
      <c r="AB38" s="1554">
        <f t="shared" si="4"/>
        <v>1</v>
      </c>
      <c r="AC38" s="1554">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78" t="s">
        <v>601</v>
      </c>
      <c r="Q39" s="1555" t="str">
        <f t="shared" si="14"/>
        <v>工程地质条件</v>
      </c>
      <c r="R39" s="1556" t="s">
        <v>8</v>
      </c>
      <c r="S39" s="1557">
        <f t="shared" si="10"/>
        <v>100</v>
      </c>
      <c r="T39" s="1556" t="s">
        <v>8</v>
      </c>
      <c r="U39" s="1557">
        <f t="shared" si="11"/>
        <v>100</v>
      </c>
      <c r="V39" s="1556" t="s">
        <v>8</v>
      </c>
      <c r="W39" s="1557">
        <f t="shared" si="12"/>
        <v>100</v>
      </c>
      <c r="X39" s="1550"/>
      <c r="Y39" s="3578" t="s">
        <v>601</v>
      </c>
      <c r="Z39" s="1558" t="str">
        <f t="shared" si="13"/>
        <v>工程地质条件</v>
      </c>
      <c r="AA39" s="1559">
        <f t="shared" si="3"/>
        <v>1</v>
      </c>
      <c r="AB39" s="1559">
        <f t="shared" si="4"/>
        <v>1</v>
      </c>
      <c r="AC39" s="155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78"/>
      <c r="Q40" s="1555">
        <f t="shared" si="14"/>
        <v>111</v>
      </c>
      <c r="R40" s="1556" t="s">
        <v>8</v>
      </c>
      <c r="S40" s="1557">
        <f t="shared" si="10"/>
        <v>100</v>
      </c>
      <c r="T40" s="1556" t="s">
        <v>8</v>
      </c>
      <c r="U40" s="1557">
        <f t="shared" si="11"/>
        <v>100</v>
      </c>
      <c r="V40" s="1556" t="s">
        <v>8</v>
      </c>
      <c r="W40" s="1557">
        <f t="shared" si="12"/>
        <v>100</v>
      </c>
      <c r="X40" s="1550"/>
      <c r="Y40" s="3578"/>
      <c r="Z40" s="1558">
        <f t="shared" si="13"/>
        <v>111</v>
      </c>
      <c r="AA40" s="1559">
        <f t="shared" si="3"/>
        <v>1</v>
      </c>
      <c r="AB40" s="1559">
        <f t="shared" si="4"/>
        <v>1</v>
      </c>
      <c r="AC40" s="155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78"/>
      <c r="Q41" s="1555">
        <f t="shared" si="14"/>
        <v>111</v>
      </c>
      <c r="R41" s="1556" t="s">
        <v>8</v>
      </c>
      <c r="S41" s="1557">
        <f t="shared" si="10"/>
        <v>100</v>
      </c>
      <c r="T41" s="1556" t="s">
        <v>8</v>
      </c>
      <c r="U41" s="1557">
        <f t="shared" si="11"/>
        <v>100</v>
      </c>
      <c r="V41" s="1556" t="s">
        <v>8</v>
      </c>
      <c r="W41" s="1557">
        <f t="shared" si="12"/>
        <v>100</v>
      </c>
      <c r="X41" s="1550"/>
      <c r="Y41" s="3578"/>
      <c r="Z41" s="1558">
        <f t="shared" si="13"/>
        <v>111</v>
      </c>
      <c r="AA41" s="1559">
        <f t="shared" si="3"/>
        <v>1</v>
      </c>
      <c r="AB41" s="1559">
        <f t="shared" si="4"/>
        <v>1</v>
      </c>
      <c r="AC41" s="1559">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78"/>
      <c r="Q42" s="1555">
        <f t="shared" si="14"/>
        <v>111</v>
      </c>
      <c r="R42" s="1560" t="s">
        <v>8</v>
      </c>
      <c r="S42" s="1561">
        <f t="shared" si="10"/>
        <v>100</v>
      </c>
      <c r="T42" s="1560" t="s">
        <v>8</v>
      </c>
      <c r="U42" s="1561">
        <f t="shared" si="11"/>
        <v>100</v>
      </c>
      <c r="V42" s="1560" t="s">
        <v>8</v>
      </c>
      <c r="W42" s="1561">
        <f t="shared" si="12"/>
        <v>100</v>
      </c>
      <c r="X42" s="1562"/>
      <c r="Y42" s="3578"/>
      <c r="Z42" s="1563">
        <f t="shared" si="13"/>
        <v>111</v>
      </c>
      <c r="AA42" s="1559">
        <f t="shared" si="3"/>
        <v>1</v>
      </c>
      <c r="AB42" s="1559">
        <f t="shared" si="4"/>
        <v>1</v>
      </c>
      <c r="AC42" s="1559">
        <f t="shared" si="5"/>
        <v>1</v>
      </c>
    </row>
    <row r="43" spans="1:29" ht="15">
      <c r="A43" s="607" t="s">
        <v>556</v>
      </c>
      <c r="B43" s="608" t="s">
        <v>2928</v>
      </c>
      <c r="C43" s="609" t="s">
        <v>1</v>
      </c>
      <c r="D43" s="610"/>
      <c r="E43" s="611"/>
      <c r="F43" s="612"/>
      <c r="G43" s="613"/>
      <c r="H43" s="614"/>
      <c r="I43" s="611"/>
      <c r="J43" s="614"/>
      <c r="K43" s="1335"/>
      <c r="L43" s="2126"/>
      <c r="M43" s="2116"/>
      <c r="N43" s="2116"/>
      <c r="O43" s="2127"/>
      <c r="P43" s="3573" t="str">
        <f>A43</f>
        <v>成交单价</v>
      </c>
      <c r="Q43" s="3573"/>
      <c r="R43" s="3587">
        <f>E43</f>
        <v>0</v>
      </c>
      <c r="S43" s="3587"/>
      <c r="T43" s="3587">
        <f>G43</f>
        <v>0</v>
      </c>
      <c r="U43" s="3587"/>
      <c r="V43" s="3587">
        <f>I43</f>
        <v>0</v>
      </c>
      <c r="W43" s="3587"/>
      <c r="X43" s="1542"/>
      <c r="Y43" s="1564"/>
      <c r="Z43" s="1542"/>
      <c r="AA43" s="1542"/>
      <c r="AB43" s="1542"/>
      <c r="AC43" s="1542"/>
    </row>
    <row r="44" spans="1:29" ht="15.75" thickBot="1">
      <c r="A44" s="615" t="s">
        <v>2689</v>
      </c>
      <c r="B44" s="616"/>
      <c r="C44" s="617" t="e">
        <f>R45</f>
        <v>#DIV/0!</v>
      </c>
      <c r="D44" s="618"/>
      <c r="E44" s="617" t="e">
        <f>R44</f>
        <v>#DIV/0!</v>
      </c>
      <c r="F44" s="619"/>
      <c r="G44" s="620" t="e">
        <f>T44</f>
        <v>#DIV/0!</v>
      </c>
      <c r="H44" s="618"/>
      <c r="I44" s="617" t="e">
        <f>V44</f>
        <v>#DIV/0!</v>
      </c>
      <c r="J44" s="618"/>
      <c r="K44" s="1336"/>
      <c r="L44" s="2126"/>
      <c r="M44" s="2116"/>
      <c r="N44" s="2116"/>
      <c r="O44" s="2127"/>
      <c r="P44" s="3573" t="str">
        <f>A44</f>
        <v>比较价格（元/平方米）</v>
      </c>
      <c r="Q44" s="3573"/>
      <c r="R44" s="3597" t="e">
        <f>ROUND(PRODUCT(R43,AA9:AA42),0)</f>
        <v>#DIV/0!</v>
      </c>
      <c r="S44" s="3597"/>
      <c r="T44" s="3597" t="e">
        <f>ROUND(PRODUCT(T43,AB9:AB42),0)</f>
        <v>#DIV/0!</v>
      </c>
      <c r="U44" s="3597"/>
      <c r="V44" s="3597" t="e">
        <f>ROUND(PRODUCT(V43,AC9:AC42),0)</f>
        <v>#DIV/0!</v>
      </c>
      <c r="W44" s="3597"/>
      <c r="X44" s="1542"/>
      <c r="Y44" s="1542"/>
      <c r="Z44" s="1542"/>
      <c r="AA44" s="1542"/>
      <c r="AB44" s="1542"/>
      <c r="AC44" s="1542"/>
    </row>
    <row r="45" spans="1:29" ht="15.75" thickBot="1">
      <c r="A45" s="621" t="s">
        <v>2929</v>
      </c>
      <c r="B45" s="622"/>
      <c r="C45" s="623" t="e">
        <f>R45</f>
        <v>#DIV/0!</v>
      </c>
      <c r="D45" s="623"/>
      <c r="E45" s="623"/>
      <c r="F45" s="623"/>
      <c r="G45" s="623"/>
      <c r="H45" s="623"/>
      <c r="I45" s="623"/>
      <c r="J45" s="623"/>
      <c r="K45" s="1337"/>
      <c r="L45" s="2126"/>
      <c r="M45" s="2116"/>
      <c r="N45" s="2116"/>
      <c r="O45" s="2127"/>
      <c r="P45" s="3594" t="str">
        <f>A45</f>
        <v>估价对象XX用房的比较价格（楼面单价，元/平方米）</v>
      </c>
      <c r="Q45" s="3595"/>
      <c r="R45" s="3596" t="e">
        <f>ROUND(AVERAGE(R44:V44),0)</f>
        <v>#DIV/0!</v>
      </c>
      <c r="S45" s="3596"/>
      <c r="T45" s="3596"/>
      <c r="U45" s="3596"/>
      <c r="V45" s="3596"/>
      <c r="W45" s="359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3" t="s">
        <v>1724</v>
      </c>
      <c r="D52" s="2209" t="s">
        <v>2291</v>
      </c>
      <c r="E52" s="631" t="s">
        <v>562</v>
      </c>
      <c r="F52" s="1933" t="s">
        <v>563</v>
      </c>
      <c r="G52" s="3598" t="s">
        <v>2282</v>
      </c>
      <c r="H52" s="3599"/>
      <c r="I52" s="1934" t="s">
        <v>1945</v>
      </c>
      <c r="J52" s="1538" t="str">
        <f>项目基本情况!F41</f>
        <v>廊坊市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482673.68000000005</v>
      </c>
      <c r="F53" s="1932" t="e">
        <f t="shared" ref="F53:F62" si="15">ROUND(B53*E53/10000,0)</f>
        <v>#DIV/0!</v>
      </c>
      <c r="G53" s="3600"/>
      <c r="H53" s="3601"/>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602"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602"/>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602"/>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602"/>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8" t="e">
        <f t="shared" si="17"/>
        <v>#DIV/0!</v>
      </c>
      <c r="C58" s="378">
        <f t="shared" si="16"/>
        <v>0</v>
      </c>
      <c r="D58" s="2211">
        <v>0.25</v>
      </c>
      <c r="E58" s="641">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156438.94999999998</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2292</v>
      </c>
      <c r="E63" s="643">
        <f>IF(B43="楼面地价",SUM(E53:E62),'数据-汇总表'!D3)</f>
        <v>350568.67</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2019-10-1</v>
      </c>
      <c r="D65" s="2751">
        <f>EDATE(C65,-3)</f>
        <v>43647</v>
      </c>
      <c r="E65" s="2751">
        <f t="shared" ref="E65:N65" si="18">EDATE(D65,-3)</f>
        <v>43556</v>
      </c>
      <c r="F65" s="2751">
        <f t="shared" si="18"/>
        <v>43466</v>
      </c>
      <c r="G65" s="2751">
        <f t="shared" si="18"/>
        <v>43374</v>
      </c>
      <c r="H65" s="2751">
        <f t="shared" si="18"/>
        <v>43282</v>
      </c>
      <c r="I65" s="2751">
        <f t="shared" si="18"/>
        <v>43191</v>
      </c>
      <c r="J65" s="2751">
        <f t="shared" si="18"/>
        <v>43101</v>
      </c>
      <c r="K65" s="2751">
        <f t="shared" si="18"/>
        <v>43009</v>
      </c>
      <c r="L65" s="2751">
        <f t="shared" si="18"/>
        <v>42917</v>
      </c>
      <c r="M65" s="2751">
        <f t="shared" si="18"/>
        <v>42826</v>
      </c>
      <c r="N65" s="2751">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2" customFormat="1" ht="15">
      <c r="A67" s="2529" t="s">
        <v>2530</v>
      </c>
      <c r="B67" s="646"/>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2645</v>
      </c>
      <c r="B68" s="479" t="str">
        <f>"北京市平均增长率"&amp;TEXT(基准地价!P24,"0.00%")</f>
        <v>北京市平均增长率0.00%</v>
      </c>
      <c r="C68" s="893">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2545</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8" t="s">
        <v>2547</v>
      </c>
      <c r="C95" s="2559" t="s">
        <v>2548</v>
      </c>
      <c r="D95" s="2559" t="s">
        <v>2549</v>
      </c>
      <c r="E95" s="2559" t="s">
        <v>2550</v>
      </c>
      <c r="F95" s="2559" t="s">
        <v>2551</v>
      </c>
      <c r="G95" s="2559" t="s">
        <v>2552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05">
        <f>SUM(D29:D30,D33:D39)</f>
        <v>0</v>
      </c>
      <c r="E1" s="1399" t="s">
        <v>2424</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2758</v>
      </c>
      <c r="S1" s="2888" t="s">
        <v>2759</v>
      </c>
      <c r="T1" s="2888" t="s">
        <v>2780</v>
      </c>
      <c r="U1" s="2888" t="s">
        <v>2781</v>
      </c>
      <c r="V1" s="2888" t="s">
        <v>2782</v>
      </c>
      <c r="W1" s="2171"/>
      <c r="X1" s="2171"/>
      <c r="Y1" s="2171"/>
      <c r="Z1" s="2171"/>
      <c r="AA1" s="2171"/>
      <c r="AB1" s="2171"/>
      <c r="AC1" s="2172"/>
    </row>
    <row r="2" spans="1:39" ht="15.75">
      <c r="A2" s="1399" t="s">
        <v>920</v>
      </c>
      <c r="B2" s="1037"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1687</v>
      </c>
      <c r="B3" s="1037" t="e">
        <f>ROUND(B2*10000/D1,0)</f>
        <v>#DIV/0!</v>
      </c>
      <c r="C3" s="1400" t="s">
        <v>927</v>
      </c>
      <c r="D3" s="1401" t="s">
        <v>928</v>
      </c>
      <c r="E3" s="1405"/>
      <c r="F3" s="1406"/>
      <c r="G3" s="1038">
        <f>IF(F3="宗地容积率",'数据-汇总表'!I4,IF(F3="估价对象容积率",'数据-汇总表'!I6,'数据-汇总表'!I7))</f>
        <v>0</v>
      </c>
      <c r="H3" s="1407" t="s">
        <v>929</v>
      </c>
      <c r="I3" s="1039">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6"/>
      <c r="L4" s="1867" t="s">
        <v>2239</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40" t="e">
        <f>ROUND(IF(E2="商业",C6*C7+C16,(IF(E2="住宅",C6*C12+C16,C6+C16))),0)</f>
        <v>#DIV/0!</v>
      </c>
      <c r="D5" s="3067" t="e">
        <f>ROUND(C6+C16,0)</f>
        <v>#DIV/0!</v>
      </c>
      <c r="E5" s="3067"/>
      <c r="F5" s="1409"/>
      <c r="G5" s="1410"/>
      <c r="H5" s="1410"/>
      <c r="I5" s="1410"/>
      <c r="J5" s="1411"/>
      <c r="K5" s="3147"/>
      <c r="L5" s="1867" t="s">
        <v>2240</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1">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610" t="str">
        <f>IF(E2="商业",IF(C8="不临58条商业街","",2),"")</f>
        <v/>
      </c>
      <c r="B7" s="1420" t="s">
        <v>932</v>
      </c>
      <c r="C7" s="1042" t="e">
        <f>IF(C8="不临58条商业街",1,ROUND(1+(1.6*E8+1.2*E9+0.8*E10+0.4*E11)*C9,4))</f>
        <v>#DIV/0!</v>
      </c>
      <c r="D7" s="1421" t="s">
        <v>933</v>
      </c>
      <c r="E7" s="1043"/>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2761</v>
      </c>
      <c r="X7" s="2879">
        <f>G2</f>
        <v>0</v>
      </c>
      <c r="Y7" s="2879" t="s">
        <v>2762</v>
      </c>
      <c r="Z7" s="2880">
        <f>G3</f>
        <v>0</v>
      </c>
      <c r="AA7" s="2174"/>
      <c r="AB7" s="2174"/>
      <c r="AC7" s="2175"/>
      <c r="AD7" s="2881"/>
      <c r="AE7" s="2881"/>
      <c r="AF7" s="2881"/>
      <c r="AG7" s="2881"/>
      <c r="AH7" s="2881"/>
      <c r="AI7" s="2881"/>
      <c r="AJ7" s="2882"/>
    </row>
    <row r="8" spans="1:39" ht="15">
      <c r="A8" s="3611"/>
      <c r="B8" s="1407" t="s">
        <v>934</v>
      </c>
      <c r="C8" s="1513"/>
      <c r="D8" s="1044" t="s">
        <v>935</v>
      </c>
      <c r="E8" s="1045"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621" t="s">
        <v>2779</v>
      </c>
      <c r="X8" s="3622"/>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611"/>
      <c r="B9" s="1407" t="s">
        <v>937</v>
      </c>
      <c r="C9" s="1046">
        <f>SUMIF(修正!C59:C119,C8,修正!E59:E119)</f>
        <v>0</v>
      </c>
      <c r="D9" s="1047" t="s">
        <v>938</v>
      </c>
      <c r="E9" s="1047"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620" t="s">
        <v>2775</v>
      </c>
      <c r="X9" s="2883" t="s">
        <v>2776</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611"/>
      <c r="B10" s="1407" t="s">
        <v>940</v>
      </c>
      <c r="C10" s="1047">
        <f>SUMIF(修正!C59:C119,C8,修正!F59:F119)</f>
        <v>0</v>
      </c>
      <c r="D10" s="1047" t="s">
        <v>941</v>
      </c>
      <c r="E10" s="1047"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62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611"/>
      <c r="B11" s="1428" t="s">
        <v>943</v>
      </c>
      <c r="C11" s="1048">
        <f>C10/4</f>
        <v>0</v>
      </c>
      <c r="D11" s="1048" t="s">
        <v>944</v>
      </c>
      <c r="E11" s="1048"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620" t="s">
        <v>2777</v>
      </c>
      <c r="X11" s="1047" t="s">
        <v>2762</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610" t="s">
        <v>1871</v>
      </c>
      <c r="B12" s="1432" t="s">
        <v>946</v>
      </c>
      <c r="C12" s="1042">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620"/>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612"/>
      <c r="B13" s="1437" t="s">
        <v>1696</v>
      </c>
      <c r="C13" s="1438" t="s">
        <v>1697</v>
      </c>
      <c r="D13" s="1084" t="s">
        <v>1698</v>
      </c>
      <c r="E13" s="1084" t="s">
        <v>1699</v>
      </c>
      <c r="F13" s="1439" t="s">
        <v>948</v>
      </c>
      <c r="G13" s="1440" t="s">
        <v>1642</v>
      </c>
      <c r="H13" s="1441" t="s">
        <v>1642</v>
      </c>
      <c r="I13" s="1442" t="s">
        <v>1642</v>
      </c>
      <c r="J13" s="1443" t="s">
        <v>1642</v>
      </c>
      <c r="K13" s="3162"/>
      <c r="L13" s="3162"/>
      <c r="M13" s="3162"/>
      <c r="N13" s="3162"/>
      <c r="O13" s="3162"/>
      <c r="P13" s="1394"/>
      <c r="Q13" s="2171"/>
      <c r="R13" s="2889">
        <v>12</v>
      </c>
      <c r="S13" s="2878"/>
      <c r="T13" s="2889" t="e">
        <f t="shared" si="0"/>
        <v>#DIV/0!</v>
      </c>
      <c r="U13" s="2878"/>
      <c r="V13" s="2889" t="e">
        <f t="shared" si="1"/>
        <v>#DIV/0!</v>
      </c>
      <c r="W13" s="3620"/>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612"/>
      <c r="B14" s="1444"/>
      <c r="C14" s="1445"/>
      <c r="D14" s="1446"/>
      <c r="E14" s="1446"/>
      <c r="F14" s="1447"/>
      <c r="G14" s="1448" t="s">
        <v>949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613"/>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610" t="s">
        <v>1838</v>
      </c>
      <c r="B16" s="1420" t="s">
        <v>950</v>
      </c>
      <c r="C16" s="1051" t="e">
        <f>ROUND(IF(F17="与级别开发程度一致",0,(G17-E17)/C17),0)</f>
        <v>#DIV/0!</v>
      </c>
      <c r="D16" s="3628" t="s">
        <v>954</v>
      </c>
      <c r="E16" s="3629"/>
      <c r="F16" s="3628" t="s">
        <v>951</v>
      </c>
      <c r="G16" s="3629"/>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614"/>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8" t="s">
        <v>955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2" t="e">
        <f>ROUND(IF(H19="按公示增长率计算",SUMPRODUCT((地价!A3:A26=YEAR(G19)&amp;"-"&amp;ROUNDUP(MONTH(G19)/3,0))*(地价!X2:AB2=E2)*(地价!X3:AB26)),IF(H19="地价指数",M20/M19,(1+I19)^O19)),4)</f>
        <v>#VALUE!</v>
      </c>
      <c r="D19" s="1459" t="s">
        <v>957</v>
      </c>
      <c r="E19" s="1053">
        <v>41640</v>
      </c>
      <c r="F19" s="1459" t="s">
        <v>958</v>
      </c>
      <c r="G19" s="1054">
        <f>'数据-取费表'!B2</f>
        <v>43763</v>
      </c>
      <c r="H19" s="1460"/>
      <c r="I19" s="2737" t="str">
        <f>IF(H19="季度增幅（自定义）",SUMIF(N21:N24,E2,O21:O24),"")</f>
        <v/>
      </c>
      <c r="J19" s="1456"/>
      <c r="K19" s="3147"/>
      <c r="L19" s="2988" t="s">
        <v>2837</v>
      </c>
      <c r="M19" s="2989">
        <f>ROUND(SUMIF(地价!B2:F2,E2,地价!B26:F26),0)</f>
        <v>0</v>
      </c>
      <c r="N19" s="2739" t="s">
        <v>1676</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2">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9"/>
      <c r="L20" s="2990" t="s">
        <v>2838</v>
      </c>
      <c r="M20" s="3156">
        <f>ROUND(SUMPRODUCT((地价!A4:A26=YEAR(G19)&amp;"-"&amp;ROUNDUP(MONTH(G19)/3,0))*(地价!B2:F2=E2)*(地价!B4:F26)),0)</f>
        <v>0</v>
      </c>
      <c r="N20" s="2742" t="s">
        <v>2642</v>
      </c>
      <c r="O20" s="2740" t="s">
        <v>2641</v>
      </c>
      <c r="P20" s="2741" t="s">
        <v>2646</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2757</v>
      </c>
      <c r="C21" s="1153">
        <f>IF(B21="容积率修正",IF(G3&lt;=10,D22,J22),C23)</f>
        <v>0</v>
      </c>
      <c r="D21" s="1466"/>
      <c r="E21" s="1466"/>
      <c r="F21" s="1466"/>
      <c r="G21" s="1466"/>
      <c r="H21" s="1466"/>
      <c r="I21" s="1466"/>
      <c r="J21" s="1467"/>
      <c r="K21" s="3147"/>
      <c r="L21" s="1466"/>
      <c r="M21" s="1466"/>
      <c r="N21" s="1463" t="s">
        <v>975</v>
      </c>
      <c r="O21" s="1526"/>
      <c r="P21" s="2729">
        <f>SUMPRODUCT((地价!A3:A26=YEAR(G19)&amp;"-"&amp;ROUNDUP(MONTH(G19)/3,0))*(地价!AD2:AH2=N21)*(地价!AD3:AH26))</f>
        <v>0</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6"/>
      <c r="M22" s="1466"/>
      <c r="N22" s="1463" t="s">
        <v>978</v>
      </c>
      <c r="O22" s="1526"/>
      <c r="P22" s="2729">
        <f>SUMPRODUCT((地价!A3:A26=YEAR(G19)&amp;"-"&amp;ROUNDUP(MONTH(G19)/3,0))*(地价!AD2:AH2=N22)*(地价!AD3:AH26))</f>
        <v>0</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6">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923</v>
      </c>
      <c r="O23" s="1526"/>
      <c r="P23" s="2729">
        <f>SUMPRODUCT((地价!A3:A26=YEAR(G19)&amp;"-"&amp;ROUNDUP(MONTH(G19)/3,0))*(地价!AD2:AH2=N23)*(地价!AD3:AH26))</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7">
        <f>SUMIF(A44:A87,E2,B44:B87)</f>
        <v>0</v>
      </c>
      <c r="D24" s="1519"/>
      <c r="E24" s="1520"/>
      <c r="F24" s="1520"/>
      <c r="G24" s="1520"/>
      <c r="H24" s="1520"/>
      <c r="I24" s="1520"/>
      <c r="J24" s="1520"/>
      <c r="K24" s="3151"/>
      <c r="L24" s="1466"/>
      <c r="M24" s="1466"/>
      <c r="N24" s="1463" t="s">
        <v>981</v>
      </c>
      <c r="O24" s="3155"/>
      <c r="P24" s="2729">
        <f>SUMPRODUCT((地价!A3:A26=YEAR(G19)&amp;"-"&amp;ROUNDUP(MONTH(G19)/3,0))*(地价!AD2:AH2=N24)*(地价!AD3:AH26))</f>
        <v>0</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7" t="s">
        <v>2644</v>
      </c>
      <c r="O25" s="3158"/>
      <c r="P25" s="2408">
        <f>SUMPRODUCT((地价!A3:A26=YEAR(G19)&amp;"-"&amp;ROUNDUP(MONTH(G19)/3,0))*(地价!AD2:AH2=N25)*(地价!AD3:AH26))</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8"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9" t="e">
        <f>E30+SUM(I33:I39)</f>
        <v>#DIV/0!</v>
      </c>
      <c r="D27" s="1478"/>
      <c r="E27" s="1479"/>
      <c r="F27" s="1480"/>
      <c r="G27" s="1479"/>
      <c r="H27" s="1479"/>
      <c r="I27" s="1479"/>
      <c r="J27" s="1481"/>
      <c r="K27" s="1449"/>
      <c r="L27" s="1453" t="s">
        <v>987</v>
      </c>
      <c r="M27" s="1046">
        <v>0.25</v>
      </c>
      <c r="N27" s="1046">
        <v>0.2</v>
      </c>
      <c r="O27" s="1046">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8" t="e">
        <f>ROUND(C5*C18*C19*C20*C21*C24,0)</f>
        <v>#DIV/0!</v>
      </c>
      <c r="D29" s="1488"/>
      <c r="E29" s="1831" t="e">
        <f>ROUND(C29*D29/10000,0)</f>
        <v>#DIV/0!</v>
      </c>
      <c r="F29" s="1489" t="s">
        <v>1701</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50"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617" t="s">
        <v>2954</v>
      </c>
      <c r="B33" s="1508" t="s">
        <v>999</v>
      </c>
      <c r="C33" s="1058" t="e">
        <f>ROUND(D5*C19*C20*C24*F33,0)</f>
        <v>#DIV/0!</v>
      </c>
      <c r="D33" s="1521"/>
      <c r="E33" s="1047" t="e">
        <f>ROUND(C33*D33/10000,0)</f>
        <v>#DIV/0!</v>
      </c>
      <c r="F33" s="1047">
        <f>SUMIF(修正!A45:A56,G2,修正!B45:B56)</f>
        <v>0</v>
      </c>
      <c r="G33" s="1047" t="e">
        <f t="shared" ref="G33" si="6">ROUND(IF(E2="工业",C33*$M$39,C33*$M$38),0)</f>
        <v>#DIV/0!</v>
      </c>
      <c r="H33" s="1047">
        <f>D33</f>
        <v>0</v>
      </c>
      <c r="I33" s="1047"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618"/>
      <c r="B34" s="1438" t="s">
        <v>1000</v>
      </c>
      <c r="C34" s="1058" t="e">
        <f>ROUND(D5*C19*C20*C24*F34,0)</f>
        <v>#DIV/0!</v>
      </c>
      <c r="D34" s="1521"/>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618"/>
      <c r="B35" s="1438" t="s">
        <v>1001</v>
      </c>
      <c r="C35" s="1058" t="e">
        <f>ROUND(D5*C19*C20*C24*F35,0)</f>
        <v>#DIV/0!</v>
      </c>
      <c r="D35" s="1521"/>
      <c r="E35" s="1047" t="e">
        <f t="shared" si="7"/>
        <v>#DIV/0!</v>
      </c>
      <c r="F35" s="1047">
        <f>SUMIF(修正!A45:A56,G2,修正!D45:D56)</f>
        <v>0</v>
      </c>
      <c r="G35" s="1047" t="e">
        <f>ROUND(IF(E2="工业",C35*$M$39,C35*$M$38),0)</f>
        <v>#DIV/0!</v>
      </c>
      <c r="H35" s="1047">
        <f t="shared" si="8"/>
        <v>0</v>
      </c>
      <c r="I35" s="1047"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619"/>
      <c r="B36" s="1438" t="s">
        <v>1002</v>
      </c>
      <c r="C36" s="1058" t="e">
        <f>ROUND(D5*C19*C20*C24*F36,0)</f>
        <v>#DIV/0!</v>
      </c>
      <c r="D36" s="1521"/>
      <c r="E36" s="1047" t="e">
        <f t="shared" si="7"/>
        <v>#DIV/0!</v>
      </c>
      <c r="F36" s="1047">
        <f>SUMIF(修正!A45:A56,G2,修正!E45:E56)</f>
        <v>0</v>
      </c>
      <c r="G36" s="1047" t="e">
        <f>ROUND(IF(E2="工业",C36*$M$39,C36*$M$38),0)</f>
        <v>#DIV/0!</v>
      </c>
      <c r="H36" s="1047">
        <f t="shared" si="8"/>
        <v>0</v>
      </c>
      <c r="I36" s="1047"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7" t="e">
        <f>ROUND(D5*C19*C20*C24*F37,0)</f>
        <v>#DIV/0!</v>
      </c>
      <c r="D37" s="1521"/>
      <c r="E37" s="1047" t="e">
        <f t="shared" si="7"/>
        <v>#DIV/0!</v>
      </c>
      <c r="F37" s="1058">
        <f>SUMIF(修正!A45:A56,G2,修正!F45:F56)</f>
        <v>0</v>
      </c>
      <c r="G37" s="1047" t="e">
        <f>ROUND(IF(E2="工业",C37*$M$39,C37*$M$38),0)</f>
        <v>#DIV/0!</v>
      </c>
      <c r="H37" s="1047">
        <f t="shared" si="8"/>
        <v>0</v>
      </c>
      <c r="I37" s="1047"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7" t="e">
        <f>ROUND(D5*C19*C41*C24*F38,0)</f>
        <v>#DIV/0!</v>
      </c>
      <c r="D38" s="1521"/>
      <c r="E38" s="1047" t="e">
        <f t="shared" si="7"/>
        <v>#DIV/0!</v>
      </c>
      <c r="F38" s="1058">
        <f>SUMIF(修正!A45:A56,G2,修正!G45:G56)</f>
        <v>0</v>
      </c>
      <c r="G38" s="1047" t="e">
        <f>ROUND(IF(E2="工业",C38*$M$39,C38*$M$38),0)</f>
        <v>#DIV/0!</v>
      </c>
      <c r="H38" s="1047">
        <f t="shared" si="8"/>
        <v>0</v>
      </c>
      <c r="I38" s="1047"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50" t="e">
        <f>ROUND(D5*C19*C41*C24*F39,0)</f>
        <v>#DIV/0!</v>
      </c>
      <c r="D39" s="1522"/>
      <c r="E39" s="1050" t="e">
        <f t="shared" si="7"/>
        <v>#DIV/0!</v>
      </c>
      <c r="F39" s="1060">
        <f>SUMIF(修正!A45:A56,G2,修正!H45:H56)</f>
        <v>0</v>
      </c>
      <c r="G39" s="1050" t="e">
        <f>ROUND(IF(E2="工业",C39*$M$39,C39*$M$38),0)</f>
        <v>#DIV/0!</v>
      </c>
      <c r="H39" s="1050">
        <f t="shared" si="8"/>
        <v>0</v>
      </c>
      <c r="I39" s="1050"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2981</v>
      </c>
      <c r="C41" s="839" t="e">
        <f>ROUND(POWER(1+E41,H41-G41)*(POWER(1+E41,G41)-1)/(POWER(1+E41,H41)-1),4)</f>
        <v>#DIV/0!</v>
      </c>
      <c r="D41" s="378" t="s">
        <v>2979</v>
      </c>
      <c r="E41" s="3142">
        <f>G20</f>
        <v>0</v>
      </c>
      <c r="F41" s="378" t="s">
        <v>2980</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2" t="s">
        <v>1008</v>
      </c>
      <c r="B46" s="2369" t="s">
        <v>1009</v>
      </c>
      <c r="C46" s="2391" t="s">
        <v>1010</v>
      </c>
      <c r="D46" s="2392" t="s">
        <v>1011</v>
      </c>
      <c r="E46" s="2393" t="s">
        <v>1013</v>
      </c>
      <c r="F46" s="2394" t="s">
        <v>2248</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2" t="s">
        <v>1021</v>
      </c>
      <c r="B48" s="2369" t="str">
        <f>估价对象房地状况!C18</f>
        <v>一般</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2" t="s">
        <v>1023</v>
      </c>
      <c r="B50" s="3044" t="s">
        <v>2931</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2" t="s">
        <v>1025</v>
      </c>
      <c r="B52" s="3043" t="s">
        <v>2930</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一般</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七通</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2" t="s">
        <v>1008</v>
      </c>
      <c r="B57" s="2369"/>
      <c r="C57" s="2391" t="s">
        <v>1010</v>
      </c>
      <c r="D57" s="2392" t="s">
        <v>1011</v>
      </c>
      <c r="E57" s="2393" t="s">
        <v>1013</v>
      </c>
      <c r="F57" s="2394" t="s">
        <v>2249</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2" t="s">
        <v>1021</v>
      </c>
      <c r="B59" s="2369" t="str">
        <f>估价对象房地状况!C18</f>
        <v>一般</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2" t="s">
        <v>1023</v>
      </c>
      <c r="B61" s="3044" t="s">
        <v>2932</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2" t="s">
        <v>1025</v>
      </c>
      <c r="B63" s="3043" t="s">
        <v>2930</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2" t="s">
        <v>1026</v>
      </c>
      <c r="B64" s="2370" t="str">
        <f>估价对象房地状况!C21</f>
        <v>一般</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2" t="s">
        <v>1027</v>
      </c>
      <c r="B65" s="2370" t="str">
        <f>估价对象房地状况!C22</f>
        <v>七通</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2" t="s">
        <v>1008</v>
      </c>
      <c r="B68" s="2369"/>
      <c r="C68" s="2391" t="s">
        <v>1010</v>
      </c>
      <c r="D68" s="2392" t="s">
        <v>1011</v>
      </c>
      <c r="E68" s="2393" t="s">
        <v>1013</v>
      </c>
      <c r="F68" s="2394" t="s">
        <v>2250</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2" t="s">
        <v>1032</v>
      </c>
      <c r="B69" s="2372" t="str">
        <f>估价对象房地状况!C15</f>
        <v>一般</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2" t="s">
        <v>1033</v>
      </c>
      <c r="B70" s="2369" t="str">
        <f>估价对象房地状况!C18</f>
        <v>一般</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2" t="s">
        <v>1026</v>
      </c>
      <c r="B73" s="2370" t="str">
        <f>估价对象房地状况!C21</f>
        <v>一般</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2" t="s">
        <v>1027</v>
      </c>
      <c r="B74" s="2370" t="str">
        <f>估价对象房地状况!C22</f>
        <v>七通</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2" t="s">
        <v>1025</v>
      </c>
      <c r="B75" s="3043" t="s">
        <v>2930</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2" t="s">
        <v>1028</v>
      </c>
      <c r="B76" s="2372" t="str">
        <f>估价对象房地状况!C20</f>
        <v>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1"/>
      <c r="K78" s="1061"/>
      <c r="L78" s="1061"/>
      <c r="M78" s="1061"/>
      <c r="N78" s="1061"/>
      <c r="AC78" s="1398"/>
      <c r="AD78" s="1397"/>
      <c r="AJ78" s="1396"/>
      <c r="AN78" s="1397"/>
    </row>
    <row r="79" spans="1:40" ht="24">
      <c r="A79" s="1062" t="s">
        <v>1008</v>
      </c>
      <c r="B79" s="2369"/>
      <c r="C79" s="2391" t="s">
        <v>1010</v>
      </c>
      <c r="D79" s="2392" t="s">
        <v>1011</v>
      </c>
      <c r="E79" s="2393" t="s">
        <v>1013</v>
      </c>
      <c r="F79" s="2394" t="s">
        <v>2251</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2" t="s">
        <v>1025</v>
      </c>
      <c r="B86" s="3043" t="s">
        <v>2930</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615" t="s">
        <v>1633</v>
      </c>
      <c r="B90" s="3615"/>
      <c r="C90" s="3615"/>
      <c r="D90" s="3615"/>
      <c r="E90" s="3615"/>
      <c r="F90" s="3615"/>
      <c r="G90" s="3615"/>
      <c r="H90" s="3615"/>
      <c r="I90" s="3615"/>
      <c r="J90" s="3615"/>
      <c r="K90" s="2411"/>
      <c r="L90" s="2411"/>
      <c r="M90" s="2411"/>
      <c r="N90" s="2411"/>
    </row>
    <row r="91" spans="1:40">
      <c r="A91" s="3616" t="s">
        <v>1443</v>
      </c>
      <c r="B91" s="3616" t="s">
        <v>1634</v>
      </c>
      <c r="C91" s="1135" t="s">
        <v>1635</v>
      </c>
      <c r="D91" s="1136"/>
      <c r="E91" s="1136"/>
      <c r="F91" s="1136"/>
      <c r="G91" s="1136"/>
      <c r="H91" s="1136"/>
      <c r="I91" s="1136"/>
      <c r="J91" s="1137"/>
      <c r="K91" s="1129"/>
      <c r="L91" s="1129"/>
      <c r="M91" s="1129"/>
      <c r="N91" s="1129"/>
    </row>
    <row r="92" spans="1:40">
      <c r="A92" s="3616"/>
      <c r="B92" s="361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62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62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62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62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62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62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62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62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623"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62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62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62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62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62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62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624"/>
      <c r="B108" s="362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625"/>
      <c r="B109" s="362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609" t="s">
        <v>1639</v>
      </c>
      <c r="B110" s="3609"/>
      <c r="C110" s="3609"/>
      <c r="D110" s="3609"/>
      <c r="E110" s="3609"/>
      <c r="F110" s="3609"/>
      <c r="G110" s="3609"/>
      <c r="H110" s="3609"/>
      <c r="I110" s="3609"/>
      <c r="J110" s="3609"/>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2984</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1" customFormat="1" ht="19.5" customHeight="1">
      <c r="A18" s="3616" t="s">
        <v>1007</v>
      </c>
      <c r="B18" s="1149" t="s">
        <v>1446</v>
      </c>
      <c r="C18" s="1126" t="s">
        <v>1447</v>
      </c>
      <c r="D18" s="1127"/>
      <c r="E18" s="1149">
        <v>1</v>
      </c>
      <c r="F18" s="1128" t="s">
        <v>1448</v>
      </c>
      <c r="G18" s="1129"/>
      <c r="H18" s="1100"/>
      <c r="I18" s="1100"/>
    </row>
    <row r="19" spans="1:9" s="1581" customFormat="1" ht="19.5" customHeight="1">
      <c r="A19" s="3616"/>
      <c r="B19" s="3616" t="s">
        <v>1449</v>
      </c>
      <c r="C19" s="1126" t="s">
        <v>1450</v>
      </c>
      <c r="D19" s="1127"/>
      <c r="E19" s="1149">
        <v>0.9</v>
      </c>
      <c r="F19" s="1128" t="s">
        <v>1451</v>
      </c>
      <c r="G19" s="1129"/>
      <c r="H19" s="1100"/>
      <c r="I19" s="1100"/>
    </row>
    <row r="20" spans="1:9" s="1581" customFormat="1" ht="19.5" customHeight="1">
      <c r="A20" s="3616"/>
      <c r="B20" s="3616"/>
      <c r="C20" s="1126" t="s">
        <v>1452</v>
      </c>
      <c r="D20" s="1127"/>
      <c r="E20" s="1149">
        <v>1.1000000000000001</v>
      </c>
      <c r="F20" s="1128" t="s">
        <v>1453</v>
      </c>
      <c r="G20" s="1129"/>
      <c r="H20" s="1100"/>
      <c r="I20" s="1100"/>
    </row>
    <row r="21" spans="1:9" s="1581" customFormat="1" ht="19.5" customHeight="1">
      <c r="A21" s="3616"/>
      <c r="B21" s="3616"/>
      <c r="C21" s="1126" t="s">
        <v>1454</v>
      </c>
      <c r="D21" s="1127"/>
      <c r="E21" s="1149">
        <v>0.8</v>
      </c>
      <c r="F21" s="1128" t="s">
        <v>1455</v>
      </c>
      <c r="G21" s="1129"/>
      <c r="H21" s="1100"/>
      <c r="I21" s="1100"/>
    </row>
    <row r="22" spans="1:9" s="1581" customFormat="1" ht="19.5" customHeight="1">
      <c r="A22" s="3616"/>
      <c r="B22" s="3616"/>
      <c r="C22" s="1126" t="s">
        <v>1456</v>
      </c>
      <c r="D22" s="1127"/>
      <c r="E22" s="1149">
        <v>0.5</v>
      </c>
      <c r="F22" s="1128"/>
      <c r="G22" s="1129"/>
      <c r="H22" s="1100"/>
      <c r="I22" s="1100"/>
    </row>
    <row r="23" spans="1:9" s="1581" customFormat="1" ht="19.5" customHeight="1">
      <c r="A23" s="3616" t="s">
        <v>1029</v>
      </c>
      <c r="B23" s="1149" t="s">
        <v>1446</v>
      </c>
      <c r="C23" s="1126" t="s">
        <v>1457</v>
      </c>
      <c r="D23" s="1127"/>
      <c r="E23" s="1149">
        <v>1</v>
      </c>
      <c r="F23" s="1128" t="s">
        <v>1458</v>
      </c>
      <c r="G23" s="1129"/>
      <c r="H23" s="1100"/>
      <c r="I23" s="1100"/>
    </row>
    <row r="24" spans="1:9" s="1581" customFormat="1" ht="19.5" customHeight="1">
      <c r="A24" s="3616"/>
      <c r="B24" s="3616" t="s">
        <v>1449</v>
      </c>
      <c r="C24" s="1126" t="s">
        <v>1459</v>
      </c>
      <c r="D24" s="1127"/>
      <c r="E24" s="1149">
        <v>0.5</v>
      </c>
      <c r="F24" s="1128"/>
      <c r="G24" s="1129"/>
      <c r="H24" s="1100"/>
      <c r="I24" s="1100"/>
    </row>
    <row r="25" spans="1:9" s="1581" customFormat="1" ht="19.5" customHeight="1">
      <c r="A25" s="3616"/>
      <c r="B25" s="3616"/>
      <c r="C25" s="1126" t="s">
        <v>1460</v>
      </c>
      <c r="D25" s="1127"/>
      <c r="E25" s="1149">
        <v>1.1000000000000001</v>
      </c>
      <c r="F25" s="1128"/>
      <c r="G25" s="1129"/>
      <c r="H25" s="1100"/>
      <c r="I25" s="1100"/>
    </row>
    <row r="26" spans="1:9" s="1581" customFormat="1" ht="19.5" customHeight="1">
      <c r="A26" s="3616"/>
      <c r="B26" s="3616"/>
      <c r="C26" s="1126" t="s">
        <v>1461</v>
      </c>
      <c r="D26" s="1127"/>
      <c r="E26" s="1149">
        <v>1.1000000000000001</v>
      </c>
      <c r="F26" s="1128"/>
      <c r="G26" s="1129"/>
      <c r="H26" s="1100"/>
      <c r="I26" s="1100"/>
    </row>
    <row r="27" spans="1:9" s="1581" customFormat="1" ht="19.5" customHeight="1">
      <c r="A27" s="3616"/>
      <c r="B27" s="3616"/>
      <c r="C27" s="1126" t="s">
        <v>1462</v>
      </c>
      <c r="D27" s="1127"/>
      <c r="E27" s="1149">
        <v>0.9</v>
      </c>
      <c r="F27" s="1128" t="s">
        <v>1463</v>
      </c>
      <c r="G27" s="1129"/>
      <c r="H27" s="1100"/>
      <c r="I27" s="1100"/>
    </row>
    <row r="28" spans="1:9" s="1581" customFormat="1" ht="19.5" customHeight="1">
      <c r="A28" s="3616"/>
      <c r="B28" s="3616"/>
      <c r="C28" s="1126" t="s">
        <v>1464</v>
      </c>
      <c r="D28" s="1127"/>
      <c r="E28" s="1149">
        <v>0.9</v>
      </c>
      <c r="F28" s="1128" t="s">
        <v>1465</v>
      </c>
      <c r="G28" s="1129"/>
      <c r="H28" s="1100"/>
      <c r="I28" s="1100"/>
    </row>
    <row r="29" spans="1:9" s="1581" customFormat="1" ht="19.5" customHeight="1">
      <c r="A29" s="3616"/>
      <c r="B29" s="3616"/>
      <c r="C29" s="1126" t="s">
        <v>1466</v>
      </c>
      <c r="D29" s="1127"/>
      <c r="E29" s="1149">
        <v>0.9</v>
      </c>
      <c r="F29" s="1128" t="s">
        <v>1467</v>
      </c>
      <c r="G29" s="1129"/>
      <c r="H29" s="1100"/>
      <c r="I29" s="1100"/>
    </row>
    <row r="30" spans="1:9" s="1581" customFormat="1" ht="19.5" customHeight="1">
      <c r="A30" s="3616"/>
      <c r="B30" s="3616"/>
      <c r="C30" s="1126" t="s">
        <v>1468</v>
      </c>
      <c r="D30" s="1127"/>
      <c r="E30" s="1149">
        <v>0.9</v>
      </c>
      <c r="F30" s="1128" t="s">
        <v>1469</v>
      </c>
      <c r="G30" s="1129"/>
      <c r="H30" s="1100"/>
      <c r="I30" s="1100"/>
    </row>
    <row r="31" spans="1:9" s="1581" customFormat="1" ht="19.5" customHeight="1">
      <c r="A31" s="3616"/>
      <c r="B31" s="3616"/>
      <c r="C31" s="1126" t="s">
        <v>1470</v>
      </c>
      <c r="D31" s="1127"/>
      <c r="E31" s="1149">
        <v>0.8</v>
      </c>
      <c r="F31" s="1128" t="s">
        <v>1471</v>
      </c>
      <c r="G31" s="1129"/>
      <c r="H31" s="1100"/>
      <c r="I31" s="1100"/>
    </row>
    <row r="32" spans="1:9" s="1581" customFormat="1" ht="19.5" customHeight="1">
      <c r="A32" s="3616"/>
      <c r="B32" s="3616"/>
      <c r="C32" s="1126" t="s">
        <v>1472</v>
      </c>
      <c r="D32" s="1127"/>
      <c r="E32" s="1149">
        <v>0.8</v>
      </c>
      <c r="F32" s="1128" t="s">
        <v>1473</v>
      </c>
      <c r="G32" s="1129"/>
      <c r="H32" s="1100"/>
      <c r="I32" s="1100"/>
    </row>
    <row r="33" spans="1:9" s="1581" customFormat="1" ht="19.5" customHeight="1">
      <c r="A33" s="3616" t="s">
        <v>1474</v>
      </c>
      <c r="B33" s="1149" t="s">
        <v>1446</v>
      </c>
      <c r="C33" s="1126" t="s">
        <v>1475</v>
      </c>
      <c r="D33" s="1127"/>
      <c r="E33" s="1149">
        <v>1</v>
      </c>
      <c r="F33" s="1128" t="s">
        <v>1476</v>
      </c>
      <c r="G33" s="1129"/>
      <c r="H33" s="1100"/>
      <c r="I33" s="1100"/>
    </row>
    <row r="34" spans="1:9" s="1581" customFormat="1" ht="19.5" customHeight="1">
      <c r="A34" s="3616"/>
      <c r="B34" s="1149" t="s">
        <v>1449</v>
      </c>
      <c r="C34" s="1126" t="s">
        <v>1477</v>
      </c>
      <c r="D34" s="1127"/>
      <c r="E34" s="1149">
        <v>1.5</v>
      </c>
      <c r="F34" s="1128" t="s">
        <v>1478</v>
      </c>
      <c r="G34" s="1129"/>
      <c r="H34" s="1100"/>
      <c r="I34" s="1100"/>
    </row>
    <row r="35" spans="1:9" s="1581" customFormat="1" ht="19.5" customHeight="1">
      <c r="A35" s="3616" t="s">
        <v>1432</v>
      </c>
      <c r="B35" s="1149" t="s">
        <v>1446</v>
      </c>
      <c r="C35" s="1126" t="s">
        <v>1479</v>
      </c>
      <c r="D35" s="1127"/>
      <c r="E35" s="1149">
        <v>1</v>
      </c>
      <c r="F35" s="1128" t="s">
        <v>1480</v>
      </c>
      <c r="G35" s="1129"/>
      <c r="H35" s="1100"/>
      <c r="I35" s="1100"/>
    </row>
    <row r="36" spans="1:9" s="1581" customFormat="1" ht="19.5" customHeight="1">
      <c r="A36" s="3616"/>
      <c r="B36" s="3616" t="s">
        <v>1449</v>
      </c>
      <c r="C36" s="1126" t="s">
        <v>1481</v>
      </c>
      <c r="D36" s="1127"/>
      <c r="E36" s="1149">
        <v>1</v>
      </c>
      <c r="F36" s="1128" t="s">
        <v>1482</v>
      </c>
      <c r="G36" s="1129"/>
      <c r="H36" s="1100"/>
      <c r="I36" s="1100"/>
    </row>
    <row r="37" spans="1:9" s="1581" customFormat="1" ht="19.5" customHeight="1">
      <c r="A37" s="3616"/>
      <c r="B37" s="3616"/>
      <c r="C37" s="1126" t="s">
        <v>1483</v>
      </c>
      <c r="D37" s="1127"/>
      <c r="E37" s="1149">
        <v>1.5</v>
      </c>
      <c r="F37" s="1128" t="s">
        <v>1484</v>
      </c>
      <c r="G37" s="1129"/>
      <c r="H37" s="1100"/>
      <c r="I37" s="1100"/>
    </row>
    <row r="38" spans="1:9" s="1581" customFormat="1" ht="19.5" customHeight="1">
      <c r="A38" s="3616"/>
      <c r="B38" s="3616"/>
      <c r="C38" s="1126" t="s">
        <v>1485</v>
      </c>
      <c r="D38" s="1127"/>
      <c r="E38" s="1149">
        <v>1</v>
      </c>
      <c r="F38" s="1128" t="s">
        <v>1486</v>
      </c>
      <c r="G38" s="1129"/>
      <c r="H38" s="1100"/>
      <c r="I38" s="1100"/>
    </row>
    <row r="39" spans="1:9" s="1581" customFormat="1" ht="19.5" customHeight="1">
      <c r="A39" s="3616"/>
      <c r="B39" s="3616"/>
      <c r="C39" s="1126" t="s">
        <v>1487</v>
      </c>
      <c r="D39" s="1127"/>
      <c r="E39" s="1149">
        <v>1</v>
      </c>
      <c r="F39" s="1128" t="s">
        <v>1488</v>
      </c>
      <c r="G39" s="1129"/>
      <c r="H39" s="1100"/>
      <c r="I39" s="1100"/>
    </row>
    <row r="40" spans="1:9" s="1581" customFormat="1" ht="19.5" customHeight="1">
      <c r="A40" s="1582" t="s">
        <v>1489</v>
      </c>
      <c r="B40" s="1582"/>
      <c r="C40" s="1582"/>
      <c r="D40" s="1582"/>
      <c r="E40" s="1582"/>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616" t="s">
        <v>1501</v>
      </c>
      <c r="C61" s="1063" t="s">
        <v>1502</v>
      </c>
      <c r="D61" s="1063" t="s">
        <v>1503</v>
      </c>
      <c r="E61" s="1134">
        <v>0.5</v>
      </c>
      <c r="F61" s="1149">
        <v>80</v>
      </c>
      <c r="H61" s="1100">
        <f>SUMIF(C59:C119,基准地价!C8,E59:E119)</f>
        <v>0</v>
      </c>
    </row>
    <row r="62" spans="1:8" s="1100" customFormat="1" ht="24">
      <c r="A62" s="1149">
        <v>2</v>
      </c>
      <c r="B62" s="3616"/>
      <c r="C62" s="1063" t="s">
        <v>1504</v>
      </c>
      <c r="D62" s="1063" t="s">
        <v>1505</v>
      </c>
      <c r="E62" s="1134">
        <v>0.5</v>
      </c>
      <c r="F62" s="1149">
        <v>80</v>
      </c>
    </row>
    <row r="63" spans="1:8" s="1100" customFormat="1" ht="36">
      <c r="A63" s="1149">
        <v>3</v>
      </c>
      <c r="B63" s="3616"/>
      <c r="C63" s="1063" t="s">
        <v>1506</v>
      </c>
      <c r="D63" s="1063" t="s">
        <v>1507</v>
      </c>
      <c r="E63" s="1134">
        <v>0.5</v>
      </c>
      <c r="F63" s="1149">
        <v>80</v>
      </c>
    </row>
    <row r="64" spans="1:8" s="1100" customFormat="1" ht="36">
      <c r="A64" s="1149">
        <v>4</v>
      </c>
      <c r="B64" s="3616"/>
      <c r="C64" s="1063" t="s">
        <v>1508</v>
      </c>
      <c r="D64" s="1063" t="s">
        <v>1509</v>
      </c>
      <c r="E64" s="1134">
        <v>0.4</v>
      </c>
      <c r="F64" s="1149">
        <v>60</v>
      </c>
    </row>
    <row r="65" spans="1:6" s="1100" customFormat="1" ht="36">
      <c r="A65" s="1149">
        <v>5</v>
      </c>
      <c r="B65" s="3616"/>
      <c r="C65" s="1063" t="s">
        <v>1510</v>
      </c>
      <c r="D65" s="1063" t="s">
        <v>1511</v>
      </c>
      <c r="E65" s="1134">
        <v>0.2</v>
      </c>
      <c r="F65" s="1149">
        <v>30</v>
      </c>
    </row>
    <row r="66" spans="1:6" s="1100" customFormat="1" ht="36">
      <c r="A66" s="1149">
        <v>6</v>
      </c>
      <c r="B66" s="3616"/>
      <c r="C66" s="1063" t="s">
        <v>1512</v>
      </c>
      <c r="D66" s="1063" t="s">
        <v>1513</v>
      </c>
      <c r="E66" s="1134">
        <v>0.3</v>
      </c>
      <c r="F66" s="1149">
        <v>50</v>
      </c>
    </row>
    <row r="67" spans="1:6" s="1100" customFormat="1" ht="36">
      <c r="A67" s="1149">
        <v>7</v>
      </c>
      <c r="B67" s="3616"/>
      <c r="C67" s="1063" t="s">
        <v>1514</v>
      </c>
      <c r="D67" s="1063" t="s">
        <v>1515</v>
      </c>
      <c r="E67" s="1134">
        <v>0.2</v>
      </c>
      <c r="F67" s="1149">
        <v>30</v>
      </c>
    </row>
    <row r="68" spans="1:6" s="1100" customFormat="1" ht="36">
      <c r="A68" s="1149">
        <v>8</v>
      </c>
      <c r="B68" s="3616"/>
      <c r="C68" s="1063" t="s">
        <v>1516</v>
      </c>
      <c r="D68" s="1063" t="s">
        <v>1517</v>
      </c>
      <c r="E68" s="1134">
        <v>0.2</v>
      </c>
      <c r="F68" s="1149">
        <v>30</v>
      </c>
    </row>
    <row r="69" spans="1:6" s="1100" customFormat="1" ht="36">
      <c r="A69" s="1149">
        <v>9</v>
      </c>
      <c r="B69" s="3616"/>
      <c r="C69" s="1063" t="s">
        <v>1518</v>
      </c>
      <c r="D69" s="1063" t="s">
        <v>1519</v>
      </c>
      <c r="E69" s="1134">
        <v>0.2</v>
      </c>
      <c r="F69" s="1149">
        <v>30</v>
      </c>
    </row>
    <row r="70" spans="1:6" s="1100" customFormat="1" ht="48">
      <c r="A70" s="1149">
        <v>10</v>
      </c>
      <c r="B70" s="3616"/>
      <c r="C70" s="1063" t="s">
        <v>1520</v>
      </c>
      <c r="D70" s="1063" t="s">
        <v>1521</v>
      </c>
      <c r="E70" s="1134">
        <v>0.2</v>
      </c>
      <c r="F70" s="1149">
        <v>30</v>
      </c>
    </row>
    <row r="71" spans="1:6" s="1100" customFormat="1" ht="48">
      <c r="A71" s="1149">
        <v>11</v>
      </c>
      <c r="B71" s="3616"/>
      <c r="C71" s="1063" t="s">
        <v>1522</v>
      </c>
      <c r="D71" s="1063" t="s">
        <v>1523</v>
      </c>
      <c r="E71" s="1134">
        <v>0.2</v>
      </c>
      <c r="F71" s="1149">
        <v>30</v>
      </c>
    </row>
    <row r="72" spans="1:6" s="1100" customFormat="1" ht="36">
      <c r="A72" s="1149">
        <v>12</v>
      </c>
      <c r="B72" s="3616"/>
      <c r="C72" s="1063" t="s">
        <v>1524</v>
      </c>
      <c r="D72" s="1063" t="s">
        <v>1525</v>
      </c>
      <c r="E72" s="1134">
        <v>0.5</v>
      </c>
      <c r="F72" s="1149">
        <v>80</v>
      </c>
    </row>
    <row r="73" spans="1:6" s="1100" customFormat="1" ht="24">
      <c r="A73" s="1149">
        <v>13</v>
      </c>
      <c r="B73" s="3616"/>
      <c r="C73" s="1063" t="s">
        <v>1526</v>
      </c>
      <c r="D73" s="1063" t="s">
        <v>1527</v>
      </c>
      <c r="E73" s="1134">
        <v>0.4</v>
      </c>
      <c r="F73" s="1149">
        <v>60</v>
      </c>
    </row>
    <row r="74" spans="1:6" s="1100" customFormat="1" ht="24">
      <c r="A74" s="1149">
        <v>14</v>
      </c>
      <c r="B74" s="3616"/>
      <c r="C74" s="1063" t="s">
        <v>1528</v>
      </c>
      <c r="D74" s="1063" t="s">
        <v>1529</v>
      </c>
      <c r="E74" s="1134">
        <v>0.2</v>
      </c>
      <c r="F74" s="1149">
        <v>30</v>
      </c>
    </row>
    <row r="75" spans="1:6" s="1100" customFormat="1" ht="24">
      <c r="A75" s="1149">
        <v>15</v>
      </c>
      <c r="B75" s="3616"/>
      <c r="C75" s="1063" t="s">
        <v>1530</v>
      </c>
      <c r="D75" s="1063" t="s">
        <v>1531</v>
      </c>
      <c r="E75" s="1134">
        <v>0.2</v>
      </c>
      <c r="F75" s="1149">
        <v>30</v>
      </c>
    </row>
    <row r="76" spans="1:6" s="1100" customFormat="1" ht="24">
      <c r="A76" s="1149">
        <v>16</v>
      </c>
      <c r="B76" s="3616" t="s">
        <v>1532</v>
      </c>
      <c r="C76" s="1063" t="s">
        <v>1533</v>
      </c>
      <c r="D76" s="1063" t="s">
        <v>1534</v>
      </c>
      <c r="E76" s="1134">
        <v>0.5</v>
      </c>
      <c r="F76" s="1149">
        <v>80</v>
      </c>
    </row>
    <row r="77" spans="1:6" s="1100" customFormat="1" ht="24">
      <c r="A77" s="1149">
        <v>17</v>
      </c>
      <c r="B77" s="3616"/>
      <c r="C77" s="1063" t="s">
        <v>1535</v>
      </c>
      <c r="D77" s="1063" t="s">
        <v>1536</v>
      </c>
      <c r="E77" s="1134">
        <v>0.5</v>
      </c>
      <c r="F77" s="1149">
        <v>80</v>
      </c>
    </row>
    <row r="78" spans="1:6" s="1100" customFormat="1" ht="24">
      <c r="A78" s="1149">
        <v>18</v>
      </c>
      <c r="B78" s="3616"/>
      <c r="C78" s="1063" t="s">
        <v>1537</v>
      </c>
      <c r="D78" s="1063" t="s">
        <v>1538</v>
      </c>
      <c r="E78" s="1134">
        <v>0.2</v>
      </c>
      <c r="F78" s="1149">
        <v>30</v>
      </c>
    </row>
    <row r="79" spans="1:6" s="1100" customFormat="1" ht="24">
      <c r="A79" s="1149">
        <v>19</v>
      </c>
      <c r="B79" s="3616"/>
      <c r="C79" s="1063" t="s">
        <v>1539</v>
      </c>
      <c r="D79" s="1063" t="s">
        <v>1540</v>
      </c>
      <c r="E79" s="1134">
        <v>0.5</v>
      </c>
      <c r="F79" s="1149">
        <v>80</v>
      </c>
    </row>
    <row r="80" spans="1:6" s="1100" customFormat="1" ht="36">
      <c r="A80" s="1149">
        <v>20</v>
      </c>
      <c r="B80" s="3616"/>
      <c r="C80" s="1063" t="s">
        <v>1541</v>
      </c>
      <c r="D80" s="1063" t="s">
        <v>1542</v>
      </c>
      <c r="E80" s="1134">
        <v>0.2</v>
      </c>
      <c r="F80" s="1149">
        <v>30</v>
      </c>
    </row>
    <row r="81" spans="1:6" s="1100" customFormat="1" ht="36">
      <c r="A81" s="1149">
        <v>21</v>
      </c>
      <c r="B81" s="3616"/>
      <c r="C81" s="1063" t="s">
        <v>1543</v>
      </c>
      <c r="D81" s="1063" t="s">
        <v>1544</v>
      </c>
      <c r="E81" s="1134">
        <v>0.2</v>
      </c>
      <c r="F81" s="1149">
        <v>30</v>
      </c>
    </row>
    <row r="82" spans="1:6" s="1100" customFormat="1" ht="48">
      <c r="A82" s="1149">
        <v>22</v>
      </c>
      <c r="B82" s="3616"/>
      <c r="C82" s="1063" t="s">
        <v>1545</v>
      </c>
      <c r="D82" s="1063" t="s">
        <v>1546</v>
      </c>
      <c r="E82" s="1134">
        <v>0.2</v>
      </c>
      <c r="F82" s="1149">
        <v>30</v>
      </c>
    </row>
    <row r="83" spans="1:6" s="1100" customFormat="1" ht="48">
      <c r="A83" s="1149">
        <v>23</v>
      </c>
      <c r="B83" s="3616"/>
      <c r="C83" s="1063" t="s">
        <v>1547</v>
      </c>
      <c r="D83" s="1063" t="s">
        <v>1548</v>
      </c>
      <c r="E83" s="1134">
        <v>0.2</v>
      </c>
      <c r="F83" s="1149">
        <v>30</v>
      </c>
    </row>
    <row r="84" spans="1:6" s="1100" customFormat="1" ht="36">
      <c r="A84" s="1149">
        <v>24</v>
      </c>
      <c r="B84" s="3616"/>
      <c r="C84" s="1063" t="s">
        <v>1549</v>
      </c>
      <c r="D84" s="1063" t="s">
        <v>1550</v>
      </c>
      <c r="E84" s="1134">
        <v>0.2</v>
      </c>
      <c r="F84" s="1149">
        <v>30</v>
      </c>
    </row>
    <row r="85" spans="1:6" s="1100" customFormat="1" ht="36">
      <c r="A85" s="1149">
        <v>25</v>
      </c>
      <c r="B85" s="3616"/>
      <c r="C85" s="1063" t="s">
        <v>1551</v>
      </c>
      <c r="D85" s="1063" t="s">
        <v>1552</v>
      </c>
      <c r="E85" s="1134">
        <v>0.5</v>
      </c>
      <c r="F85" s="1149">
        <v>80</v>
      </c>
    </row>
    <row r="86" spans="1:6" s="1100" customFormat="1" ht="36">
      <c r="A86" s="1149">
        <v>26</v>
      </c>
      <c r="B86" s="3616"/>
      <c r="C86" s="1063" t="s">
        <v>1553</v>
      </c>
      <c r="D86" s="1063" t="s">
        <v>1554</v>
      </c>
      <c r="E86" s="1134">
        <v>0.2</v>
      </c>
      <c r="F86" s="1149">
        <v>30</v>
      </c>
    </row>
    <row r="87" spans="1:6" s="1100" customFormat="1" ht="36">
      <c r="A87" s="1149">
        <v>27</v>
      </c>
      <c r="B87" s="3616"/>
      <c r="C87" s="1063" t="s">
        <v>1555</v>
      </c>
      <c r="D87" s="1063" t="s">
        <v>1556</v>
      </c>
      <c r="E87" s="1134">
        <v>0.2</v>
      </c>
      <c r="F87" s="1149">
        <v>30</v>
      </c>
    </row>
    <row r="88" spans="1:6" s="1100" customFormat="1" ht="36">
      <c r="A88" s="1149">
        <v>28</v>
      </c>
      <c r="B88" s="3616"/>
      <c r="C88" s="1063" t="s">
        <v>1557</v>
      </c>
      <c r="D88" s="1063" t="s">
        <v>1558</v>
      </c>
      <c r="E88" s="1134">
        <v>0.2</v>
      </c>
      <c r="F88" s="1149">
        <v>30</v>
      </c>
    </row>
    <row r="89" spans="1:6" s="1100" customFormat="1" ht="24">
      <c r="A89" s="1149">
        <v>29</v>
      </c>
      <c r="B89" s="3616"/>
      <c r="C89" s="1063" t="s">
        <v>1559</v>
      </c>
      <c r="D89" s="1063" t="s">
        <v>1560</v>
      </c>
      <c r="E89" s="1134">
        <v>0.2</v>
      </c>
      <c r="F89" s="1149">
        <v>30</v>
      </c>
    </row>
    <row r="90" spans="1:6" s="1100" customFormat="1" ht="24">
      <c r="A90" s="1149">
        <v>30</v>
      </c>
      <c r="B90" s="3616"/>
      <c r="C90" s="1063" t="s">
        <v>1561</v>
      </c>
      <c r="D90" s="1063" t="s">
        <v>1562</v>
      </c>
      <c r="E90" s="1134">
        <v>0.2</v>
      </c>
      <c r="F90" s="1149">
        <v>30</v>
      </c>
    </row>
    <row r="91" spans="1:6" s="1100" customFormat="1" ht="36">
      <c r="A91" s="1149">
        <v>31</v>
      </c>
      <c r="B91" s="3616"/>
      <c r="C91" s="1063" t="s">
        <v>1563</v>
      </c>
      <c r="D91" s="1063" t="s">
        <v>1564</v>
      </c>
      <c r="E91" s="1134">
        <v>0.2</v>
      </c>
      <c r="F91" s="1149">
        <v>30</v>
      </c>
    </row>
    <row r="92" spans="1:6" s="1100" customFormat="1" ht="24">
      <c r="A92" s="1149">
        <v>32</v>
      </c>
      <c r="B92" s="3616" t="s">
        <v>1565</v>
      </c>
      <c r="C92" s="1149" t="s">
        <v>1566</v>
      </c>
      <c r="D92" s="1063" t="s">
        <v>1567</v>
      </c>
      <c r="E92" s="1134">
        <v>0.2</v>
      </c>
      <c r="F92" s="1149">
        <v>30</v>
      </c>
    </row>
    <row r="93" spans="1:6" s="1100" customFormat="1" ht="36">
      <c r="A93" s="1149">
        <v>33</v>
      </c>
      <c r="B93" s="3616"/>
      <c r="C93" s="1149" t="s">
        <v>1568</v>
      </c>
      <c r="D93" s="1063" t="s">
        <v>1569</v>
      </c>
      <c r="E93" s="1134">
        <v>0.2</v>
      </c>
      <c r="F93" s="1149">
        <v>30</v>
      </c>
    </row>
    <row r="94" spans="1:6" s="1100" customFormat="1" ht="48">
      <c r="A94" s="1149">
        <v>34</v>
      </c>
      <c r="B94" s="3616"/>
      <c r="C94" s="1149" t="s">
        <v>1570</v>
      </c>
      <c r="D94" s="1063" t="s">
        <v>1571</v>
      </c>
      <c r="E94" s="1134">
        <v>0.2</v>
      </c>
      <c r="F94" s="1149">
        <v>30</v>
      </c>
    </row>
    <row r="95" spans="1:6" s="1100" customFormat="1" ht="36">
      <c r="A95" s="1149">
        <v>35</v>
      </c>
      <c r="B95" s="3616"/>
      <c r="C95" s="1149" t="s">
        <v>1572</v>
      </c>
      <c r="D95" s="1063" t="s">
        <v>1573</v>
      </c>
      <c r="E95" s="1134">
        <v>0.2</v>
      </c>
      <c r="F95" s="1149">
        <v>30</v>
      </c>
    </row>
    <row r="96" spans="1:6" s="1100" customFormat="1" ht="48">
      <c r="A96" s="1149">
        <v>36</v>
      </c>
      <c r="B96" s="3616"/>
      <c r="C96" s="1063" t="s">
        <v>1574</v>
      </c>
      <c r="D96" s="1063" t="s">
        <v>1575</v>
      </c>
      <c r="E96" s="1134">
        <v>0.2</v>
      </c>
      <c r="F96" s="1149">
        <v>30</v>
      </c>
    </row>
    <row r="97" spans="1:6" s="1100" customFormat="1" ht="36">
      <c r="A97" s="1149">
        <v>37</v>
      </c>
      <c r="B97" s="3616"/>
      <c r="C97" s="1149" t="s">
        <v>1576</v>
      </c>
      <c r="D97" s="1063" t="s">
        <v>1577</v>
      </c>
      <c r="E97" s="1134">
        <v>0.2</v>
      </c>
      <c r="F97" s="1149">
        <v>30</v>
      </c>
    </row>
    <row r="98" spans="1:6" s="1100" customFormat="1" ht="36">
      <c r="A98" s="1149">
        <v>38</v>
      </c>
      <c r="B98" s="3616"/>
      <c r="C98" s="1149" t="s">
        <v>1578</v>
      </c>
      <c r="D98" s="1063" t="s">
        <v>1579</v>
      </c>
      <c r="E98" s="1134">
        <v>0.2</v>
      </c>
      <c r="F98" s="1149">
        <v>30</v>
      </c>
    </row>
    <row r="99" spans="1:6" s="1100" customFormat="1" ht="36">
      <c r="A99" s="1149">
        <v>39</v>
      </c>
      <c r="B99" s="3616" t="s">
        <v>1580</v>
      </c>
      <c r="C99" s="1149" t="s">
        <v>1581</v>
      </c>
      <c r="D99" s="1063" t="s">
        <v>1582</v>
      </c>
      <c r="E99" s="1134">
        <v>0.3</v>
      </c>
      <c r="F99" s="1149">
        <v>50</v>
      </c>
    </row>
    <row r="100" spans="1:6" s="1100" customFormat="1" ht="24">
      <c r="A100" s="1149">
        <v>40</v>
      </c>
      <c r="B100" s="3616"/>
      <c r="C100" s="1149" t="s">
        <v>1583</v>
      </c>
      <c r="D100" s="1063" t="s">
        <v>1584</v>
      </c>
      <c r="E100" s="1134">
        <v>0.2</v>
      </c>
      <c r="F100" s="1149">
        <v>30</v>
      </c>
    </row>
    <row r="101" spans="1:6" s="1100" customFormat="1" ht="36">
      <c r="A101" s="1149">
        <v>41</v>
      </c>
      <c r="B101" s="361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616" t="s">
        <v>1595</v>
      </c>
      <c r="C105" s="1149" t="s">
        <v>1596</v>
      </c>
      <c r="D105" s="1063" t="s">
        <v>1597</v>
      </c>
      <c r="E105" s="1134">
        <v>0.2</v>
      </c>
      <c r="F105" s="1149">
        <v>30</v>
      </c>
    </row>
    <row r="106" spans="1:6" s="1100" customFormat="1" ht="36">
      <c r="A106" s="1149">
        <v>46</v>
      </c>
      <c r="B106" s="3616"/>
      <c r="C106" s="1149" t="s">
        <v>1598</v>
      </c>
      <c r="D106" s="1063" t="s">
        <v>1599</v>
      </c>
      <c r="E106" s="1134">
        <v>0.2</v>
      </c>
      <c r="F106" s="1149">
        <v>30</v>
      </c>
    </row>
    <row r="107" spans="1:6" s="1100" customFormat="1" ht="36">
      <c r="A107" s="1149">
        <v>47</v>
      </c>
      <c r="B107" s="3616" t="s">
        <v>1600</v>
      </c>
      <c r="C107" s="1149" t="s">
        <v>1601</v>
      </c>
      <c r="D107" s="1063" t="s">
        <v>1602</v>
      </c>
      <c r="E107" s="1134">
        <v>0.3</v>
      </c>
      <c r="F107" s="1149">
        <v>50</v>
      </c>
    </row>
    <row r="108" spans="1:6" s="1100" customFormat="1" ht="36">
      <c r="A108" s="1149">
        <v>48</v>
      </c>
      <c r="B108" s="361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616" t="s">
        <v>1611</v>
      </c>
      <c r="C111" s="1149" t="s">
        <v>1612</v>
      </c>
      <c r="D111" s="1063" t="s">
        <v>1613</v>
      </c>
      <c r="E111" s="1134">
        <v>0.2</v>
      </c>
      <c r="F111" s="1149">
        <v>30</v>
      </c>
    </row>
    <row r="112" spans="1:6" s="1100" customFormat="1" ht="24">
      <c r="A112" s="1149">
        <v>52</v>
      </c>
      <c r="B112" s="3616"/>
      <c r="C112" s="1149" t="s">
        <v>1614</v>
      </c>
      <c r="D112" s="1063" t="s">
        <v>1615</v>
      </c>
      <c r="E112" s="1134">
        <v>0.2</v>
      </c>
      <c r="F112" s="1149">
        <v>30</v>
      </c>
    </row>
    <row r="113" spans="1:14" s="1100" customFormat="1" ht="24">
      <c r="A113" s="1149">
        <v>53</v>
      </c>
      <c r="B113" s="361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616" t="s">
        <v>1624</v>
      </c>
      <c r="C116" s="1149" t="s">
        <v>1625</v>
      </c>
      <c r="D116" s="1063" t="s">
        <v>1626</v>
      </c>
      <c r="E116" s="1134">
        <v>0.2</v>
      </c>
      <c r="F116" s="1149">
        <v>30</v>
      </c>
    </row>
    <row r="117" spans="1:14" ht="36">
      <c r="A117" s="1149">
        <v>57</v>
      </c>
      <c r="B117" s="361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615" t="s">
        <v>1633</v>
      </c>
      <c r="B121" s="3615"/>
      <c r="C121" s="3615"/>
      <c r="D121" s="3615"/>
      <c r="E121" s="3615"/>
      <c r="F121" s="3615"/>
      <c r="G121" s="3615"/>
      <c r="H121" s="3615"/>
      <c r="I121" s="3615"/>
      <c r="J121" s="361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630" t="s">
        <v>1039</v>
      </c>
      <c r="B1" s="3630"/>
      <c r="C1" s="3630"/>
      <c r="D1" s="3630"/>
      <c r="E1" s="3630"/>
      <c r="F1" s="363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631" t="s">
        <v>1052</v>
      </c>
      <c r="B2" s="3631"/>
      <c r="C2" s="3631"/>
      <c r="D2" s="3631"/>
      <c r="E2" s="3631"/>
      <c r="F2" s="363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63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63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634" t="s">
        <v>2077</v>
      </c>
      <c r="B1" s="3634"/>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637" t="s">
        <v>2573</v>
      </c>
      <c r="C1" s="3637"/>
      <c r="D1" s="3637"/>
      <c r="E1" s="3637"/>
      <c r="F1" s="3637"/>
      <c r="G1" s="3636" t="s">
        <v>2574</v>
      </c>
      <c r="H1" s="3636"/>
      <c r="I1" s="3636"/>
      <c r="J1" s="3636"/>
      <c r="K1" s="3636"/>
      <c r="L1" s="3636"/>
      <c r="N1" s="3636" t="s">
        <v>2575</v>
      </c>
      <c r="O1" s="3636"/>
      <c r="P1" s="3636"/>
      <c r="Q1" s="3636"/>
      <c r="R1" s="2615"/>
      <c r="S1" s="3636" t="s">
        <v>2576</v>
      </c>
      <c r="T1" s="3636"/>
      <c r="U1" s="3636"/>
      <c r="V1" s="3636"/>
      <c r="X1" s="3635" t="s">
        <v>2636</v>
      </c>
      <c r="Y1" s="3636"/>
      <c r="Z1" s="3636"/>
      <c r="AA1" s="3636"/>
      <c r="AB1" s="3636"/>
      <c r="AD1" s="3635" t="s">
        <v>2640</v>
      </c>
      <c r="AE1" s="3636"/>
      <c r="AF1" s="3636"/>
      <c r="AG1" s="3636"/>
      <c r="AH1" s="3636"/>
    </row>
    <row r="2" spans="1:34" s="2716" customFormat="1" ht="14.25" thickBot="1">
      <c r="B2" s="2724" t="s">
        <v>2577</v>
      </c>
      <c r="C2" s="2724" t="s">
        <v>2638</v>
      </c>
      <c r="D2" s="2717" t="s">
        <v>1644</v>
      </c>
      <c r="E2" s="2717" t="s">
        <v>1949</v>
      </c>
      <c r="F2" s="2724" t="s">
        <v>2639</v>
      </c>
      <c r="G2" s="2720"/>
      <c r="H2" s="2719"/>
      <c r="I2" s="2724" t="s">
        <v>2949</v>
      </c>
      <c r="J2" s="2717" t="s">
        <v>2951</v>
      </c>
      <c r="K2" s="2717" t="s">
        <v>2952</v>
      </c>
      <c r="L2" s="2724" t="s">
        <v>2953</v>
      </c>
      <c r="N2" s="2724" t="s">
        <v>2577</v>
      </c>
      <c r="O2" s="2717" t="s">
        <v>2950</v>
      </c>
      <c r="P2" s="2717" t="s">
        <v>1949</v>
      </c>
      <c r="Q2" s="2724" t="s">
        <v>2639</v>
      </c>
      <c r="R2" s="2718"/>
      <c r="S2" s="2724" t="s">
        <v>2577</v>
      </c>
      <c r="T2" s="2717" t="s">
        <v>2950</v>
      </c>
      <c r="U2" s="2717" t="s">
        <v>1949</v>
      </c>
      <c r="V2" s="2724" t="s">
        <v>2639</v>
      </c>
      <c r="X2" s="2724" t="s">
        <v>2577</v>
      </c>
      <c r="Y2" s="2724" t="s">
        <v>2638</v>
      </c>
      <c r="Z2" s="2717" t="s">
        <v>1644</v>
      </c>
      <c r="AA2" s="2717" t="s">
        <v>1949</v>
      </c>
      <c r="AB2" s="2724" t="s">
        <v>2639</v>
      </c>
      <c r="AD2" s="2724" t="s">
        <v>2577</v>
      </c>
      <c r="AE2" s="2724" t="s">
        <v>2638</v>
      </c>
      <c r="AF2" s="2717" t="s">
        <v>1644</v>
      </c>
      <c r="AG2" s="2717" t="s">
        <v>1949</v>
      </c>
      <c r="AH2" s="2724" t="s">
        <v>2639</v>
      </c>
    </row>
    <row r="3" spans="1:34" s="3078" customFormat="1" ht="14.25">
      <c r="A3" s="3090" t="s">
        <v>2962</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2985</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2963</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5" thickBot="1">
      <c r="A6" s="2616" t="s">
        <v>2986</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2982</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639">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2972</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639"/>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2973</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639"/>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2969</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645"/>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2960</v>
      </c>
      <c r="B11" s="3092">
        <v>439</v>
      </c>
      <c r="C11" s="3092">
        <v>327</v>
      </c>
      <c r="D11" s="3092">
        <f t="shared" si="54"/>
        <v>327</v>
      </c>
      <c r="E11" s="3092">
        <v>627</v>
      </c>
      <c r="F11" s="3093">
        <v>283</v>
      </c>
      <c r="G11" s="3644">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2964</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639"/>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2578</v>
      </c>
      <c r="B13" s="2629">
        <f t="shared" si="66"/>
        <v>419.31181600000002</v>
      </c>
      <c r="C13" s="2629">
        <f t="shared" si="66"/>
        <v>313.95436800000004</v>
      </c>
      <c r="D13" s="2629">
        <f t="shared" si="54"/>
        <v>313.95436800000004</v>
      </c>
      <c r="E13" s="2629">
        <f t="shared" si="67"/>
        <v>596.63028431999999</v>
      </c>
      <c r="F13" s="2629">
        <f t="shared" si="67"/>
        <v>274.74220703999998</v>
      </c>
      <c r="G13" s="3639"/>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2579</v>
      </c>
      <c r="B14" s="2629">
        <f t="shared" si="66"/>
        <v>405.524</v>
      </c>
      <c r="C14" s="2629">
        <f t="shared" si="66"/>
        <v>307.79840000000002</v>
      </c>
      <c r="D14" s="2629">
        <f t="shared" si="54"/>
        <v>307.79840000000002</v>
      </c>
      <c r="E14" s="2629">
        <f t="shared" si="67"/>
        <v>574.67759999999998</v>
      </c>
      <c r="F14" s="2629">
        <f t="shared" si="67"/>
        <v>270.20280000000002</v>
      </c>
      <c r="G14" s="3645"/>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644">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639"/>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639"/>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640"/>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638">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639"/>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639"/>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640"/>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638">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639"/>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639"/>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640"/>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2637</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2580</v>
      </c>
      <c r="B27" s="2621">
        <v>299</v>
      </c>
      <c r="C27" s="2621">
        <v>252</v>
      </c>
      <c r="D27" s="2621">
        <f t="shared" si="76"/>
        <v>252</v>
      </c>
      <c r="E27" s="2621">
        <v>409</v>
      </c>
      <c r="F27" s="2622">
        <v>227</v>
      </c>
      <c r="G27" s="3641">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2581</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642"/>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2582</v>
      </c>
      <c r="B29" s="2629">
        <f t="shared" si="85"/>
        <v>288.2649053828776</v>
      </c>
      <c r="C29" s="2629">
        <f t="shared" si="85"/>
        <v>243.64564425013293</v>
      </c>
      <c r="D29" s="2629">
        <f t="shared" si="76"/>
        <v>243.64564425013293</v>
      </c>
      <c r="E29" s="2629">
        <f t="shared" si="86"/>
        <v>393.31080825986544</v>
      </c>
      <c r="F29" s="2629">
        <f t="shared" si="86"/>
        <v>223.07903790551154</v>
      </c>
      <c r="G29" s="3642"/>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2583</v>
      </c>
      <c r="B30" s="2629">
        <f t="shared" si="85"/>
        <v>282.50186729015837</v>
      </c>
      <c r="C30" s="2629">
        <f t="shared" si="85"/>
        <v>238.09796174155468</v>
      </c>
      <c r="D30" s="2629">
        <f t="shared" si="76"/>
        <v>238.09796174155468</v>
      </c>
      <c r="E30" s="2629">
        <f t="shared" si="86"/>
        <v>385.33438646014054</v>
      </c>
      <c r="F30" s="2629">
        <f t="shared" si="86"/>
        <v>221.55034055567739</v>
      </c>
      <c r="G30" s="3643"/>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2584</v>
      </c>
      <c r="B31" s="2659">
        <v>278</v>
      </c>
      <c r="C31" s="2659">
        <v>234</v>
      </c>
      <c r="D31" s="2659">
        <f t="shared" si="76"/>
        <v>234</v>
      </c>
      <c r="E31" s="2659">
        <v>379</v>
      </c>
      <c r="F31" s="2660">
        <v>220</v>
      </c>
      <c r="G31" s="3638">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2585</v>
      </c>
      <c r="B32" s="2629">
        <f>B31/(1+N31)</f>
        <v>275.49301357645425</v>
      </c>
      <c r="C32" s="2629">
        <f>C31/(1+O31)</f>
        <v>232.41954707985698</v>
      </c>
      <c r="D32" s="2629">
        <f t="shared" si="76"/>
        <v>232.41954707985698</v>
      </c>
      <c r="E32" s="2629">
        <f t="shared" ref="E32:F34" si="87">E31/(1+P31)</f>
        <v>375.32184591008121</v>
      </c>
      <c r="F32" s="2629">
        <f t="shared" si="87"/>
        <v>218.03766105054513</v>
      </c>
      <c r="G32" s="3639"/>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2586</v>
      </c>
      <c r="B33" s="2629">
        <f>B32/(1+N32)</f>
        <v>275.24529281292263</v>
      </c>
      <c r="C33" s="2629">
        <f>C32/(1+O32)</f>
        <v>231.74747938962707</v>
      </c>
      <c r="D33" s="2629">
        <f t="shared" si="76"/>
        <v>231.74747938962707</v>
      </c>
      <c r="E33" s="2629">
        <f t="shared" si="87"/>
        <v>375.35938184826603</v>
      </c>
      <c r="F33" s="2629">
        <f t="shared" si="87"/>
        <v>216.78033510692495</v>
      </c>
      <c r="G33" s="3639"/>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2587</v>
      </c>
      <c r="B34" s="2629">
        <f>B33/(1+N33)</f>
        <v>275.19025476197027</v>
      </c>
      <c r="C34" s="2661">
        <v>232</v>
      </c>
      <c r="D34" s="2661">
        <f t="shared" si="76"/>
        <v>232</v>
      </c>
      <c r="E34" s="2629">
        <f t="shared" si="87"/>
        <v>375.65990977608692</v>
      </c>
      <c r="F34" s="2629">
        <f t="shared" si="87"/>
        <v>214.12518283971252</v>
      </c>
      <c r="G34" s="3640"/>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2588</v>
      </c>
      <c r="B35" s="2621">
        <v>275</v>
      </c>
      <c r="C35" s="2621">
        <v>232</v>
      </c>
      <c r="D35" s="2621">
        <f t="shared" si="76"/>
        <v>232</v>
      </c>
      <c r="E35" s="2621">
        <v>376</v>
      </c>
      <c r="F35" s="2622">
        <v>213</v>
      </c>
      <c r="G35" s="3638">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2589</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639">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2590</v>
      </c>
      <c r="B37" s="2629">
        <f t="shared" si="88"/>
        <v>275.19335084830601</v>
      </c>
      <c r="C37" s="2629">
        <f t="shared" si="88"/>
        <v>230.18088050139744</v>
      </c>
      <c r="D37" s="2629">
        <f t="shared" si="76"/>
        <v>230.18088050139744</v>
      </c>
      <c r="E37" s="2629">
        <f t="shared" si="89"/>
        <v>377.58482925212331</v>
      </c>
      <c r="F37" s="2629">
        <f t="shared" si="89"/>
        <v>210.90687997847917</v>
      </c>
      <c r="G37" s="3639">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2591</v>
      </c>
      <c r="B38" s="2629">
        <f t="shared" si="88"/>
        <v>276.29854502841971</v>
      </c>
      <c r="C38" s="2629">
        <f t="shared" si="88"/>
        <v>229.79023709833027</v>
      </c>
      <c r="D38" s="2629">
        <f t="shared" si="76"/>
        <v>229.79023709833027</v>
      </c>
      <c r="E38" s="2629">
        <f t="shared" si="89"/>
        <v>379.78759731655936</v>
      </c>
      <c r="F38" s="2629">
        <f t="shared" si="89"/>
        <v>211.32953905659235</v>
      </c>
      <c r="G38" s="3640">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2592</v>
      </c>
      <c r="B39" s="2621">
        <v>269</v>
      </c>
      <c r="C39" s="2621">
        <v>221</v>
      </c>
      <c r="D39" s="2621">
        <f t="shared" si="76"/>
        <v>221</v>
      </c>
      <c r="E39" s="2621">
        <v>373</v>
      </c>
      <c r="F39" s="2622">
        <v>196</v>
      </c>
      <c r="G39" s="3638">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2593</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639">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2594</v>
      </c>
      <c r="B41" s="2629">
        <f t="shared" si="90"/>
        <v>242.95398227588385</v>
      </c>
      <c r="C41" s="2629">
        <f t="shared" si="90"/>
        <v>199.59137053614126</v>
      </c>
      <c r="D41" s="2629">
        <f t="shared" si="76"/>
        <v>199.59137053614126</v>
      </c>
      <c r="E41" s="2629">
        <f t="shared" si="91"/>
        <v>335.92189522342125</v>
      </c>
      <c r="F41" s="2629">
        <f t="shared" si="91"/>
        <v>183.10139991109489</v>
      </c>
      <c r="G41" s="3639">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2595</v>
      </c>
      <c r="B42" s="2629">
        <f t="shared" si="90"/>
        <v>232.06990378821649</v>
      </c>
      <c r="C42" s="2629">
        <f t="shared" si="90"/>
        <v>192.74878854286936</v>
      </c>
      <c r="D42" s="2629">
        <f t="shared" si="76"/>
        <v>192.74878854286936</v>
      </c>
      <c r="E42" s="2629">
        <f t="shared" si="91"/>
        <v>319.71247284992984</v>
      </c>
      <c r="F42" s="2629">
        <f t="shared" si="91"/>
        <v>175.67053622862409</v>
      </c>
      <c r="G42" s="3640">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2596</v>
      </c>
      <c r="B43" s="2621">
        <v>220</v>
      </c>
      <c r="C43" s="2621">
        <v>187</v>
      </c>
      <c r="D43" s="2621">
        <f t="shared" si="76"/>
        <v>187</v>
      </c>
      <c r="E43" s="2621">
        <v>301</v>
      </c>
      <c r="F43" s="2622">
        <v>168</v>
      </c>
      <c r="G43" s="3638">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2597</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639">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2598</v>
      </c>
      <c r="B45" s="2629">
        <f t="shared" si="92"/>
        <v>210.630522469011</v>
      </c>
      <c r="C45" s="2629">
        <f t="shared" si="92"/>
        <v>181.69567812247232</v>
      </c>
      <c r="D45" s="2629">
        <f t="shared" si="76"/>
        <v>181.69567812247232</v>
      </c>
      <c r="E45" s="2629">
        <f t="shared" si="93"/>
        <v>286.13517466736738</v>
      </c>
      <c r="F45" s="2629">
        <f t="shared" si="93"/>
        <v>165.47535084591149</v>
      </c>
      <c r="G45" s="3639">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2599</v>
      </c>
      <c r="B46" s="2629">
        <f t="shared" si="92"/>
        <v>208.83454537875372</v>
      </c>
      <c r="C46" s="2629">
        <f t="shared" si="92"/>
        <v>183.77230517090351</v>
      </c>
      <c r="D46" s="2629">
        <f t="shared" si="76"/>
        <v>183.77230517090351</v>
      </c>
      <c r="E46" s="2629">
        <f t="shared" si="93"/>
        <v>281.10342338870947</v>
      </c>
      <c r="F46" s="2629">
        <f t="shared" si="93"/>
        <v>168.97309388942256</v>
      </c>
      <c r="G46" s="3640">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2600</v>
      </c>
      <c r="B47" s="2659">
        <v>214</v>
      </c>
      <c r="C47" s="2659">
        <v>188</v>
      </c>
      <c r="D47" s="2659">
        <f t="shared" si="76"/>
        <v>188</v>
      </c>
      <c r="E47" s="2659">
        <v>289</v>
      </c>
      <c r="F47" s="2660">
        <v>166</v>
      </c>
      <c r="G47" s="3638">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2601</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639">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2602</v>
      </c>
      <c r="B49" s="2629">
        <f t="shared" si="94"/>
        <v>206.31694671589116</v>
      </c>
      <c r="C49" s="2629">
        <f t="shared" si="94"/>
        <v>183.61041121036101</v>
      </c>
      <c r="D49" s="2629">
        <f t="shared" si="76"/>
        <v>183.61041121036101</v>
      </c>
      <c r="E49" s="2629">
        <f t="shared" si="95"/>
        <v>276.66850301795557</v>
      </c>
      <c r="F49" s="2629">
        <f t="shared" si="95"/>
        <v>165.1360938278614</v>
      </c>
      <c r="G49" s="3639">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2603</v>
      </c>
      <c r="B50" s="2662">
        <f t="shared" si="94"/>
        <v>196.62341248059772</v>
      </c>
      <c r="C50" s="2662">
        <f t="shared" si="94"/>
        <v>170.99125648199012</v>
      </c>
      <c r="D50" s="2662">
        <f t="shared" si="76"/>
        <v>170.99125648199012</v>
      </c>
      <c r="E50" s="2662">
        <f t="shared" si="95"/>
        <v>266.07857570490052</v>
      </c>
      <c r="F50" s="2662">
        <f t="shared" si="95"/>
        <v>154.53499328828505</v>
      </c>
      <c r="G50" s="3640">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2604</v>
      </c>
      <c r="B51" s="2621">
        <v>188</v>
      </c>
      <c r="C51" s="2621">
        <v>165</v>
      </c>
      <c r="D51" s="2621">
        <f t="shared" si="76"/>
        <v>165</v>
      </c>
      <c r="E51" s="2621">
        <v>254</v>
      </c>
      <c r="F51" s="2622">
        <v>148</v>
      </c>
      <c r="G51" s="3638">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2605</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639">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2606</v>
      </c>
      <c r="B53" s="2629">
        <f t="shared" si="98"/>
        <v>168.82017748715555</v>
      </c>
      <c r="C53" s="2629">
        <f t="shared" si="98"/>
        <v>148.06267029972753</v>
      </c>
      <c r="D53" s="2629">
        <f t="shared" si="76"/>
        <v>148.06267029972753</v>
      </c>
      <c r="E53" s="2629">
        <f t="shared" si="99"/>
        <v>216.46288379323747</v>
      </c>
      <c r="F53" s="2629">
        <f t="shared" si="99"/>
        <v>134.23529411764704</v>
      </c>
      <c r="G53" s="3639">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2607</v>
      </c>
      <c r="B54" s="2629">
        <f t="shared" si="98"/>
        <v>163.84913591779542</v>
      </c>
      <c r="C54" s="2629">
        <f t="shared" si="98"/>
        <v>145.0283378746594</v>
      </c>
      <c r="D54" s="2629">
        <f t="shared" si="76"/>
        <v>145.0283378746594</v>
      </c>
      <c r="E54" s="2629">
        <f t="shared" si="99"/>
        <v>204.95180722891567</v>
      </c>
      <c r="F54" s="2629">
        <f t="shared" si="99"/>
        <v>125.95920303605313</v>
      </c>
      <c r="G54" s="3640">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2608</v>
      </c>
      <c r="B55" s="2643">
        <v>159</v>
      </c>
      <c r="C55" s="2643">
        <v>141</v>
      </c>
      <c r="D55" s="2643">
        <f t="shared" si="76"/>
        <v>141</v>
      </c>
      <c r="E55" s="2643">
        <v>195</v>
      </c>
      <c r="F55" s="2644">
        <v>122</v>
      </c>
      <c r="G55" s="3638">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2609</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639">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2610</v>
      </c>
      <c r="B57" s="2629">
        <f t="shared" si="102"/>
        <v>146.57412060301507</v>
      </c>
      <c r="C57" s="2629">
        <f t="shared" si="102"/>
        <v>136.46831955922866</v>
      </c>
      <c r="D57" s="2629">
        <f t="shared" si="76"/>
        <v>136.46831955922866</v>
      </c>
      <c r="E57" s="2629">
        <f t="shared" si="103"/>
        <v>166.73864894795128</v>
      </c>
      <c r="F57" s="2629">
        <f t="shared" si="103"/>
        <v>115.05882352941177</v>
      </c>
      <c r="G57" s="3639">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2611</v>
      </c>
      <c r="B58" s="2629">
        <f t="shared" si="102"/>
        <v>144.04145728643215</v>
      </c>
      <c r="C58" s="2629">
        <f t="shared" si="102"/>
        <v>136.12396694214877</v>
      </c>
      <c r="D58" s="2629">
        <f t="shared" si="76"/>
        <v>136.12396694214877</v>
      </c>
      <c r="E58" s="2629">
        <f t="shared" si="103"/>
        <v>158.32225913621264</v>
      </c>
      <c r="F58" s="2629">
        <f t="shared" si="103"/>
        <v>114.04278074866311</v>
      </c>
      <c r="G58" s="3640">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2612</v>
      </c>
      <c r="B59" s="2643">
        <v>138</v>
      </c>
      <c r="C59" s="2643">
        <v>131</v>
      </c>
      <c r="D59" s="2643">
        <f t="shared" si="76"/>
        <v>131</v>
      </c>
      <c r="E59" s="2643">
        <v>155</v>
      </c>
      <c r="F59" s="2644">
        <v>114</v>
      </c>
      <c r="G59" s="3638">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2613</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639">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2614</v>
      </c>
      <c r="B61" s="2629">
        <f t="shared" si="106"/>
        <v>124.29032258064517</v>
      </c>
      <c r="C61" s="2629">
        <f t="shared" si="106"/>
        <v>123.8968609865471</v>
      </c>
      <c r="D61" s="2629">
        <f t="shared" si="76"/>
        <v>123.8968609865471</v>
      </c>
      <c r="E61" s="2629">
        <f t="shared" si="107"/>
        <v>138.00507614213197</v>
      </c>
      <c r="F61" s="2629">
        <f t="shared" si="107"/>
        <v>107.96106557377048</v>
      </c>
      <c r="G61" s="3639">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2615</v>
      </c>
      <c r="B62" s="2629">
        <f t="shared" si="106"/>
        <v>122.57204301075269</v>
      </c>
      <c r="C62" s="2629">
        <f t="shared" si="106"/>
        <v>123.4932735426009</v>
      </c>
      <c r="D62" s="2629">
        <f t="shared" si="76"/>
        <v>123.4932735426009</v>
      </c>
      <c r="E62" s="2629">
        <f t="shared" si="107"/>
        <v>129.82233502538071</v>
      </c>
      <c r="F62" s="2629">
        <f t="shared" si="107"/>
        <v>107.39446721311475</v>
      </c>
      <c r="G62" s="3640">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2616</v>
      </c>
      <c r="B63" s="2659">
        <v>121</v>
      </c>
      <c r="C63" s="2659">
        <v>122</v>
      </c>
      <c r="D63" s="2659">
        <f t="shared" si="76"/>
        <v>122</v>
      </c>
      <c r="E63" s="2659">
        <v>124</v>
      </c>
      <c r="F63" s="2660">
        <v>107</v>
      </c>
      <c r="G63" s="3638">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2617</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639">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2618</v>
      </c>
      <c r="B65" s="2629">
        <f t="shared" si="110"/>
        <v>116.99099099099099</v>
      </c>
      <c r="C65" s="2629">
        <f t="shared" si="110"/>
        <v>118.84848484848486</v>
      </c>
      <c r="D65" s="2629">
        <f t="shared" si="76"/>
        <v>118.84848484848486</v>
      </c>
      <c r="E65" s="2629">
        <f t="shared" si="111"/>
        <v>117.60960960960961</v>
      </c>
      <c r="F65" s="2629">
        <f t="shared" si="111"/>
        <v>104</v>
      </c>
      <c r="G65" s="3639">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2619</v>
      </c>
      <c r="B66" s="2662">
        <f t="shared" si="110"/>
        <v>112.48648648648648</v>
      </c>
      <c r="C66" s="2662">
        <f t="shared" si="110"/>
        <v>115.21212121212122</v>
      </c>
      <c r="D66" s="2662">
        <f t="shared" si="76"/>
        <v>115.21212121212122</v>
      </c>
      <c r="E66" s="2662">
        <f t="shared" si="111"/>
        <v>110.4024024024024</v>
      </c>
      <c r="F66" s="2662">
        <f t="shared" si="111"/>
        <v>104</v>
      </c>
      <c r="G66" s="3640">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2620</v>
      </c>
      <c r="B67" s="2680">
        <v>111</v>
      </c>
      <c r="C67" s="2680">
        <v>114</v>
      </c>
      <c r="D67" s="2680">
        <f t="shared" si="76"/>
        <v>114</v>
      </c>
      <c r="E67" s="2680">
        <v>108</v>
      </c>
      <c r="F67" s="2681">
        <v>104</v>
      </c>
      <c r="G67" s="3638">
        <v>2003</v>
      </c>
      <c r="H67" s="2670">
        <v>4</v>
      </c>
      <c r="I67" s="2682"/>
      <c r="J67" s="2682"/>
      <c r="K67" s="2682"/>
      <c r="L67" s="2682"/>
      <c r="N67" s="2683"/>
      <c r="O67" s="2682"/>
      <c r="P67" s="2682"/>
      <c r="Q67" s="2682"/>
      <c r="S67" s="2683"/>
      <c r="T67" s="2682"/>
      <c r="U67" s="2682"/>
      <c r="V67" s="2682"/>
      <c r="X67" s="2674"/>
      <c r="Y67" s="2674"/>
      <c r="Z67" s="2674"/>
    </row>
    <row r="68" spans="1:26">
      <c r="A68" s="2616" t="s">
        <v>2621</v>
      </c>
      <c r="B68" s="2684">
        <f t="shared" ref="B68:C70" si="112">B69+(B$67-B$71)/4</f>
        <v>109.75</v>
      </c>
      <c r="C68" s="2684">
        <f t="shared" si="112"/>
        <v>112.25</v>
      </c>
      <c r="D68" s="2684">
        <f t="shared" si="76"/>
        <v>112.25</v>
      </c>
      <c r="E68" s="2684">
        <f t="shared" ref="E68:F70" si="113">E69+(E$67-E$71)/4</f>
        <v>107.25</v>
      </c>
      <c r="F68" s="2684">
        <f t="shared" si="113"/>
        <v>103.5</v>
      </c>
      <c r="G68" s="3639">
        <v>2003</v>
      </c>
      <c r="H68" s="2640">
        <v>3</v>
      </c>
      <c r="I68" s="2682"/>
      <c r="J68" s="2682"/>
      <c r="K68" s="2682"/>
      <c r="L68" s="2682"/>
      <c r="X68" s="2674"/>
      <c r="Y68" s="2674"/>
      <c r="Z68" s="2674"/>
    </row>
    <row r="69" spans="1:26">
      <c r="A69" s="2616" t="s">
        <v>2622</v>
      </c>
      <c r="B69" s="2684">
        <f t="shared" si="112"/>
        <v>108.5</v>
      </c>
      <c r="C69" s="2684">
        <f t="shared" si="112"/>
        <v>110.5</v>
      </c>
      <c r="D69" s="2684">
        <f t="shared" si="76"/>
        <v>110.5</v>
      </c>
      <c r="E69" s="2684">
        <f t="shared" si="113"/>
        <v>106.5</v>
      </c>
      <c r="F69" s="2684">
        <f t="shared" si="113"/>
        <v>103</v>
      </c>
      <c r="G69" s="3639">
        <v>2003</v>
      </c>
      <c r="H69" s="2620">
        <v>2</v>
      </c>
      <c r="I69" s="2682"/>
      <c r="J69" s="2682"/>
      <c r="K69" s="2682"/>
      <c r="L69" s="2682"/>
      <c r="X69" s="2674"/>
      <c r="Y69" s="2674"/>
      <c r="Z69" s="2674"/>
    </row>
    <row r="70" spans="1:26" ht="13.5" thickBot="1">
      <c r="A70" s="2616" t="s">
        <v>2623</v>
      </c>
      <c r="B70" s="2684">
        <f t="shared" si="112"/>
        <v>107.25</v>
      </c>
      <c r="C70" s="2684">
        <f t="shared" si="112"/>
        <v>108.75</v>
      </c>
      <c r="D70" s="2684">
        <f t="shared" si="76"/>
        <v>108.75</v>
      </c>
      <c r="E70" s="2684">
        <f t="shared" si="113"/>
        <v>105.75</v>
      </c>
      <c r="F70" s="2684">
        <f t="shared" si="113"/>
        <v>102.5</v>
      </c>
      <c r="G70" s="3640">
        <v>2003</v>
      </c>
      <c r="H70" s="2685">
        <v>1</v>
      </c>
      <c r="I70" s="2682"/>
      <c r="J70" s="2682"/>
      <c r="K70" s="2682"/>
      <c r="L70" s="2682"/>
      <c r="S70" s="2624"/>
      <c r="T70" s="2625"/>
      <c r="U70" s="2625"/>
      <c r="X70" s="2674"/>
      <c r="Y70" s="2674"/>
      <c r="Z70" s="2674"/>
    </row>
    <row r="71" spans="1:26" ht="13.5" thickBot="1">
      <c r="A71" s="2616" t="s">
        <v>2624</v>
      </c>
      <c r="B71" s="2686">
        <v>106</v>
      </c>
      <c r="C71" s="2686">
        <v>107</v>
      </c>
      <c r="D71" s="2686">
        <f t="shared" si="76"/>
        <v>107</v>
      </c>
      <c r="E71" s="2686">
        <v>105</v>
      </c>
      <c r="F71" s="2687">
        <v>102</v>
      </c>
      <c r="G71" s="3638">
        <v>2002</v>
      </c>
      <c r="H71" s="2635">
        <v>4</v>
      </c>
      <c r="I71" s="2682"/>
      <c r="J71" s="2682"/>
      <c r="K71" s="2682"/>
      <c r="L71" s="2682"/>
      <c r="N71" s="2683"/>
      <c r="O71" s="2682"/>
      <c r="P71" s="2682"/>
      <c r="Q71" s="2682"/>
      <c r="S71" s="2683"/>
      <c r="T71" s="2682"/>
      <c r="U71" s="2682"/>
      <c r="V71" s="2682"/>
      <c r="X71" s="2674"/>
      <c r="Y71" s="2674"/>
      <c r="Z71" s="2674"/>
    </row>
    <row r="72" spans="1:26">
      <c r="A72" s="2616" t="s">
        <v>2625</v>
      </c>
      <c r="B72" s="2684">
        <f t="shared" ref="B72:C74" si="114">B73+(B$71-B$75)/4</f>
        <v>105</v>
      </c>
      <c r="C72" s="2684">
        <f t="shared" si="114"/>
        <v>106</v>
      </c>
      <c r="D72" s="2684">
        <f t="shared" si="76"/>
        <v>106</v>
      </c>
      <c r="E72" s="2684">
        <f t="shared" ref="E72:F74" si="115">E73+(E$71-E$75)/4</f>
        <v>104.5</v>
      </c>
      <c r="F72" s="2684">
        <f t="shared" si="115"/>
        <v>101.5</v>
      </c>
      <c r="G72" s="3639">
        <v>2002</v>
      </c>
      <c r="H72" s="2640">
        <v>3</v>
      </c>
      <c r="I72" s="2682"/>
      <c r="J72" s="2682"/>
      <c r="K72" s="2682"/>
      <c r="L72" s="2682"/>
      <c r="X72" s="2674"/>
      <c r="Y72" s="2674"/>
      <c r="Z72" s="2674"/>
    </row>
    <row r="73" spans="1:26">
      <c r="A73" s="2616" t="s">
        <v>2626</v>
      </c>
      <c r="B73" s="2684">
        <f t="shared" si="114"/>
        <v>104</v>
      </c>
      <c r="C73" s="2684">
        <f t="shared" si="114"/>
        <v>105</v>
      </c>
      <c r="D73" s="2684">
        <f t="shared" si="76"/>
        <v>105</v>
      </c>
      <c r="E73" s="2684">
        <f t="shared" si="115"/>
        <v>104</v>
      </c>
      <c r="F73" s="2684">
        <f t="shared" si="115"/>
        <v>101</v>
      </c>
      <c r="G73" s="3639">
        <v>2002</v>
      </c>
      <c r="H73" s="2620">
        <v>2</v>
      </c>
      <c r="I73" s="2682"/>
      <c r="J73" s="2682"/>
      <c r="K73" s="2682"/>
      <c r="L73" s="2682"/>
      <c r="X73" s="2674"/>
      <c r="Y73" s="2674"/>
      <c r="Z73" s="2674"/>
    </row>
    <row r="74" spans="1:26" s="2651" customFormat="1" ht="13.5" thickBot="1">
      <c r="A74" s="2647" t="s">
        <v>2627</v>
      </c>
      <c r="B74" s="2688">
        <f t="shared" si="114"/>
        <v>103</v>
      </c>
      <c r="C74" s="2688">
        <f t="shared" si="114"/>
        <v>104</v>
      </c>
      <c r="D74" s="2688">
        <f t="shared" si="76"/>
        <v>104</v>
      </c>
      <c r="E74" s="2688">
        <f t="shared" si="115"/>
        <v>103.5</v>
      </c>
      <c r="F74" s="2688">
        <f t="shared" si="115"/>
        <v>100.5</v>
      </c>
      <c r="G74" s="3640">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2628</v>
      </c>
      <c r="G77" s="2698"/>
      <c r="N77" s="2698"/>
      <c r="S77" s="2698"/>
    </row>
    <row r="78" spans="1:26" s="2697" customFormat="1">
      <c r="A78" s="2697" t="s">
        <v>2629</v>
      </c>
      <c r="G78" s="2698"/>
      <c r="N78" s="2698"/>
      <c r="S78" s="2698"/>
    </row>
    <row r="79" spans="1:26" s="2697" customFormat="1">
      <c r="A79" s="2697" t="s">
        <v>2630</v>
      </c>
      <c r="G79" s="2698"/>
      <c r="I79" s="2699"/>
      <c r="J79" s="2699"/>
      <c r="K79" s="2699"/>
      <c r="L79" s="2699"/>
      <c r="N79" s="2700"/>
      <c r="O79" s="2699"/>
      <c r="P79" s="2699"/>
      <c r="Q79" s="2699"/>
      <c r="S79" s="2700"/>
      <c r="T79" s="2699"/>
      <c r="U79" s="2699"/>
      <c r="V79" s="2699"/>
    </row>
    <row r="80" spans="1:26" s="2697" customFormat="1">
      <c r="A80" s="2697" t="s">
        <v>2631</v>
      </c>
      <c r="G80" s="2698"/>
      <c r="N80" s="2698"/>
      <c r="S80" s="2698"/>
    </row>
    <row r="87" spans="7:22" ht="13.5" thickBot="1"/>
    <row r="88" spans="7:22">
      <c r="G88" s="2623"/>
      <c r="S88" s="2701" t="s">
        <v>2632</v>
      </c>
      <c r="T88" s="2702" t="s">
        <v>2633</v>
      </c>
      <c r="U88" s="2702" t="s">
        <v>2634</v>
      </c>
      <c r="V88" s="2702" t="s">
        <v>2635</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2942</v>
      </c>
      <c r="B1" s="3052"/>
      <c r="C1" s="3052"/>
      <c r="D1" s="3052"/>
      <c r="E1" s="3052"/>
      <c r="F1" s="3052"/>
    </row>
    <row r="2" spans="1:6" ht="14.25">
      <c r="A2" s="3053" t="s">
        <v>2937</v>
      </c>
      <c r="B2" s="3054" t="e">
        <f ca="1">SUMIF(B7:B14,"&lt;&gt;#ref!",B7:B14)</f>
        <v>#DIV/0!</v>
      </c>
      <c r="C2" s="3053" t="s">
        <v>2938</v>
      </c>
      <c r="D2" s="3052"/>
      <c r="E2" s="3052"/>
      <c r="F2" s="3052"/>
    </row>
    <row r="3" spans="1:6" ht="14.25">
      <c r="A3" s="3053" t="s">
        <v>2970</v>
      </c>
      <c r="B3" s="3054" t="e">
        <f ca="1">ROUND(B2*10000/E3,0)</f>
        <v>#DIV/0!</v>
      </c>
      <c r="C3" s="3053" t="s">
        <v>2076</v>
      </c>
      <c r="D3" s="3053" t="s">
        <v>2939</v>
      </c>
      <c r="E3" s="3054">
        <f ca="1">SUMIF(E7:E14,"&lt;&gt;#ref!",E7:E14)</f>
        <v>0</v>
      </c>
      <c r="F3" s="3052"/>
    </row>
    <row r="4" spans="1:6" ht="14.25">
      <c r="A4" s="3053" t="s">
        <v>2946</v>
      </c>
      <c r="B4" s="3054" t="e">
        <f ca="1">ROUND(B2*10000/E4,0)</f>
        <v>#DIV/0!</v>
      </c>
      <c r="C4" s="3053" t="s">
        <v>2076</v>
      </c>
      <c r="D4" s="3053" t="s">
        <v>2947</v>
      </c>
      <c r="E4" s="3054">
        <f ca="1">SUMIF(F7:F14,"&lt;&gt;#ref!",F7:F14)</f>
        <v>0</v>
      </c>
      <c r="F4" s="3052"/>
    </row>
    <row r="5" spans="1:6" ht="14.25">
      <c r="A5" s="3055"/>
      <c r="B5" s="1863"/>
      <c r="C5" s="1863"/>
      <c r="D5" s="1863"/>
      <c r="E5" s="1863"/>
      <c r="F5" s="3052"/>
    </row>
    <row r="6" spans="1:6" ht="28.5">
      <c r="A6" s="3056" t="s">
        <v>2943</v>
      </c>
      <c r="B6" s="3053" t="s">
        <v>2940</v>
      </c>
      <c r="C6" s="3054"/>
      <c r="D6" s="1863"/>
      <c r="E6" s="3053" t="s">
        <v>2941</v>
      </c>
      <c r="F6" s="3053" t="s">
        <v>2945</v>
      </c>
    </row>
    <row r="7" spans="1:6" ht="14.25">
      <c r="A7" s="260" t="s">
        <v>2944</v>
      </c>
      <c r="B7" s="3057" t="e">
        <f ca="1">SUMIF(INDIRECT("'"&amp;A7&amp;"'"&amp;"!A:A"),"总价",INDIRECT("'"&amp;A7&amp;"'"&amp;"!B:B"))</f>
        <v>#DIV/0!</v>
      </c>
      <c r="C7" s="3053" t="s">
        <v>2938</v>
      </c>
      <c r="D7" s="1863"/>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2938</v>
      </c>
      <c r="D8" s="1863"/>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2938</v>
      </c>
      <c r="D9" s="1863"/>
      <c r="E9" s="3058" t="e">
        <f t="shared" ca="1" si="1"/>
        <v>#REF!</v>
      </c>
      <c r="F9" s="3058" t="e">
        <f t="shared" ca="1" si="2"/>
        <v>#REF!</v>
      </c>
    </row>
    <row r="10" spans="1:6" ht="14.25">
      <c r="A10" s="260"/>
      <c r="B10" s="3057" t="e">
        <f t="shared" ca="1" si="0"/>
        <v>#REF!</v>
      </c>
      <c r="C10" s="3053" t="s">
        <v>2938</v>
      </c>
      <c r="D10" s="1863"/>
      <c r="E10" s="3058" t="e">
        <f t="shared" ca="1" si="1"/>
        <v>#REF!</v>
      </c>
      <c r="F10" s="3058" t="e">
        <f t="shared" ca="1" si="2"/>
        <v>#REF!</v>
      </c>
    </row>
    <row r="11" spans="1:6" ht="14.25">
      <c r="A11" s="260"/>
      <c r="B11" s="3057" t="e">
        <f t="shared" ca="1" si="0"/>
        <v>#REF!</v>
      </c>
      <c r="C11" s="3053" t="s">
        <v>2938</v>
      </c>
      <c r="D11" s="1863"/>
      <c r="E11" s="3058" t="e">
        <f t="shared" ca="1" si="1"/>
        <v>#REF!</v>
      </c>
      <c r="F11" s="3058" t="e">
        <f t="shared" ca="1" si="2"/>
        <v>#REF!</v>
      </c>
    </row>
    <row r="12" spans="1:6" ht="14.25">
      <c r="A12" s="260"/>
      <c r="B12" s="3057" t="e">
        <f t="shared" ca="1" si="0"/>
        <v>#REF!</v>
      </c>
      <c r="C12" s="3053" t="s">
        <v>2938</v>
      </c>
      <c r="D12" s="1863"/>
      <c r="E12" s="3058" t="e">
        <f t="shared" ca="1" si="1"/>
        <v>#REF!</v>
      </c>
      <c r="F12" s="3058" t="e">
        <f t="shared" ca="1" si="2"/>
        <v>#REF!</v>
      </c>
    </row>
    <row r="13" spans="1:6" ht="14.25">
      <c r="A13" s="260"/>
      <c r="B13" s="3057" t="e">
        <f t="shared" ca="1" si="0"/>
        <v>#REF!</v>
      </c>
      <c r="C13" s="3053" t="s">
        <v>2938</v>
      </c>
      <c r="D13" s="1863"/>
      <c r="E13" s="3058" t="e">
        <f t="shared" ca="1" si="1"/>
        <v>#REF!</v>
      </c>
      <c r="F13" s="3058" t="e">
        <f t="shared" ca="1" si="2"/>
        <v>#REF!</v>
      </c>
    </row>
    <row r="14" spans="1:6" ht="14.25">
      <c r="A14" s="3051"/>
      <c r="B14" s="3057" t="e">
        <f t="shared" ca="1" si="0"/>
        <v>#REF!</v>
      </c>
      <c r="C14" s="3053" t="s">
        <v>2938</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8" t="s">
        <v>2371</v>
      </c>
      <c r="F1" s="2349">
        <f ca="1">J54</f>
        <v>-3</v>
      </c>
      <c r="G1" s="774">
        <f>MATCH(C1,'数据-取费表'!A6:A16,0)+5</f>
        <v>10</v>
      </c>
      <c r="H1" s="1345"/>
      <c r="I1" s="2033"/>
      <c r="J1" s="2033"/>
      <c r="K1" s="2034"/>
      <c r="L1" s="2033"/>
      <c r="M1" s="2033"/>
      <c r="N1" s="2035"/>
      <c r="O1" s="2035"/>
      <c r="P1" s="2035"/>
      <c r="Q1" s="2035"/>
      <c r="R1" s="2035"/>
      <c r="S1" s="2035"/>
      <c r="T1" s="2035"/>
      <c r="U1" s="2035"/>
      <c r="V1" s="2035"/>
      <c r="W1" s="2035"/>
      <c r="X1" s="2035"/>
      <c r="Y1" s="2035"/>
    </row>
    <row r="2" spans="1:25" ht="18" customHeight="1">
      <c r="A2" s="1626" t="s">
        <v>629</v>
      </c>
      <c r="B2" s="775">
        <f ca="1">IF(ISERROR(C45+J31),0,C45+J31)</f>
        <v>0</v>
      </c>
      <c r="C2" s="1346"/>
      <c r="D2" s="2037"/>
      <c r="E2" s="2038"/>
      <c r="F2" s="2038"/>
      <c r="G2" s="1573"/>
      <c r="H2" s="1358"/>
      <c r="I2" s="2039"/>
      <c r="J2" s="2039"/>
      <c r="K2" s="2040"/>
      <c r="L2" s="2039"/>
      <c r="M2" s="2039"/>
    </row>
    <row r="3" spans="1:25" ht="18" customHeight="1">
      <c r="A3" s="1627" t="s">
        <v>1686</v>
      </c>
      <c r="B3" s="1385">
        <f ca="1">ROUND(B2*10000/'数据-汇总表'!E3,0)</f>
        <v>0</v>
      </c>
      <c r="C3" s="1346"/>
      <c r="D3" s="2037"/>
      <c r="E3" s="2038"/>
      <c r="F3" s="2038"/>
      <c r="G3" s="1573"/>
      <c r="H3" s="776" t="s">
        <v>695</v>
      </c>
      <c r="I3" s="2039"/>
      <c r="J3" s="2039"/>
      <c r="K3" s="2040"/>
      <c r="L3" s="2039"/>
      <c r="M3" s="2039"/>
    </row>
    <row r="4" spans="1:25" ht="18" customHeight="1">
      <c r="A4" s="1628" t="s">
        <v>696</v>
      </c>
      <c r="B4" s="1347">
        <f ca="1">ROUND(B2*10000/'数据-汇总表'!D3,0)</f>
        <v>0</v>
      </c>
      <c r="C4" s="428"/>
      <c r="D4" s="2037"/>
      <c r="E4" s="2038"/>
      <c r="F4" s="2038"/>
      <c r="G4" s="1573"/>
      <c r="H4" s="776"/>
      <c r="I4" s="2039"/>
      <c r="J4" s="2039"/>
      <c r="K4" s="2040"/>
      <c r="L4" s="2039"/>
      <c r="M4" s="2039"/>
    </row>
    <row r="5" spans="1:25" ht="18" customHeight="1" thickBot="1">
      <c r="A5" s="1629"/>
      <c r="B5" s="430">
        <f ca="1">ROUND(B2/('数据-汇总表'!D3/666.67),0)</f>
        <v>0</v>
      </c>
      <c r="C5" s="431" t="s">
        <v>697</v>
      </c>
      <c r="D5" s="2037"/>
      <c r="E5" s="2038"/>
      <c r="F5" s="2038"/>
      <c r="G5" s="1573"/>
      <c r="H5" s="776"/>
      <c r="I5" s="2039"/>
      <c r="J5" s="2039"/>
      <c r="K5" s="2040"/>
      <c r="L5" s="2039"/>
      <c r="M5" s="2039"/>
    </row>
    <row r="6" spans="1:25" ht="18" customHeight="1">
      <c r="A6" s="1810" t="s">
        <v>698</v>
      </c>
      <c r="B6" s="1802" t="s">
        <v>699</v>
      </c>
      <c r="C6" s="1802" t="s">
        <v>632</v>
      </c>
      <c r="D6" s="1802" t="s">
        <v>633</v>
      </c>
      <c r="E6" s="779" t="s">
        <v>634</v>
      </c>
      <c r="F6" s="780"/>
      <c r="G6" s="1575"/>
      <c r="H6" s="1810" t="s">
        <v>630</v>
      </c>
      <c r="I6" s="1802" t="s">
        <v>631</v>
      </c>
      <c r="J6" s="1802" t="s">
        <v>632</v>
      </c>
      <c r="K6" s="1802" t="s">
        <v>633</v>
      </c>
      <c r="L6" s="779" t="s">
        <v>634</v>
      </c>
      <c r="M6" s="780"/>
    </row>
    <row r="7" spans="1:25" ht="18" customHeight="1">
      <c r="A7" s="781">
        <v>1</v>
      </c>
      <c r="B7" s="782" t="s">
        <v>2455</v>
      </c>
      <c r="C7" s="53">
        <f ca="1">C8+C12+C14</f>
        <v>0</v>
      </c>
      <c r="D7" s="2457" t="s">
        <v>2458</v>
      </c>
      <c r="E7" s="2451"/>
      <c r="F7" s="2452"/>
      <c r="G7" s="1575"/>
      <c r="H7" s="781">
        <v>1</v>
      </c>
      <c r="I7" s="782" t="s">
        <v>2455</v>
      </c>
      <c r="J7" s="53">
        <f ca="1">J8+J12+J14</f>
        <v>0</v>
      </c>
      <c r="K7" s="2457" t="s">
        <v>2458</v>
      </c>
      <c r="L7" s="2451"/>
      <c r="M7" s="2452"/>
    </row>
    <row r="8" spans="1:25" ht="18" customHeight="1">
      <c r="A8" s="1812" t="s">
        <v>1824</v>
      </c>
      <c r="B8" s="3647" t="s">
        <v>2460</v>
      </c>
      <c r="C8" s="1807">
        <f ca="1">ROUND(F8*F10*F9*(1-F11)/10000,0)</f>
        <v>0</v>
      </c>
      <c r="D8" s="1804" t="s">
        <v>2531</v>
      </c>
      <c r="E8" s="61" t="s">
        <v>637</v>
      </c>
      <c r="F8" s="785">
        <f ca="1">INDIRECT("'数据-取费表'!u"&amp;$G$1)</f>
        <v>0</v>
      </c>
      <c r="G8" s="1575"/>
      <c r="H8" s="2465" t="s">
        <v>1824</v>
      </c>
      <c r="I8" s="3647" t="s">
        <v>2460</v>
      </c>
      <c r="J8" s="783">
        <f ca="1">ROUND(M8*M10*M9*(1-M11)/10000,0)</f>
        <v>0</v>
      </c>
      <c r="K8" s="341" t="s">
        <v>2531</v>
      </c>
      <c r="L8" s="784" t="s">
        <v>1738</v>
      </c>
      <c r="M8" s="785">
        <f ca="1">INDIRECT("'数据-取费表'!z"&amp;$G$1)</f>
        <v>0</v>
      </c>
    </row>
    <row r="9" spans="1:25" ht="18" customHeight="1">
      <c r="A9" s="2461"/>
      <c r="B9" s="3648"/>
      <c r="C9" s="1808"/>
      <c r="D9" s="1805"/>
      <c r="E9" s="61" t="s">
        <v>638</v>
      </c>
      <c r="F9" s="785">
        <f ca="1">IF(INDIRECT("'数据-取费表'!ah"&amp;$G$1)="",INDIRECT("'数据-取费表'!k"&amp;$G$1),INDIRECT("'数据-取费表'!ah"&amp;$G$1))</f>
        <v>0</v>
      </c>
      <c r="G9" s="1575"/>
      <c r="H9" s="2450"/>
      <c r="I9" s="3648"/>
      <c r="J9" s="788"/>
      <c r="K9" s="789"/>
      <c r="L9" s="784" t="s">
        <v>1739</v>
      </c>
      <c r="M9" s="785">
        <f ca="1">F9</f>
        <v>0</v>
      </c>
    </row>
    <row r="10" spans="1:25" ht="18" customHeight="1">
      <c r="A10" s="2454"/>
      <c r="B10" s="3649"/>
      <c r="C10" s="1808"/>
      <c r="D10" s="1805"/>
      <c r="E10" s="61" t="s">
        <v>639</v>
      </c>
      <c r="F10" s="785">
        <f ca="1">INDIRECT("'数据-取费表'!ai"&amp;$G$1)</f>
        <v>0</v>
      </c>
      <c r="G10" s="1575"/>
      <c r="H10" s="2450"/>
      <c r="I10" s="3649"/>
      <c r="J10" s="788"/>
      <c r="K10" s="789"/>
      <c r="L10" s="784" t="s">
        <v>1740</v>
      </c>
      <c r="M10" s="785">
        <f ca="1">INDIRECT("'数据-取费表'!ai"&amp;$G$1)</f>
        <v>0</v>
      </c>
    </row>
    <row r="11" spans="1:25" ht="18" customHeight="1">
      <c r="A11" s="786"/>
      <c r="B11" s="3650"/>
      <c r="C11" s="1808"/>
      <c r="D11" s="1805"/>
      <c r="E11" s="61" t="s">
        <v>640</v>
      </c>
      <c r="F11" s="794">
        <f ca="1">INDIRECT("'数据-取费表'!w"&amp;$G$1)</f>
        <v>0</v>
      </c>
      <c r="G11" s="1575"/>
      <c r="H11" s="2466"/>
      <c r="I11" s="3649"/>
      <c r="J11" s="788"/>
      <c r="K11" s="789"/>
      <c r="L11" s="795" t="s">
        <v>1741</v>
      </c>
      <c r="M11" s="796">
        <f ca="1">INDIRECT("'数据-取费表'!ab"&amp;$G$1)</f>
        <v>0</v>
      </c>
    </row>
    <row r="12" spans="1:25" ht="18" customHeight="1">
      <c r="A12" s="1812" t="s">
        <v>1825</v>
      </c>
      <c r="B12" s="2455" t="s">
        <v>2456</v>
      </c>
      <c r="C12" s="799">
        <f ca="1">ROUND(IF(F12="押一",C8/12*F13,IF(F12="押二",C8/12*2*F13,IF(F12="押三",C8/12*3*F13,C13*F13))),0)</f>
        <v>0</v>
      </c>
      <c r="D12" s="2462" t="s">
        <v>2967</v>
      </c>
      <c r="E12" s="2459" t="s">
        <v>2461</v>
      </c>
      <c r="F12" s="2582"/>
      <c r="G12" s="1575"/>
      <c r="H12" s="2522" t="s">
        <v>1825</v>
      </c>
      <c r="I12" s="2527" t="s">
        <v>2456</v>
      </c>
      <c r="J12" s="783">
        <f ca="1">ROUND(IF(M12="押一",J8/12*M13,IF(M12="押二",J8/12*2*M13,IF(M12="押三",J8/12*3*M13,J13*M13))),0)</f>
        <v>0</v>
      </c>
      <c r="K12" s="2462" t="s">
        <v>2967</v>
      </c>
      <c r="L12" s="2459" t="s">
        <v>2461</v>
      </c>
      <c r="M12" s="2582"/>
    </row>
    <row r="13" spans="1:25" ht="18" customHeight="1">
      <c r="A13" s="790"/>
      <c r="B13" s="2456" t="s">
        <v>2570</v>
      </c>
      <c r="C13" s="2460"/>
      <c r="D13" s="789"/>
      <c r="E13" s="2459" t="s">
        <v>2453</v>
      </c>
      <c r="F13" s="796">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1874</v>
      </c>
      <c r="B15" s="1809" t="s">
        <v>641</v>
      </c>
      <c r="C15" s="792">
        <f ca="1">ROUND(C31*F15,0)</f>
        <v>0</v>
      </c>
      <c r="D15" s="1816" t="s">
        <v>642</v>
      </c>
      <c r="E15" s="795" t="s">
        <v>643</v>
      </c>
      <c r="F15" s="800">
        <f ca="1">INDIRECT("'数据-取费表'!y"&amp;$G$1)</f>
        <v>0</v>
      </c>
      <c r="G15" s="1575"/>
      <c r="H15" s="1811" t="s">
        <v>1826</v>
      </c>
      <c r="I15" s="1809" t="s">
        <v>644</v>
      </c>
      <c r="J15" s="1801">
        <f ca="1">ROUND(J16*J17,0)</f>
        <v>0</v>
      </c>
      <c r="K15" s="1803" t="s">
        <v>642</v>
      </c>
      <c r="L15" s="801"/>
      <c r="M15" s="802"/>
    </row>
    <row r="16" spans="1:25" ht="18" customHeight="1">
      <c r="A16" s="803" t="s">
        <v>1875</v>
      </c>
      <c r="B16" s="784" t="s">
        <v>645</v>
      </c>
      <c r="C16" s="804">
        <f ca="1">INDIRECT("'数据-取费表'!m"&amp;$G$1)+INDIRECT("'数据-取费表'!t"&amp;$G$1)</f>
        <v>0</v>
      </c>
      <c r="D16" s="1961" t="s">
        <v>646</v>
      </c>
      <c r="E16" s="1962"/>
      <c r="F16" s="805"/>
      <c r="G16" s="1575"/>
      <c r="H16" s="803" t="s">
        <v>2067</v>
      </c>
      <c r="I16" s="2213" t="s">
        <v>2821</v>
      </c>
      <c r="J16" s="53">
        <f ca="1">C31</f>
        <v>0</v>
      </c>
      <c r="K16" s="26"/>
      <c r="L16" s="801"/>
      <c r="M16" s="802"/>
    </row>
    <row r="17" spans="1:25" s="2046" customFormat="1" ht="18" customHeight="1">
      <c r="A17" s="803" t="s">
        <v>1849</v>
      </c>
      <c r="B17" s="784" t="s">
        <v>647</v>
      </c>
      <c r="C17" s="53">
        <f ca="1">ROUND(C16*F17,0)</f>
        <v>0</v>
      </c>
      <c r="D17" s="806" t="s">
        <v>648</v>
      </c>
      <c r="E17" s="806" t="s">
        <v>649</v>
      </c>
      <c r="F17" s="807">
        <f>'数据-取费表'!B33</f>
        <v>0.05</v>
      </c>
      <c r="G17" s="1576"/>
      <c r="H17" s="803" t="s">
        <v>2068</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5"/>
      <c r="H18" s="797" t="s">
        <v>1827</v>
      </c>
      <c r="I18" s="798" t="s">
        <v>651</v>
      </c>
      <c r="J18" s="799">
        <f ca="1">ROUND(J19+J24+J25+J26,0)</f>
        <v>0</v>
      </c>
      <c r="K18" s="26" t="s">
        <v>652</v>
      </c>
      <c r="L18" s="1964"/>
      <c r="M18" s="56"/>
    </row>
    <row r="19" spans="1:25" s="2046" customFormat="1" ht="18" customHeight="1">
      <c r="A19" s="803" t="s">
        <v>1851</v>
      </c>
      <c r="B19" s="784" t="s">
        <v>653</v>
      </c>
      <c r="C19" s="53">
        <f ca="1">ROUND(F19*(INDIRECT("'数据-取费表'!k"&amp;$G$1)+INDIRECT("'数据-取费表'!S"&amp;$G$1))/10000,0)</f>
        <v>0</v>
      </c>
      <c r="D19" s="784" t="s">
        <v>654</v>
      </c>
      <c r="E19" s="784" t="s">
        <v>655</v>
      </c>
      <c r="F19" s="56">
        <f>'数据-取费表'!B35</f>
        <v>150</v>
      </c>
      <c r="G19" s="1576"/>
      <c r="H19" s="803" t="s">
        <v>2067</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1852</v>
      </c>
      <c r="B20" s="784" t="s">
        <v>659</v>
      </c>
      <c r="C20" s="53">
        <f ca="1">ROUND(C16*F20,0)</f>
        <v>0</v>
      </c>
      <c r="D20" s="784" t="s">
        <v>648</v>
      </c>
      <c r="E20" s="784" t="s">
        <v>649</v>
      </c>
      <c r="F20" s="809">
        <f>'数据-取费表'!B36</f>
        <v>1.4999999999999999E-2</v>
      </c>
      <c r="G20" s="1576"/>
      <c r="H20" s="803" t="s">
        <v>1831</v>
      </c>
      <c r="I20" s="784" t="s">
        <v>660</v>
      </c>
      <c r="J20" s="53">
        <f ca="1">ROUND(J7*M20/1.05,1)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1876</v>
      </c>
      <c r="B21" s="784" t="s">
        <v>662</v>
      </c>
      <c r="C21" s="53">
        <f ca="1">SUM(C16:C20)</f>
        <v>0</v>
      </c>
      <c r="D21" s="261" t="s">
        <v>663</v>
      </c>
      <c r="E21" s="1964"/>
      <c r="F21" s="56"/>
      <c r="G21" s="1575"/>
      <c r="H21" s="1812" t="s">
        <v>1849</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1877</v>
      </c>
      <c r="B22" s="784" t="s">
        <v>666</v>
      </c>
      <c r="C22" s="53">
        <f ca="1">ROUND(C21*F22,0)</f>
        <v>0</v>
      </c>
      <c r="D22" s="812" t="s">
        <v>667</v>
      </c>
      <c r="E22" s="784" t="s">
        <v>649</v>
      </c>
      <c r="F22" s="809">
        <f>'数据-取费表'!B37</f>
        <v>0.03</v>
      </c>
      <c r="G22" s="1576"/>
      <c r="H22" s="1814" t="s">
        <v>1850</v>
      </c>
      <c r="I22" s="1804" t="s">
        <v>668</v>
      </c>
      <c r="J22" s="54">
        <f ca="1">ROUND(M22*M23/10000,0)</f>
        <v>0</v>
      </c>
      <c r="K22" s="814" t="s">
        <v>669</v>
      </c>
      <c r="L22" s="784" t="s">
        <v>670</v>
      </c>
      <c r="M22" s="640">
        <f>'数据-取费表'!B52</f>
        <v>3</v>
      </c>
      <c r="N22" s="2045"/>
      <c r="O22" s="2045"/>
      <c r="P22" s="2045"/>
      <c r="Q22" s="2045"/>
      <c r="R22" s="2045"/>
      <c r="S22" s="2045"/>
      <c r="T22" s="2045"/>
      <c r="U22" s="2045"/>
      <c r="V22" s="2045"/>
      <c r="W22" s="2045"/>
      <c r="X22" s="2045"/>
      <c r="Y22" s="2045"/>
    </row>
    <row r="23" spans="1:25" s="2046" customFormat="1" ht="18" customHeight="1">
      <c r="A23" s="803" t="s">
        <v>1878</v>
      </c>
      <c r="B23" s="784" t="s">
        <v>671</v>
      </c>
      <c r="C23" s="53" t="s">
        <v>1</v>
      </c>
      <c r="D23" s="812" t="s">
        <v>672</v>
      </c>
      <c r="E23" s="784" t="s">
        <v>673</v>
      </c>
      <c r="F23" s="809">
        <f>'数据-取费表'!B38</f>
        <v>0.03</v>
      </c>
      <c r="G23" s="1576"/>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1879</v>
      </c>
      <c r="B24" s="784" t="s">
        <v>675</v>
      </c>
      <c r="C24" s="53"/>
      <c r="D24" s="2533" t="str">
        <f>IF(F25&lt;=1,"单利计息。","复利计息。")&amp;"建造成本、管理费用、销售费用产生的利息。"</f>
        <v>复利计息。建造成本、管理费用、销售费用产生的利息。</v>
      </c>
      <c r="E24" s="1964"/>
      <c r="F24" s="56"/>
      <c r="G24" s="1575"/>
      <c r="H24" s="1813" t="s">
        <v>2068</v>
      </c>
      <c r="I24" s="784" t="s">
        <v>676</v>
      </c>
      <c r="J24" s="53">
        <f ca="1">ROUND(J16*M24,0)</f>
        <v>0</v>
      </c>
      <c r="K24" s="1959" t="s">
        <v>677</v>
      </c>
      <c r="L24" s="784" t="s">
        <v>649</v>
      </c>
      <c r="M24" s="817">
        <f ca="1">INDIRECT("'数据-取费表'!Ak"&amp;$G$1)</f>
        <v>0</v>
      </c>
    </row>
    <row r="25" spans="1:25" s="2046" customFormat="1" ht="18" customHeight="1">
      <c r="A25" s="803" t="s">
        <v>1875</v>
      </c>
      <c r="B25" s="784" t="s">
        <v>2434</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3</v>
      </c>
      <c r="G25" s="1576"/>
      <c r="H25" s="803" t="s">
        <v>1878</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1849</v>
      </c>
      <c r="B26" s="784" t="s">
        <v>681</v>
      </c>
      <c r="C26" s="53">
        <f ca="1">ROUND(IF('数据-取费表'!B22&lt;=1,F23*F26*F25/2,F23*(POWER((1+F26),F25/2)-1)),4)</f>
        <v>2.2000000000000001E-3</v>
      </c>
      <c r="D26" s="2532" t="str">
        <f>IF(F25&lt;=1,"销售费用×利率×(建设周期÷2)","销售费用×((1+利率)^(建设周期÷2)-1)")</f>
        <v>销售费用×((1+利率)^(建设周期÷2)-1)</v>
      </c>
      <c r="E26" s="784" t="s">
        <v>682</v>
      </c>
      <c r="F26" s="819">
        <f ca="1">'数据-取费表'!B40</f>
        <v>4.7500000000000001E-2</v>
      </c>
      <c r="G26" s="1576"/>
      <c r="H26" s="803" t="s">
        <v>1879</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1881</v>
      </c>
      <c r="B27" s="784" t="s">
        <v>684</v>
      </c>
      <c r="C27" s="53"/>
      <c r="D27" s="261" t="s">
        <v>685</v>
      </c>
      <c r="E27" s="1964"/>
      <c r="F27" s="56"/>
      <c r="G27" s="1575"/>
      <c r="H27" s="797" t="s">
        <v>1828</v>
      </c>
      <c r="I27" s="2960" t="s">
        <v>2818</v>
      </c>
      <c r="J27" s="799">
        <f ca="1">J7-J18</f>
        <v>0</v>
      </c>
      <c r="K27" s="1961" t="s">
        <v>700</v>
      </c>
      <c r="L27" s="1963"/>
      <c r="M27" s="820"/>
    </row>
    <row r="28" spans="1:25" ht="18" customHeight="1">
      <c r="A28" s="803" t="s">
        <v>1875</v>
      </c>
      <c r="B28" s="784" t="s">
        <v>2435</v>
      </c>
      <c r="C28" s="53">
        <f ca="1">ROUND((C21+C22)*F28,0)</f>
        <v>0</v>
      </c>
      <c r="D28" s="812" t="s">
        <v>701</v>
      </c>
      <c r="E28" s="795" t="s">
        <v>702</v>
      </c>
      <c r="F28" s="794">
        <f ca="1">INDIRECT("'数据-取费表'!q"&amp;$G$1)</f>
        <v>0</v>
      </c>
      <c r="G28" s="1575"/>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5"/>
      <c r="H29" s="786"/>
      <c r="I29" s="787"/>
      <c r="J29" s="788"/>
      <c r="K29" s="821" t="s">
        <v>707</v>
      </c>
      <c r="L29" s="784" t="s">
        <v>708</v>
      </c>
      <c r="M29" s="822">
        <f ca="1">INDIRECT("'数据-取费表'!ag"&amp;$G$1)</f>
        <v>0</v>
      </c>
    </row>
    <row r="30" spans="1:25" s="2046" customFormat="1" ht="18" customHeight="1">
      <c r="A30" s="803" t="s">
        <v>1882</v>
      </c>
      <c r="B30" s="784" t="s">
        <v>687</v>
      </c>
      <c r="C30" s="53">
        <f>ROUND(F30/(1+'数据-取费表'!C42),4)</f>
        <v>5.2400000000000002E-2</v>
      </c>
      <c r="D30" s="812" t="s">
        <v>709</v>
      </c>
      <c r="E30" s="784" t="s">
        <v>649</v>
      </c>
      <c r="F30" s="809">
        <f>'数据-取费表'!B41</f>
        <v>5.5000000000000007E-2</v>
      </c>
      <c r="G30" s="1576"/>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6"/>
      <c r="H31" s="823" t="s">
        <v>1872</v>
      </c>
      <c r="I31" s="2961" t="s">
        <v>2820</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8"/>
      <c r="F32" s="2452"/>
      <c r="G32" s="2044"/>
      <c r="H32" s="2047"/>
      <c r="I32" s="2048"/>
      <c r="J32" s="2049"/>
      <c r="K32" s="2050"/>
      <c r="L32" s="2051"/>
      <c r="M32" s="2052"/>
    </row>
    <row r="33" spans="1:18" ht="18" customHeight="1">
      <c r="A33" s="803" t="s">
        <v>1876</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1875</v>
      </c>
      <c r="B34" s="784" t="s">
        <v>660</v>
      </c>
      <c r="C34" s="53">
        <f ca="1">ROUND(C7*F34/1.05,1)</f>
        <v>0</v>
      </c>
      <c r="D34" s="1959" t="s">
        <v>661</v>
      </c>
      <c r="E34" s="784" t="s">
        <v>649</v>
      </c>
      <c r="F34" s="809">
        <f>'数据-取费表'!B41</f>
        <v>5.5000000000000007E-2</v>
      </c>
      <c r="G34" s="2044"/>
      <c r="H34" s="2053"/>
      <c r="I34" s="2054"/>
      <c r="J34" s="2055"/>
      <c r="K34" s="2056"/>
      <c r="L34" s="2057"/>
      <c r="M34" s="205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4"/>
      <c r="H35" s="2059"/>
      <c r="I35" s="2059"/>
      <c r="J35" s="2059"/>
      <c r="K35" s="2060"/>
      <c r="L35" s="2059"/>
      <c r="M35" s="2059"/>
    </row>
    <row r="36" spans="1:18" ht="18" customHeight="1">
      <c r="A36" s="813" t="s">
        <v>1880</v>
      </c>
      <c r="B36" s="341" t="s">
        <v>668</v>
      </c>
      <c r="C36" s="54">
        <f ca="1">ROUND(F36*F37/10000,1)</f>
        <v>0</v>
      </c>
      <c r="D36" s="814" t="s">
        <v>669</v>
      </c>
      <c r="E36" s="784" t="s">
        <v>670</v>
      </c>
      <c r="F36" s="640">
        <f>'数据-取费表'!B52</f>
        <v>3</v>
      </c>
      <c r="G36" s="2044"/>
      <c r="H36" s="2047"/>
      <c r="I36" s="3646"/>
      <c r="J36" s="2061"/>
      <c r="K36" s="2062"/>
      <c r="L36" s="2061"/>
      <c r="M36" s="2061"/>
    </row>
    <row r="37" spans="1:18" ht="18" customHeight="1">
      <c r="A37" s="815"/>
      <c r="B37" s="793"/>
      <c r="C37" s="69"/>
      <c r="D37" s="816"/>
      <c r="E37" s="784" t="s">
        <v>674</v>
      </c>
      <c r="F37" s="785">
        <f ca="1">INDIRECT("'数据-取费表'!r"&amp;$G$1)</f>
        <v>0</v>
      </c>
      <c r="G37" s="2044"/>
      <c r="H37" s="2047"/>
      <c r="I37" s="3646"/>
      <c r="J37" s="2059"/>
      <c r="K37" s="2060"/>
      <c r="L37" s="2059"/>
      <c r="M37" s="2059"/>
    </row>
    <row r="38" spans="1:18" ht="18" customHeight="1">
      <c r="A38" s="803" t="s">
        <v>1877</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1878</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1876</v>
      </c>
      <c r="B42" s="835" t="s">
        <v>693</v>
      </c>
      <c r="C42" s="829">
        <f ca="1">C7-C32</f>
        <v>0</v>
      </c>
      <c r="D42" s="1961" t="s">
        <v>694</v>
      </c>
      <c r="E42" s="1963"/>
      <c r="F42" s="820"/>
      <c r="G42" s="2044"/>
      <c r="H42" s="2044"/>
      <c r="I42" s="2044"/>
      <c r="J42" s="2044"/>
      <c r="K42" s="2065"/>
      <c r="L42" s="2044"/>
      <c r="M42" s="2044"/>
    </row>
    <row r="43" spans="1:18" ht="18" customHeight="1">
      <c r="A43" s="803" t="s">
        <v>1877</v>
      </c>
      <c r="B43" s="835" t="s">
        <v>711</v>
      </c>
      <c r="C43" s="836">
        <f ca="1">ROUND(C15*F43,0)</f>
        <v>0</v>
      </c>
      <c r="D43" s="1351" t="s">
        <v>712</v>
      </c>
      <c r="E43" s="3069" t="s">
        <v>2955</v>
      </c>
      <c r="F43" s="3070">
        <f ca="1">INDIRECT("'数据-取费表'!j"&amp;$G$1)</f>
        <v>0</v>
      </c>
      <c r="G43" s="2044"/>
      <c r="H43" s="2044"/>
      <c r="I43" s="2044"/>
      <c r="J43" s="2044"/>
      <c r="K43" s="2065"/>
      <c r="L43" s="2044"/>
      <c r="M43" s="2044"/>
    </row>
    <row r="44" spans="1:18" ht="18" customHeight="1">
      <c r="A44" s="803" t="s">
        <v>1878</v>
      </c>
      <c r="B44" s="835" t="s">
        <v>713</v>
      </c>
      <c r="C44" s="1352">
        <f ca="1">C42-C43</f>
        <v>0</v>
      </c>
      <c r="D44" s="463" t="s">
        <v>714</v>
      </c>
      <c r="E44" s="464"/>
      <c r="F44" s="465"/>
      <c r="G44" s="2044"/>
      <c r="H44" s="2044"/>
      <c r="I44" s="2044"/>
      <c r="J44" s="2044"/>
      <c r="K44" s="2065"/>
      <c r="L44" s="2044"/>
      <c r="M44" s="2044"/>
    </row>
    <row r="45" spans="1:18" ht="18" customHeight="1">
      <c r="A45" s="803" t="s">
        <v>1879</v>
      </c>
      <c r="B45" s="1351" t="s">
        <v>715</v>
      </c>
      <c r="C45" s="2986">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71" t="s">
        <v>2958</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2971</v>
      </c>
      <c r="J54" s="3100">
        <f ca="1">IF(M48="住宅",MAX(J52,L49-'数据-取费表'!B20),MIN(J52,L49-'数据-取费表'!B20))</f>
        <v>-3</v>
      </c>
      <c r="K54" s="3651"/>
      <c r="L54" s="3652"/>
      <c r="O54" s="2362" t="s">
        <v>2385</v>
      </c>
      <c r="P54" s="2360" t="s">
        <v>2386</v>
      </c>
      <c r="Q54" s="2361">
        <f ca="1">J54</f>
        <v>-3</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5"/>
      <c r="Q56" s="1586"/>
      <c r="R56" s="1575"/>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2936</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6">
        <v>0</v>
      </c>
      <c r="O65" s="2365" t="s">
        <v>2412</v>
      </c>
      <c r="P65" s="1575"/>
      <c r="Q65" s="1586"/>
      <c r="R65" s="1575"/>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廊坊国瑞房地产开发有限公司：</v>
      </c>
    </row>
    <row r="4" spans="1:4" ht="37.5">
      <c r="A4" s="1773"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7" spans="1:4" ht="56.25">
      <c r="A7" s="1777" t="s">
        <v>2743</v>
      </c>
    </row>
    <row r="8" spans="1:4" ht="18.75">
      <c r="A8" s="1776" t="s">
        <v>1906</v>
      </c>
    </row>
    <row r="9" spans="1:4" ht="56.25">
      <c r="A9" s="1778"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2019年10月25日</v>
      </c>
    </row>
    <row r="12" spans="1:4" ht="18.75">
      <c r="A12" s="1779" t="s">
        <v>2023</v>
      </c>
    </row>
    <row r="13" spans="1:4" ht="18.75">
      <c r="A13" s="1773" t="s">
        <v>2935</v>
      </c>
    </row>
    <row r="14" spans="1:4" ht="37.5">
      <c r="A14" s="1773" t="str">
        <f>"根据"&amp;项目基本情况!F12&amp;"，本次评估估价对象证载（地类）用途为"&amp;项目基本情况!B12&amp;"。"</f>
        <v>根据《国有土地使用证》[永国用（2011）第018号]等8套，本次评估估价对象证载（地类）用途为城镇住宅用地。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根据《国有土地使用证》[]，估价对象（分摊）出让国有建设用地使用权面积为350568.67平方米。根据《建设工程规划许可证》[]、《出让合同》[]，估价对象规划建筑面积为790993.2平方米。</v>
      </c>
    </row>
    <row r="21" spans="1:1" ht="18.75">
      <c r="A21" s="1773" t="s">
        <v>2072</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23" spans="1:1" ht="37.5">
      <c r="A23" s="1773" t="str">
        <f>IF(项目基本情况!B16="出让","本次评估设定估价对象剩余土地使用年限为"&amp;项目基本情况!D20&amp;"。","")</f>
        <v>本次评估设定估价对象剩余土地使用年限为住宅61.54年、地下车库41.53年。</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9" t="s">
        <v>2468</v>
      </c>
      <c r="B1" s="3670"/>
      <c r="C1" s="3671"/>
      <c r="D1" s="3672">
        <f>SUM(I10,I15,I20,I21,I23)</f>
        <v>0</v>
      </c>
      <c r="E1" s="3672"/>
      <c r="F1" s="3672"/>
      <c r="G1" s="3672"/>
      <c r="H1" s="3672"/>
      <c r="I1" s="3673"/>
    </row>
    <row r="2" spans="1:9">
      <c r="A2" s="3659" t="s">
        <v>2469</v>
      </c>
      <c r="B2" s="3660" t="s">
        <v>2470</v>
      </c>
      <c r="C2" s="3660"/>
      <c r="D2" s="2468" t="s">
        <v>2471</v>
      </c>
      <c r="E2" s="2468" t="s">
        <v>2472</v>
      </c>
      <c r="F2" s="2468" t="s">
        <v>2473</v>
      </c>
      <c r="G2" s="2468" t="s">
        <v>2474</v>
      </c>
      <c r="H2" s="2468" t="s">
        <v>2475</v>
      </c>
      <c r="I2" s="2469" t="s">
        <v>2476</v>
      </c>
    </row>
    <row r="3" spans="1:9">
      <c r="A3" s="3659"/>
      <c r="B3" s="3660" t="s">
        <v>2477</v>
      </c>
      <c r="C3" s="3660"/>
      <c r="D3" s="2470"/>
      <c r="E3" s="2468"/>
      <c r="F3" s="2471"/>
      <c r="G3" s="2471"/>
      <c r="H3" s="2472"/>
      <c r="I3" s="2473">
        <f>ROUND(D3*E3*F3*G3*H3/10000,0)</f>
        <v>0</v>
      </c>
    </row>
    <row r="4" spans="1:9">
      <c r="A4" s="3659"/>
      <c r="B4" s="3660" t="s">
        <v>2478</v>
      </c>
      <c r="C4" s="3660"/>
      <c r="D4" s="2470"/>
      <c r="E4" s="2468"/>
      <c r="F4" s="2471"/>
      <c r="G4" s="2471"/>
      <c r="H4" s="2472"/>
      <c r="I4" s="2473">
        <f t="shared" ref="I4:I9" si="0">ROUND(D4*E4*F4*G4*H4/10000,0)</f>
        <v>0</v>
      </c>
    </row>
    <row r="5" spans="1:9">
      <c r="A5" s="3659"/>
      <c r="B5" s="3660" t="s">
        <v>2479</v>
      </c>
      <c r="C5" s="3660"/>
      <c r="D5" s="2470"/>
      <c r="E5" s="2468"/>
      <c r="F5" s="2471"/>
      <c r="G5" s="2471"/>
      <c r="H5" s="2472"/>
      <c r="I5" s="2473">
        <f t="shared" si="0"/>
        <v>0</v>
      </c>
    </row>
    <row r="6" spans="1:9">
      <c r="A6" s="3659"/>
      <c r="B6" s="3660" t="s">
        <v>2480</v>
      </c>
      <c r="C6" s="3660"/>
      <c r="D6" s="2470"/>
      <c r="E6" s="2468"/>
      <c r="F6" s="2471"/>
      <c r="G6" s="2471"/>
      <c r="H6" s="2472"/>
      <c r="I6" s="2473">
        <f t="shared" si="0"/>
        <v>0</v>
      </c>
    </row>
    <row r="7" spans="1:9">
      <c r="A7" s="3659"/>
      <c r="B7" s="3660" t="s">
        <v>2481</v>
      </c>
      <c r="C7" s="3660"/>
      <c r="D7" s="2470"/>
      <c r="E7" s="2468"/>
      <c r="F7" s="2471"/>
      <c r="G7" s="2471"/>
      <c r="H7" s="2472"/>
      <c r="I7" s="2473">
        <f t="shared" si="0"/>
        <v>0</v>
      </c>
    </row>
    <row r="8" spans="1:9">
      <c r="A8" s="3659"/>
      <c r="B8" s="3660" t="s">
        <v>2482</v>
      </c>
      <c r="C8" s="3660"/>
      <c r="D8" s="2470"/>
      <c r="E8" s="2468"/>
      <c r="F8" s="2471"/>
      <c r="G8" s="2471"/>
      <c r="H8" s="2472"/>
      <c r="I8" s="2473">
        <f t="shared" si="0"/>
        <v>0</v>
      </c>
    </row>
    <row r="9" spans="1:9">
      <c r="A9" s="3659"/>
      <c r="B9" s="3660" t="s">
        <v>2483</v>
      </c>
      <c r="C9" s="3660"/>
      <c r="D9" s="2470"/>
      <c r="E9" s="2468"/>
      <c r="F9" s="2471"/>
      <c r="G9" s="2471"/>
      <c r="H9" s="2472"/>
      <c r="I9" s="2473">
        <f t="shared" si="0"/>
        <v>0</v>
      </c>
    </row>
    <row r="10" spans="1:9">
      <c r="A10" s="3659"/>
      <c r="B10" s="3661" t="s">
        <v>2484</v>
      </c>
      <c r="C10" s="3661"/>
      <c r="D10" s="2474">
        <v>527</v>
      </c>
      <c r="E10" s="2474" t="e">
        <f>ROUND(D1*10000/D10/H9,0)</f>
        <v>#DIV/0!</v>
      </c>
      <c r="F10" s="2475"/>
      <c r="G10" s="2475"/>
      <c r="H10" s="2476"/>
      <c r="I10" s="2477">
        <f>SUM(I3:I9)</f>
        <v>0</v>
      </c>
    </row>
    <row r="11" spans="1:9" ht="14.25">
      <c r="A11" s="3659" t="s">
        <v>2485</v>
      </c>
      <c r="B11" s="3660" t="s">
        <v>2486</v>
      </c>
      <c r="C11" s="3660"/>
      <c r="D11" s="2470" t="s">
        <v>2487</v>
      </c>
      <c r="E11" s="2470" t="s">
        <v>2488</v>
      </c>
      <c r="F11" s="2471" t="s">
        <v>2489</v>
      </c>
      <c r="G11" s="2471" t="s">
        <v>2490</v>
      </c>
      <c r="H11" s="2478" t="s">
        <v>2491</v>
      </c>
      <c r="I11" s="2469" t="s">
        <v>2492</v>
      </c>
    </row>
    <row r="12" spans="1:9">
      <c r="A12" s="3659"/>
      <c r="B12" s="3660" t="s">
        <v>2493</v>
      </c>
      <c r="C12" s="3660"/>
      <c r="D12" s="2470"/>
      <c r="E12" s="2470"/>
      <c r="F12" s="2471"/>
      <c r="G12" s="2472"/>
      <c r="H12" s="2479"/>
      <c r="I12" s="2469">
        <f>ROUND(D12*E12*F12*G12/10000,0)</f>
        <v>0</v>
      </c>
    </row>
    <row r="13" spans="1:9">
      <c r="A13" s="3659"/>
      <c r="B13" s="3660" t="s">
        <v>2494</v>
      </c>
      <c r="C13" s="3660"/>
      <c r="D13" s="2470"/>
      <c r="E13" s="2470"/>
      <c r="F13" s="2471"/>
      <c r="G13" s="2472"/>
      <c r="H13" s="2479"/>
      <c r="I13" s="2469">
        <f>ROUND(D13*E13*F13*G13/10000,0)</f>
        <v>0</v>
      </c>
    </row>
    <row r="14" spans="1:9">
      <c r="A14" s="3659"/>
      <c r="B14" s="3660" t="s">
        <v>2495</v>
      </c>
      <c r="C14" s="3660"/>
      <c r="D14" s="2470"/>
      <c r="E14" s="2470"/>
      <c r="F14" s="2471"/>
      <c r="G14" s="2472"/>
      <c r="H14" s="2479"/>
      <c r="I14" s="2469">
        <f>ROUND(D14*E14*F14*G14/10000,0)</f>
        <v>0</v>
      </c>
    </row>
    <row r="15" spans="1:9">
      <c r="A15" s="3659"/>
      <c r="B15" s="3661" t="s">
        <v>2484</v>
      </c>
      <c r="C15" s="3661"/>
      <c r="D15" s="2474"/>
      <c r="E15" s="2474">
        <f>SUM(E12:E14)</f>
        <v>0</v>
      </c>
      <c r="F15" s="2475"/>
      <c r="G15" s="2472"/>
      <c r="H15" s="2479"/>
      <c r="I15" s="2480">
        <f>SUM(I12:I14)</f>
        <v>0</v>
      </c>
    </row>
    <row r="16" spans="1:9" ht="24">
      <c r="A16" s="3659" t="s">
        <v>2496</v>
      </c>
      <c r="B16" s="3660" t="s">
        <v>2497</v>
      </c>
      <c r="C16" s="3660"/>
      <c r="D16" s="2470" t="s">
        <v>2498</v>
      </c>
      <c r="E16" s="2481" t="s">
        <v>2499</v>
      </c>
      <c r="F16" s="2471" t="s">
        <v>2500</v>
      </c>
      <c r="G16" s="2472" t="s">
        <v>2490</v>
      </c>
      <c r="H16" s="2478" t="s">
        <v>2491</v>
      </c>
      <c r="I16" s="2469" t="s">
        <v>2492</v>
      </c>
    </row>
    <row r="17" spans="1:9" ht="14.25">
      <c r="A17" s="3659"/>
      <c r="B17" s="3660" t="s">
        <v>2501</v>
      </c>
      <c r="C17" s="3660"/>
      <c r="D17" s="2470"/>
      <c r="E17" s="2470"/>
      <c r="F17" s="2471"/>
      <c r="G17" s="2472"/>
      <c r="H17" s="2482"/>
      <c r="I17" s="2483">
        <f>ROUND(D17*E17*F17*G17/10000,0)</f>
        <v>0</v>
      </c>
    </row>
    <row r="18" spans="1:9" ht="14.25">
      <c r="A18" s="3659"/>
      <c r="B18" s="3660" t="s">
        <v>2502</v>
      </c>
      <c r="C18" s="3660"/>
      <c r="D18" s="2470"/>
      <c r="E18" s="2470"/>
      <c r="F18" s="2471"/>
      <c r="G18" s="2472"/>
      <c r="H18" s="2482"/>
      <c r="I18" s="2483">
        <f>ROUND(D18*E18*F18*G18/10000,0)</f>
        <v>0</v>
      </c>
    </row>
    <row r="19" spans="1:9" ht="14.25">
      <c r="A19" s="3659"/>
      <c r="B19" s="3660" t="s">
        <v>2503</v>
      </c>
      <c r="C19" s="3660"/>
      <c r="D19" s="2470"/>
      <c r="E19" s="2470"/>
      <c r="F19" s="2471"/>
      <c r="G19" s="2472"/>
      <c r="H19" s="2482"/>
      <c r="I19" s="2483">
        <f>ROUND(D19*E19*F19*G19/10000,0)</f>
        <v>0</v>
      </c>
    </row>
    <row r="20" spans="1:9">
      <c r="A20" s="3659"/>
      <c r="B20" s="3661" t="s">
        <v>2484</v>
      </c>
      <c r="C20" s="3661"/>
      <c r="D20" s="2474">
        <f>SUM(D17:D19)</f>
        <v>0</v>
      </c>
      <c r="E20" s="2474"/>
      <c r="F20" s="2475"/>
      <c r="G20" s="2472"/>
      <c r="H20" s="2479"/>
      <c r="I20" s="2480">
        <f>SUM(I17:I19)</f>
        <v>0</v>
      </c>
    </row>
    <row r="21" spans="1:9">
      <c r="A21" s="3659" t="s">
        <v>2504</v>
      </c>
      <c r="B21" s="3662"/>
      <c r="C21" s="3662"/>
      <c r="D21" s="3662"/>
      <c r="E21" s="3662"/>
      <c r="F21" s="3662"/>
      <c r="G21" s="3662"/>
      <c r="H21" s="2484">
        <v>0.1</v>
      </c>
      <c r="I21" s="2477">
        <f>ROUND(I10*H21,0)</f>
        <v>0</v>
      </c>
    </row>
    <row r="22" spans="1:9" ht="14.25">
      <c r="A22" s="3663" t="s">
        <v>2505</v>
      </c>
      <c r="B22" s="3664"/>
      <c r="C22" s="3665"/>
      <c r="D22" s="2485" t="s">
        <v>2506</v>
      </c>
      <c r="E22" s="2485" t="s">
        <v>2507</v>
      </c>
      <c r="F22" s="2486" t="s">
        <v>2508</v>
      </c>
      <c r="G22" s="2486" t="s">
        <v>2509</v>
      </c>
      <c r="H22" s="2478" t="s">
        <v>2510</v>
      </c>
      <c r="I22" s="2469" t="s">
        <v>2511</v>
      </c>
    </row>
    <row r="23" spans="1:9" ht="14.25" thickBot="1">
      <c r="A23" s="3666"/>
      <c r="B23" s="3667"/>
      <c r="C23" s="3668"/>
      <c r="D23" s="2487"/>
      <c r="E23" s="2487"/>
      <c r="F23" s="2487"/>
      <c r="G23" s="2488"/>
      <c r="H23" s="2489"/>
      <c r="I23" s="2490">
        <f>ROUND(E23*D23*F23*(1-G23)/10000,0)</f>
        <v>0</v>
      </c>
    </row>
    <row r="26" spans="1:9">
      <c r="A26" s="2491" t="s">
        <v>2512</v>
      </c>
      <c r="B26" s="2491"/>
      <c r="C26" s="2491"/>
      <c r="D26" s="2491"/>
      <c r="E26" s="3656">
        <f>C27-C30-C31-C32</f>
        <v>0</v>
      </c>
      <c r="F26" s="3656"/>
      <c r="G26" s="3656"/>
      <c r="H26" s="2991" t="s">
        <v>2839</v>
      </c>
    </row>
    <row r="27" spans="1:9">
      <c r="A27" s="2492">
        <v>1</v>
      </c>
      <c r="B27" s="2493" t="s">
        <v>2513</v>
      </c>
      <c r="C27" s="2493"/>
      <c r="D27" s="2493"/>
      <c r="E27" s="3657"/>
      <c r="F27" s="3657"/>
      <c r="G27" s="3657"/>
    </row>
    <row r="28" spans="1:9">
      <c r="A28" s="2494" t="s">
        <v>2514</v>
      </c>
      <c r="B28" s="2493" t="s">
        <v>2515</v>
      </c>
      <c r="C28" s="2493"/>
      <c r="D28" s="2493"/>
      <c r="E28" s="3657"/>
      <c r="F28" s="3657"/>
      <c r="G28" s="3657"/>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658"/>
      <c r="F32" s="3658"/>
      <c r="G32" s="3658"/>
    </row>
    <row r="33" spans="1:7" hidden="1">
      <c r="A33" s="3653" t="s">
        <v>2523</v>
      </c>
      <c r="B33" s="3654"/>
      <c r="C33" s="3654"/>
      <c r="D33" s="3655"/>
      <c r="E33" s="3656"/>
      <c r="F33" s="3656"/>
      <c r="G33" s="3656"/>
    </row>
    <row r="34" spans="1:7" hidden="1">
      <c r="A34" s="2496">
        <v>1</v>
      </c>
      <c r="B34" s="2493" t="s">
        <v>2524</v>
      </c>
      <c r="C34" s="2493"/>
      <c r="D34" s="2493"/>
      <c r="E34" s="3657"/>
      <c r="F34" s="3657"/>
      <c r="G34" s="3657"/>
    </row>
    <row r="35" spans="1:7" hidden="1">
      <c r="A35" s="2496">
        <v>2</v>
      </c>
      <c r="B35" s="2493" t="s">
        <v>2525</v>
      </c>
      <c r="C35" s="2493"/>
      <c r="D35" s="2493"/>
      <c r="E35" s="3657"/>
      <c r="F35" s="3657"/>
      <c r="G35" s="3657"/>
    </row>
    <row r="36" spans="1:7" hidden="1">
      <c r="A36" s="2496">
        <v>3</v>
      </c>
      <c r="B36" s="2493" t="s">
        <v>2526</v>
      </c>
      <c r="C36" s="2493"/>
      <c r="D36" s="2493"/>
      <c r="E36" s="3657"/>
      <c r="F36" s="3657"/>
      <c r="G36" s="3657"/>
    </row>
    <row r="37" spans="1:7" hidden="1">
      <c r="A37" s="2496">
        <v>4</v>
      </c>
      <c r="B37" s="2493" t="s">
        <v>2527</v>
      </c>
      <c r="C37" s="2493"/>
      <c r="D37" s="2493"/>
      <c r="E37" s="3657"/>
      <c r="F37" s="3657"/>
      <c r="G37" s="3657"/>
    </row>
    <row r="38" spans="1:7" hidden="1">
      <c r="A38" s="3653" t="s">
        <v>2528</v>
      </c>
      <c r="B38" s="3654"/>
      <c r="C38" s="3654"/>
      <c r="D38" s="3655"/>
      <c r="E38" s="3656"/>
      <c r="F38" s="3656"/>
      <c r="G38" s="36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3" t="s">
        <v>1685</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2437</v>
      </c>
      <c r="B8" s="2433" t="s">
        <v>2439</v>
      </c>
      <c r="C8" s="2434"/>
      <c r="D8" s="749"/>
      <c r="E8" s="750"/>
      <c r="F8" s="750"/>
      <c r="G8" s="751"/>
    </row>
    <row r="9" spans="1:25" s="2165" customFormat="1" ht="13.5" customHeight="1">
      <c r="A9" s="2430" t="s">
        <v>2438</v>
      </c>
      <c r="B9" s="2433" t="s">
        <v>2440</v>
      </c>
      <c r="C9" s="2434"/>
      <c r="D9" s="749"/>
      <c r="E9" s="750"/>
      <c r="F9" s="750"/>
      <c r="G9" s="751"/>
    </row>
    <row r="10" spans="1:25" s="2165" customFormat="1" ht="36">
      <c r="A10" s="2430">
        <v>2</v>
      </c>
      <c r="B10" s="748" t="s">
        <v>613</v>
      </c>
      <c r="C10" s="749">
        <f>C11+C14+C15</f>
        <v>0</v>
      </c>
      <c r="D10" s="760">
        <f>'数据-汇总表'!E3</f>
        <v>790993.2</v>
      </c>
      <c r="E10" s="749">
        <f>'数据-取费表'!B31</f>
        <v>100</v>
      </c>
      <c r="F10" s="761"/>
      <c r="G10" s="759" t="s">
        <v>614</v>
      </c>
    </row>
    <row r="11" spans="1:25" s="2165" customFormat="1" ht="13.5" customHeight="1">
      <c r="A11" s="2430" t="s">
        <v>2437</v>
      </c>
      <c r="B11" s="752" t="s">
        <v>610</v>
      </c>
      <c r="C11" s="753">
        <f>'数据-取费表'!B29</f>
        <v>0</v>
      </c>
      <c r="D11" s="754"/>
      <c r="E11" s="753"/>
      <c r="F11" s="755"/>
      <c r="G11" s="2439" t="s">
        <v>2448</v>
      </c>
    </row>
    <row r="12" spans="1:25" s="2165" customFormat="1" ht="13.5" customHeight="1">
      <c r="A12" s="2437" t="s">
        <v>2445</v>
      </c>
      <c r="B12" s="756" t="s">
        <v>611</v>
      </c>
      <c r="C12" s="757">
        <f>ROUND(D12*E12/10000,0)</f>
        <v>3861</v>
      </c>
      <c r="D12" s="758">
        <f>'数据-汇总表'!E5</f>
        <v>482673.68000000005</v>
      </c>
      <c r="E12" s="757">
        <f>'数据-取费表'!B27</f>
        <v>80</v>
      </c>
      <c r="F12" s="755"/>
      <c r="G12" s="759"/>
    </row>
    <row r="13" spans="1:25" s="2165" customFormat="1" ht="13.5" customHeight="1">
      <c r="A13" s="2437" t="s">
        <v>2444</v>
      </c>
      <c r="B13" s="756" t="s">
        <v>612</v>
      </c>
      <c r="C13" s="757">
        <f>ROUND(D13*E13/10000,0)</f>
        <v>2775</v>
      </c>
      <c r="D13" s="758">
        <f>'数据-汇总表'!E6</f>
        <v>308319.5199999999</v>
      </c>
      <c r="E13" s="757">
        <f>'数据-取费表'!B28</f>
        <v>90</v>
      </c>
      <c r="F13" s="755"/>
      <c r="G13" s="759"/>
    </row>
    <row r="14" spans="1:25" s="2165" customFormat="1" ht="13.5" customHeight="1">
      <c r="A14" s="2430" t="s">
        <v>2438</v>
      </c>
      <c r="B14" s="2436" t="s">
        <v>2441</v>
      </c>
      <c r="C14" s="2434"/>
      <c r="D14" s="758"/>
      <c r="E14" s="757"/>
      <c r="F14" s="2435"/>
      <c r="G14" s="2438" t="s">
        <v>2446</v>
      </c>
    </row>
    <row r="15" spans="1:25" s="2165" customFormat="1" ht="13.5" customHeight="1">
      <c r="A15" s="2430" t="s">
        <v>2443</v>
      </c>
      <c r="B15" s="2436" t="s">
        <v>2442</v>
      </c>
      <c r="C15" s="2434"/>
      <c r="D15" s="758"/>
      <c r="E15" s="757"/>
      <c r="F15" s="2435"/>
      <c r="G15" s="2438" t="s">
        <v>2447</v>
      </c>
    </row>
    <row r="16" spans="1:25" s="2166" customFormat="1" ht="48">
      <c r="A16" s="2430">
        <v>3</v>
      </c>
      <c r="B16" s="748" t="s">
        <v>615</v>
      </c>
      <c r="C16" s="2434"/>
      <c r="D16" s="760"/>
      <c r="E16" s="749"/>
      <c r="F16" s="761"/>
      <c r="G16" s="759"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0.16</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0.9</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G105" sqref="G10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3155</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265908</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10827</v>
      </c>
      <c r="C3" s="852" t="s">
        <v>722</v>
      </c>
      <c r="D3" s="851">
        <f>SUMIF('数据-汇总表'!$C19:$C33,D1,'数据-汇总表'!$E19:$E33)</f>
        <v>245596.74000000002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79" t="s">
        <v>522</v>
      </c>
      <c r="D4" s="3580"/>
      <c r="E4" s="3603" t="s">
        <v>523</v>
      </c>
      <c r="F4" s="3604"/>
      <c r="G4" s="3579" t="s">
        <v>524</v>
      </c>
      <c r="H4" s="3580"/>
      <c r="I4" s="3579" t="s">
        <v>525</v>
      </c>
      <c r="J4" s="3580"/>
      <c r="K4" s="853" t="s">
        <v>526</v>
      </c>
      <c r="L4" s="2115"/>
      <c r="M4" s="2116"/>
      <c r="N4" s="2116"/>
      <c r="O4" s="2116"/>
      <c r="P4" s="3581" t="s">
        <v>527</v>
      </c>
      <c r="Q4" s="3582"/>
      <c r="R4" s="3567" t="s">
        <v>523</v>
      </c>
      <c r="S4" s="3568"/>
      <c r="T4" s="3567" t="s">
        <v>524</v>
      </c>
      <c r="U4" s="3568"/>
      <c r="V4" s="3587" t="s">
        <v>525</v>
      </c>
      <c r="W4" s="3587"/>
      <c r="X4" s="1550"/>
      <c r="Y4" s="3567" t="s">
        <v>527</v>
      </c>
      <c r="Z4" s="3568"/>
      <c r="AA4" s="3562" t="s">
        <v>523</v>
      </c>
      <c r="AB4" s="3562" t="s">
        <v>524</v>
      </c>
      <c r="AC4" s="3562" t="s">
        <v>525</v>
      </c>
    </row>
    <row r="5" spans="1:29" ht="15">
      <c r="A5" s="515"/>
      <c r="B5" s="516"/>
      <c r="C5" s="3590" t="s">
        <v>2923</v>
      </c>
      <c r="D5" s="3591"/>
      <c r="E5" s="3674" t="s">
        <v>3616</v>
      </c>
      <c r="F5" s="3606"/>
      <c r="G5" s="3675" t="s">
        <v>3680</v>
      </c>
      <c r="H5" s="3591"/>
      <c r="I5" s="3675" t="s">
        <v>3665</v>
      </c>
      <c r="J5" s="3591"/>
      <c r="K5" s="854"/>
      <c r="L5" s="2115"/>
      <c r="M5" s="2116"/>
      <c r="N5" s="2116"/>
      <c r="O5" s="2116"/>
      <c r="P5" s="3583"/>
      <c r="Q5" s="3584"/>
      <c r="R5" s="3569"/>
      <c r="S5" s="3570"/>
      <c r="T5" s="3569"/>
      <c r="U5" s="3570"/>
      <c r="V5" s="3587"/>
      <c r="W5" s="3587"/>
      <c r="X5" s="1550"/>
      <c r="Y5" s="3569"/>
      <c r="Z5" s="3570"/>
      <c r="AA5" s="3563"/>
      <c r="AB5" s="3563"/>
      <c r="AC5" s="3563"/>
    </row>
    <row r="6" spans="1:29" ht="15.75" thickBot="1">
      <c r="A6" s="517"/>
      <c r="B6" s="518"/>
      <c r="C6" s="3588" t="s">
        <v>2927</v>
      </c>
      <c r="D6" s="3589"/>
      <c r="E6" s="3676" t="s">
        <v>3618</v>
      </c>
      <c r="F6" s="3608"/>
      <c r="G6" s="3677" t="s">
        <v>3681</v>
      </c>
      <c r="H6" s="3589"/>
      <c r="I6" s="3677" t="s">
        <v>3666</v>
      </c>
      <c r="J6" s="3589"/>
      <c r="K6" s="854" t="s">
        <v>528</v>
      </c>
      <c r="L6" s="2115"/>
      <c r="M6" s="2116"/>
      <c r="N6" s="2116"/>
      <c r="O6" s="2116"/>
      <c r="P6" s="3585"/>
      <c r="Q6" s="3586"/>
      <c r="R6" s="3569"/>
      <c r="S6" s="3570"/>
      <c r="T6" s="3571"/>
      <c r="U6" s="3572"/>
      <c r="V6" s="3587"/>
      <c r="W6" s="3587"/>
      <c r="X6" s="1550"/>
      <c r="Y6" s="3571"/>
      <c r="Z6" s="3572"/>
      <c r="AA6" s="3564"/>
      <c r="AB6" s="3564"/>
      <c r="AC6" s="3564"/>
    </row>
    <row r="7" spans="1:29" s="1215" customFormat="1" ht="15.75" thickBot="1">
      <c r="A7" s="2864"/>
      <c r="B7" s="2871" t="s">
        <v>529</v>
      </c>
      <c r="C7" s="519">
        <f>'数据-取费表'!B2</f>
        <v>43763</v>
      </c>
      <c r="D7" s="520">
        <v>100</v>
      </c>
      <c r="E7" s="521">
        <f>C7</f>
        <v>43763</v>
      </c>
      <c r="F7" s="522">
        <f>SUMIF(58:58,YEAR(E7)&amp;"-"&amp;MONTH(E7),59:59)</f>
        <v>100</v>
      </c>
      <c r="G7" s="523">
        <f>E7</f>
        <v>43763</v>
      </c>
      <c r="H7" s="520">
        <f>SUMIF(58:58,YEAR(G7)&amp;"-"&amp;MONTH(G7),59:59)</f>
        <v>100</v>
      </c>
      <c r="I7" s="523">
        <f>C7</f>
        <v>43763</v>
      </c>
      <c r="J7" s="520">
        <f>SUMIF(58:58,YEAR(I7)&amp;"-"&amp;MONTH(I7),59:59)</f>
        <v>100</v>
      </c>
      <c r="K7" s="855"/>
      <c r="L7" s="2117"/>
      <c r="M7" s="2118"/>
      <c r="N7" s="2118"/>
      <c r="O7" s="2118"/>
      <c r="P7" s="3565" t="s">
        <v>530</v>
      </c>
      <c r="Q7" s="3574"/>
      <c r="R7" s="1551" t="s">
        <v>13</v>
      </c>
      <c r="S7" s="1552">
        <f t="shared" ref="S7:S15" si="0">F7</f>
        <v>100</v>
      </c>
      <c r="T7" s="1551" t="s">
        <v>13</v>
      </c>
      <c r="U7" s="1552">
        <f t="shared" ref="U7:U15" si="1">H7</f>
        <v>100</v>
      </c>
      <c r="V7" s="1551" t="s">
        <v>13</v>
      </c>
      <c r="W7" s="1552">
        <f t="shared" ref="W7:W15" si="2">J7</f>
        <v>100</v>
      </c>
      <c r="X7" s="1553"/>
      <c r="Y7" s="3565" t="s">
        <v>530</v>
      </c>
      <c r="Z7" s="3566"/>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65" t="s">
        <v>533</v>
      </c>
      <c r="Q8" s="3566"/>
      <c r="R8" s="1551" t="s">
        <v>13</v>
      </c>
      <c r="S8" s="1552">
        <f t="shared" si="0"/>
        <v>100</v>
      </c>
      <c r="T8" s="1551" t="s">
        <v>13</v>
      </c>
      <c r="U8" s="1552">
        <f t="shared" si="1"/>
        <v>100</v>
      </c>
      <c r="V8" s="1551" t="s">
        <v>13</v>
      </c>
      <c r="W8" s="1552">
        <f t="shared" si="2"/>
        <v>100</v>
      </c>
      <c r="X8" s="1553"/>
      <c r="Y8" s="3565" t="s">
        <v>533</v>
      </c>
      <c r="Z8" s="3566"/>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73" t="s">
        <v>535</v>
      </c>
      <c r="Q9" s="1146" t="str">
        <f t="shared" ref="Q9:Q15" si="6">B9</f>
        <v>用途</v>
      </c>
      <c r="R9" s="1551" t="s">
        <v>8</v>
      </c>
      <c r="S9" s="1552">
        <f t="shared" si="0"/>
        <v>100</v>
      </c>
      <c r="T9" s="1551" t="s">
        <v>8</v>
      </c>
      <c r="U9" s="1552">
        <f t="shared" si="1"/>
        <v>100</v>
      </c>
      <c r="V9" s="1551" t="s">
        <v>8</v>
      </c>
      <c r="W9" s="1552">
        <f t="shared" si="2"/>
        <v>100</v>
      </c>
      <c r="X9" s="1553"/>
      <c r="Y9" s="3530" t="s">
        <v>536</v>
      </c>
      <c r="Z9" s="1145"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73"/>
      <c r="Q10" s="1146" t="str">
        <f t="shared" si="6"/>
        <v>土地使用年限（年）</v>
      </c>
      <c r="R10" s="1551" t="s">
        <v>8</v>
      </c>
      <c r="S10" s="1552">
        <f t="shared" si="0"/>
        <v>100</v>
      </c>
      <c r="T10" s="1551" t="s">
        <v>8</v>
      </c>
      <c r="U10" s="1552">
        <f t="shared" si="1"/>
        <v>100</v>
      </c>
      <c r="V10" s="1551" t="s">
        <v>8</v>
      </c>
      <c r="W10" s="1552">
        <f t="shared" si="2"/>
        <v>100</v>
      </c>
      <c r="X10" s="1553"/>
      <c r="Y10" s="3530"/>
      <c r="Z10" s="1145" t="str">
        <f t="shared" si="7"/>
        <v>土地使用年限（年）</v>
      </c>
      <c r="AA10" s="1554">
        <f t="shared" si="3"/>
        <v>1</v>
      </c>
      <c r="AB10" s="1554">
        <f t="shared" si="4"/>
        <v>1</v>
      </c>
      <c r="AC10" s="1554">
        <f t="shared" si="5"/>
        <v>1</v>
      </c>
    </row>
    <row r="11" spans="1:29" ht="15.75" thickBot="1">
      <c r="A11" s="2868"/>
      <c r="B11" s="2872" t="s">
        <v>2754</v>
      </c>
      <c r="C11" s="3361">
        <f>'数据-汇总表'!I6</f>
        <v>1.4</v>
      </c>
      <c r="D11" s="255">
        <v>100</v>
      </c>
      <c r="E11" s="534">
        <v>1.02</v>
      </c>
      <c r="F11" s="863">
        <f>LOOKUP(E11,68:68,69:69)-LOOKUP(C11,68:68,69:69)+100</f>
        <v>100</v>
      </c>
      <c r="G11" s="533">
        <v>1.2</v>
      </c>
      <c r="H11" s="255">
        <f>LOOKUP(G11,68:68,69:69)-LOOKUP(C11,68:68,69:69)+100</f>
        <v>100</v>
      </c>
      <c r="I11" s="533">
        <v>1.2</v>
      </c>
      <c r="J11" s="255">
        <f>LOOKUP(I11,68:68,69:69)-LOOKUP(C11,68:68,69:69)+100</f>
        <v>100</v>
      </c>
      <c r="K11" s="864">
        <v>1</v>
      </c>
      <c r="L11" s="2122"/>
      <c r="M11" s="2116"/>
      <c r="N11" s="2116"/>
      <c r="O11" s="2123"/>
      <c r="P11" s="3573"/>
      <c r="Q11" s="1146" t="str">
        <f t="shared" si="6"/>
        <v>容积率</v>
      </c>
      <c r="R11" s="1551" t="s">
        <v>11</v>
      </c>
      <c r="S11" s="1552">
        <f t="shared" si="0"/>
        <v>100</v>
      </c>
      <c r="T11" s="1551" t="s">
        <v>11</v>
      </c>
      <c r="U11" s="1552">
        <f t="shared" si="1"/>
        <v>100</v>
      </c>
      <c r="V11" s="1551" t="s">
        <v>11</v>
      </c>
      <c r="W11" s="1552">
        <f t="shared" si="2"/>
        <v>100</v>
      </c>
      <c r="X11" s="1553"/>
      <c r="Y11" s="3530"/>
      <c r="Z11" s="1145" t="str">
        <f t="shared" si="7"/>
        <v>容积率</v>
      </c>
      <c r="AA11" s="1554">
        <f t="shared" si="3"/>
        <v>1</v>
      </c>
      <c r="AB11" s="1554">
        <f t="shared" si="4"/>
        <v>1</v>
      </c>
      <c r="AC11" s="1554">
        <f t="shared" si="5"/>
        <v>1</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73"/>
      <c r="Q12" s="1146">
        <f t="shared" si="6"/>
        <v>111</v>
      </c>
      <c r="R12" s="1551" t="s">
        <v>11</v>
      </c>
      <c r="S12" s="1552">
        <f t="shared" si="0"/>
        <v>100</v>
      </c>
      <c r="T12" s="1551" t="s">
        <v>11</v>
      </c>
      <c r="U12" s="1552">
        <f t="shared" si="1"/>
        <v>100</v>
      </c>
      <c r="V12" s="1551" t="s">
        <v>11</v>
      </c>
      <c r="W12" s="1552">
        <f t="shared" si="2"/>
        <v>100</v>
      </c>
      <c r="X12" s="1553"/>
      <c r="Y12" s="3530"/>
      <c r="Z12" s="1145">
        <f t="shared" si="7"/>
        <v>111</v>
      </c>
      <c r="AA12" s="1554">
        <f>D12/F12</f>
        <v>1</v>
      </c>
      <c r="AB12" s="1554">
        <f>D12/H12</f>
        <v>1</v>
      </c>
      <c r="AC12" s="1554">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73"/>
      <c r="Q13" s="1146">
        <f t="shared" si="6"/>
        <v>111</v>
      </c>
      <c r="R13" s="1551" t="s">
        <v>11</v>
      </c>
      <c r="S13" s="1552">
        <f t="shared" si="0"/>
        <v>100</v>
      </c>
      <c r="T13" s="1551" t="s">
        <v>11</v>
      </c>
      <c r="U13" s="1552">
        <f t="shared" si="1"/>
        <v>100</v>
      </c>
      <c r="V13" s="1551" t="s">
        <v>11</v>
      </c>
      <c r="W13" s="1552">
        <f t="shared" si="2"/>
        <v>100</v>
      </c>
      <c r="X13" s="1553"/>
      <c r="Y13" s="3530"/>
      <c r="Z13" s="1145">
        <f t="shared" si="7"/>
        <v>111</v>
      </c>
      <c r="AA13" s="1554">
        <f t="shared" si="3"/>
        <v>1</v>
      </c>
      <c r="AB13" s="1554">
        <f t="shared" si="4"/>
        <v>1</v>
      </c>
      <c r="AC13" s="1554">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73"/>
      <c r="Q14" s="1146">
        <f t="shared" si="6"/>
        <v>111</v>
      </c>
      <c r="R14" s="1551" t="s">
        <v>11</v>
      </c>
      <c r="S14" s="1552">
        <f t="shared" si="0"/>
        <v>100</v>
      </c>
      <c r="T14" s="1551" t="s">
        <v>11</v>
      </c>
      <c r="U14" s="1552">
        <f t="shared" si="1"/>
        <v>100</v>
      </c>
      <c r="V14" s="1551" t="s">
        <v>11</v>
      </c>
      <c r="W14" s="1552">
        <f t="shared" si="2"/>
        <v>100</v>
      </c>
      <c r="X14" s="1553"/>
      <c r="Y14" s="3530"/>
      <c r="Z14" s="1145">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75" t="s">
        <v>540</v>
      </c>
      <c r="Q15" s="1555" t="str">
        <f t="shared" si="6"/>
        <v>居住社区成熟度</v>
      </c>
      <c r="R15" s="1556" t="s">
        <v>11</v>
      </c>
      <c r="S15" s="1557">
        <f t="shared" si="0"/>
        <v>100</v>
      </c>
      <c r="T15" s="1556" t="s">
        <v>11</v>
      </c>
      <c r="U15" s="1557">
        <f t="shared" si="1"/>
        <v>100</v>
      </c>
      <c r="V15" s="1556" t="s">
        <v>11</v>
      </c>
      <c r="W15" s="1557">
        <f t="shared" si="2"/>
        <v>100</v>
      </c>
      <c r="X15" s="1550"/>
      <c r="Y15" s="3575" t="s">
        <v>540</v>
      </c>
      <c r="Z15" s="1558" t="str">
        <f t="shared" si="7"/>
        <v>居住社区成熟度</v>
      </c>
      <c r="AA15" s="1559">
        <f t="shared" si="3"/>
        <v>1</v>
      </c>
      <c r="AB15" s="1559">
        <f t="shared" si="4"/>
        <v>1</v>
      </c>
      <c r="AC15" s="1559">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76"/>
      <c r="Q16" s="1555"/>
      <c r="R16" s="1556"/>
      <c r="S16" s="1557"/>
      <c r="T16" s="1556"/>
      <c r="U16" s="1557"/>
      <c r="V16" s="1556"/>
      <c r="W16" s="1557"/>
      <c r="X16" s="1550"/>
      <c r="Y16" s="3576"/>
      <c r="Z16" s="1558"/>
      <c r="AA16" s="1559">
        <v>1</v>
      </c>
      <c r="AB16" s="1559">
        <v>1</v>
      </c>
      <c r="AC16" s="15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76"/>
      <c r="Q17" s="1555" t="str">
        <f>B17</f>
        <v>交通便捷度</v>
      </c>
      <c r="R17" s="1556" t="s">
        <v>11</v>
      </c>
      <c r="S17" s="1557">
        <f>F17</f>
        <v>100</v>
      </c>
      <c r="T17" s="1556" t="s">
        <v>11</v>
      </c>
      <c r="U17" s="1557">
        <f>H17</f>
        <v>100</v>
      </c>
      <c r="V17" s="1556" t="s">
        <v>11</v>
      </c>
      <c r="W17" s="1557">
        <f>J17</f>
        <v>100</v>
      </c>
      <c r="X17" s="1550"/>
      <c r="Y17" s="3576"/>
      <c r="Z17" s="1558" t="str">
        <f>Q17</f>
        <v>交通便捷度</v>
      </c>
      <c r="AA17" s="1559">
        <f t="shared" si="3"/>
        <v>1</v>
      </c>
      <c r="AB17" s="1559">
        <f t="shared" si="4"/>
        <v>1</v>
      </c>
      <c r="AC17" s="1559">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76"/>
      <c r="Q18" s="1555"/>
      <c r="R18" s="1556"/>
      <c r="S18" s="1557"/>
      <c r="T18" s="1556"/>
      <c r="U18" s="1557"/>
      <c r="V18" s="1556"/>
      <c r="W18" s="1557"/>
      <c r="X18" s="1550"/>
      <c r="Y18" s="3576"/>
      <c r="Z18" s="1558"/>
      <c r="AA18" s="1559">
        <v>1</v>
      </c>
      <c r="AB18" s="1559">
        <v>1</v>
      </c>
      <c r="AC18" s="15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76"/>
      <c r="Q19" s="1555" t="str">
        <f>B19</f>
        <v>公共配套设施</v>
      </c>
      <c r="R19" s="1556" t="s">
        <v>11</v>
      </c>
      <c r="S19" s="1557">
        <f>F19</f>
        <v>100</v>
      </c>
      <c r="T19" s="1556" t="s">
        <v>11</v>
      </c>
      <c r="U19" s="1557">
        <f>H19</f>
        <v>100</v>
      </c>
      <c r="V19" s="1556" t="s">
        <v>11</v>
      </c>
      <c r="W19" s="1557">
        <f>J19</f>
        <v>100</v>
      </c>
      <c r="X19" s="1550"/>
      <c r="Y19" s="3576"/>
      <c r="Z19" s="1558" t="str">
        <f>Q19</f>
        <v>公共配套设施</v>
      </c>
      <c r="AA19" s="1559">
        <f t="shared" si="3"/>
        <v>1</v>
      </c>
      <c r="AB19" s="1559">
        <f t="shared" si="4"/>
        <v>1</v>
      </c>
      <c r="AC19" s="1559">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76"/>
      <c r="Q20" s="1555"/>
      <c r="R20" s="1556"/>
      <c r="S20" s="1557"/>
      <c r="T20" s="1556"/>
      <c r="U20" s="1557"/>
      <c r="V20" s="1556"/>
      <c r="W20" s="1557"/>
      <c r="X20" s="1550"/>
      <c r="Y20" s="3576"/>
      <c r="Z20" s="1558"/>
      <c r="AA20" s="1559">
        <v>1</v>
      </c>
      <c r="AB20" s="1559">
        <v>1</v>
      </c>
      <c r="AC20" s="1559">
        <v>1</v>
      </c>
    </row>
    <row r="21" spans="1:29" ht="15">
      <c r="A21" s="532"/>
      <c r="B21" s="2554"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76"/>
      <c r="Q21" s="2540" t="str">
        <f>B21</f>
        <v>基础设施水平</v>
      </c>
      <c r="R21" s="1556" t="s">
        <v>11</v>
      </c>
      <c r="S21" s="1557">
        <f>F21</f>
        <v>100</v>
      </c>
      <c r="T21" s="1556" t="s">
        <v>11</v>
      </c>
      <c r="U21" s="1557">
        <f>H21</f>
        <v>100</v>
      </c>
      <c r="V21" s="1556" t="s">
        <v>11</v>
      </c>
      <c r="W21" s="1557">
        <f>J21</f>
        <v>100</v>
      </c>
      <c r="X21" s="2542"/>
      <c r="Y21" s="3576"/>
      <c r="Z21" s="2541" t="str">
        <f>Q21</f>
        <v>基础设施水平</v>
      </c>
      <c r="AA21" s="1559">
        <f t="shared" ref="AA21" si="8">D21/F21</f>
        <v>1</v>
      </c>
      <c r="AB21" s="1559">
        <f t="shared" ref="AB21" si="9">D21/H21</f>
        <v>1</v>
      </c>
      <c r="AC21" s="1559">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76"/>
      <c r="Q22" s="2540"/>
      <c r="R22" s="1556"/>
      <c r="S22" s="1557"/>
      <c r="T22" s="1556"/>
      <c r="U22" s="1557"/>
      <c r="V22" s="1556"/>
      <c r="W22" s="1557"/>
      <c r="X22" s="2542"/>
      <c r="Y22" s="3576"/>
      <c r="Z22" s="2541"/>
      <c r="AA22" s="1559">
        <v>1</v>
      </c>
      <c r="AB22" s="1559">
        <v>1</v>
      </c>
      <c r="AC22" s="1559">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76"/>
      <c r="Q23" s="1555" t="str">
        <f>B23</f>
        <v>自然及人文环境</v>
      </c>
      <c r="R23" s="1556" t="s">
        <v>11</v>
      </c>
      <c r="S23" s="1557">
        <f>F23</f>
        <v>100</v>
      </c>
      <c r="T23" s="1556" t="s">
        <v>11</v>
      </c>
      <c r="U23" s="1557">
        <f>H23</f>
        <v>100</v>
      </c>
      <c r="V23" s="1556" t="s">
        <v>11</v>
      </c>
      <c r="W23" s="1557">
        <f>J23</f>
        <v>100</v>
      </c>
      <c r="X23" s="1550"/>
      <c r="Y23" s="3576"/>
      <c r="Z23" s="1558" t="str">
        <f>Q23</f>
        <v>自然及人文环境</v>
      </c>
      <c r="AA23" s="1559">
        <f t="shared" si="3"/>
        <v>1</v>
      </c>
      <c r="AB23" s="1559">
        <f t="shared" si="4"/>
        <v>1</v>
      </c>
      <c r="AC23" s="1559">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76"/>
      <c r="Q24" s="1555"/>
      <c r="R24" s="1556"/>
      <c r="S24" s="1557"/>
      <c r="T24" s="1556"/>
      <c r="U24" s="1557"/>
      <c r="V24" s="1556"/>
      <c r="W24" s="1557"/>
      <c r="X24" s="1550"/>
      <c r="Y24" s="3576"/>
      <c r="Z24" s="1558"/>
      <c r="AA24" s="1559">
        <v>1</v>
      </c>
      <c r="AB24" s="1559">
        <v>1</v>
      </c>
      <c r="AC24" s="1559">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76"/>
      <c r="Q25" s="1555" t="str">
        <f t="shared" ref="Q25:Q46" si="11">B25</f>
        <v>楼层-1</v>
      </c>
      <c r="R25" s="1556" t="s">
        <v>11</v>
      </c>
      <c r="S25" s="1557">
        <f>F25</f>
        <v>100</v>
      </c>
      <c r="T25" s="1556" t="s">
        <v>11</v>
      </c>
      <c r="U25" s="1557">
        <f>H25</f>
        <v>100</v>
      </c>
      <c r="V25" s="1556" t="s">
        <v>11</v>
      </c>
      <c r="W25" s="1557">
        <f>J25</f>
        <v>100</v>
      </c>
      <c r="X25" s="1550"/>
      <c r="Y25" s="3576"/>
      <c r="Z25" s="1558" t="str">
        <f>Q25</f>
        <v>楼层-1</v>
      </c>
      <c r="AA25" s="1559">
        <f t="shared" si="3"/>
        <v>1</v>
      </c>
      <c r="AB25" s="1559">
        <f t="shared" si="4"/>
        <v>1</v>
      </c>
      <c r="AC25" s="1559">
        <f t="shared" si="5"/>
        <v>1</v>
      </c>
    </row>
    <row r="26" spans="1:29" ht="15">
      <c r="A26" s="532"/>
      <c r="B26" s="527" t="s">
        <v>723</v>
      </c>
      <c r="C26" s="574" t="s">
        <v>3682</v>
      </c>
      <c r="D26" s="540">
        <v>100</v>
      </c>
      <c r="E26" s="574" t="s">
        <v>3682</v>
      </c>
      <c r="F26" s="575">
        <f>SUMIF(88:88,E26,89:89)-SUMIF(88:88,C26,89:89)+100</f>
        <v>100</v>
      </c>
      <c r="G26" s="574" t="s">
        <v>3682</v>
      </c>
      <c r="H26" s="540">
        <f>SUMIF(88:88,G26,89:89)-SUMIF(88:88,C26,89:89)+100</f>
        <v>100</v>
      </c>
      <c r="I26" s="574" t="s">
        <v>3682</v>
      </c>
      <c r="J26" s="540">
        <f>SUMIF(88:88,I26,89:89)-SUMIF(88:88,C26,89:89)+100</f>
        <v>100</v>
      </c>
      <c r="K26" s="864">
        <v>1</v>
      </c>
      <c r="L26" s="2124"/>
      <c r="M26" s="2116"/>
      <c r="N26" s="2116"/>
      <c r="O26" s="2123"/>
      <c r="P26" s="3576"/>
      <c r="Q26" s="1555" t="str">
        <f t="shared" si="11"/>
        <v>朝向</v>
      </c>
      <c r="R26" s="1556" t="s">
        <v>11</v>
      </c>
      <c r="S26" s="1557">
        <f>F26</f>
        <v>100</v>
      </c>
      <c r="T26" s="1556" t="s">
        <v>11</v>
      </c>
      <c r="U26" s="1557">
        <f>H26</f>
        <v>100</v>
      </c>
      <c r="V26" s="1556" t="s">
        <v>11</v>
      </c>
      <c r="W26" s="1557">
        <f>J26</f>
        <v>100</v>
      </c>
      <c r="X26" s="1550"/>
      <c r="Y26" s="3576"/>
      <c r="Z26" s="1558" t="str">
        <f>Q26</f>
        <v>朝向</v>
      </c>
      <c r="AA26" s="1559">
        <f t="shared" si="3"/>
        <v>1</v>
      </c>
      <c r="AB26" s="1559">
        <f t="shared" si="4"/>
        <v>1</v>
      </c>
      <c r="AC26" s="1559">
        <f t="shared" si="5"/>
        <v>1</v>
      </c>
    </row>
    <row r="27" spans="1:29" s="1215" customFormat="1" ht="15.75" thickBot="1">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76"/>
      <c r="Q27" s="1146" t="str">
        <f t="shared" si="11"/>
        <v>道路级别</v>
      </c>
      <c r="R27" s="1551" t="s">
        <v>11</v>
      </c>
      <c r="S27" s="1552">
        <f>F27</f>
        <v>100</v>
      </c>
      <c r="T27" s="1551" t="s">
        <v>11</v>
      </c>
      <c r="U27" s="1552">
        <f>H27</f>
        <v>100</v>
      </c>
      <c r="V27" s="1551" t="s">
        <v>11</v>
      </c>
      <c r="W27" s="1552">
        <f>J27</f>
        <v>100</v>
      </c>
      <c r="X27" s="1553"/>
      <c r="Y27" s="3576"/>
      <c r="Z27" s="1145" t="str">
        <f>Q27</f>
        <v>道路级别</v>
      </c>
      <c r="AA27" s="1559">
        <f>D27/F27</f>
        <v>1</v>
      </c>
      <c r="AB27" s="1559">
        <f>D27/H27</f>
        <v>1</v>
      </c>
      <c r="AC27" s="155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76"/>
      <c r="Q28" s="1555">
        <f t="shared" si="11"/>
        <v>111</v>
      </c>
      <c r="R28" s="1556" t="s">
        <v>11</v>
      </c>
      <c r="S28" s="1557">
        <f t="shared" ref="S28:S46" si="12">F28</f>
        <v>100</v>
      </c>
      <c r="T28" s="1556" t="s">
        <v>11</v>
      </c>
      <c r="U28" s="1557">
        <f t="shared" ref="U28:U46" si="13">H28</f>
        <v>100</v>
      </c>
      <c r="V28" s="1556" t="s">
        <v>11</v>
      </c>
      <c r="W28" s="1557">
        <f t="shared" ref="W28:W46" si="14">J28</f>
        <v>100</v>
      </c>
      <c r="X28" s="1550"/>
      <c r="Y28" s="3576"/>
      <c r="Z28" s="1558">
        <f t="shared" ref="Z28:Z46" si="15">Q28</f>
        <v>111</v>
      </c>
      <c r="AA28" s="1559">
        <f t="shared" si="3"/>
        <v>1</v>
      </c>
      <c r="AB28" s="1559">
        <f t="shared" si="4"/>
        <v>1</v>
      </c>
      <c r="AC28" s="155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76"/>
      <c r="Q29" s="1555">
        <f t="shared" si="11"/>
        <v>111</v>
      </c>
      <c r="R29" s="1556" t="s">
        <v>11</v>
      </c>
      <c r="S29" s="1557">
        <f t="shared" si="12"/>
        <v>100</v>
      </c>
      <c r="T29" s="1556" t="s">
        <v>11</v>
      </c>
      <c r="U29" s="1557">
        <f t="shared" si="13"/>
        <v>100</v>
      </c>
      <c r="V29" s="1556" t="s">
        <v>11</v>
      </c>
      <c r="W29" s="1557">
        <f t="shared" si="14"/>
        <v>100</v>
      </c>
      <c r="X29" s="1550"/>
      <c r="Y29" s="3576"/>
      <c r="Z29" s="1558">
        <f t="shared" si="15"/>
        <v>111</v>
      </c>
      <c r="AA29" s="1559">
        <f t="shared" si="3"/>
        <v>1</v>
      </c>
      <c r="AB29" s="1559">
        <f t="shared" si="4"/>
        <v>1</v>
      </c>
      <c r="AC29" s="155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76"/>
      <c r="Q30" s="1555">
        <f t="shared" si="11"/>
        <v>111</v>
      </c>
      <c r="R30" s="1556" t="s">
        <v>11</v>
      </c>
      <c r="S30" s="1557">
        <f t="shared" si="12"/>
        <v>100</v>
      </c>
      <c r="T30" s="1556" t="s">
        <v>11</v>
      </c>
      <c r="U30" s="1557">
        <f t="shared" si="13"/>
        <v>100</v>
      </c>
      <c r="V30" s="1556" t="s">
        <v>11</v>
      </c>
      <c r="W30" s="1557">
        <f t="shared" si="14"/>
        <v>100</v>
      </c>
      <c r="X30" s="1550"/>
      <c r="Y30" s="3576"/>
      <c r="Z30" s="1558">
        <f t="shared" si="15"/>
        <v>111</v>
      </c>
      <c r="AA30" s="1559">
        <f t="shared" si="3"/>
        <v>1</v>
      </c>
      <c r="AB30" s="1559">
        <f t="shared" si="4"/>
        <v>1</v>
      </c>
      <c r="AC30" s="155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76"/>
      <c r="Q31" s="1555">
        <f t="shared" si="11"/>
        <v>111</v>
      </c>
      <c r="R31" s="1556" t="s">
        <v>11</v>
      </c>
      <c r="S31" s="1557">
        <f t="shared" si="12"/>
        <v>100</v>
      </c>
      <c r="T31" s="1556" t="s">
        <v>11</v>
      </c>
      <c r="U31" s="1557">
        <f t="shared" si="13"/>
        <v>100</v>
      </c>
      <c r="V31" s="1556" t="s">
        <v>11</v>
      </c>
      <c r="W31" s="1557">
        <f t="shared" si="14"/>
        <v>100</v>
      </c>
      <c r="X31" s="1550"/>
      <c r="Y31" s="3576"/>
      <c r="Z31" s="1558">
        <f t="shared" si="15"/>
        <v>111</v>
      </c>
      <c r="AA31" s="1559">
        <f t="shared" si="3"/>
        <v>1</v>
      </c>
      <c r="AB31" s="1559">
        <f t="shared" si="4"/>
        <v>1</v>
      </c>
      <c r="AC31" s="1559">
        <f t="shared" si="5"/>
        <v>1</v>
      </c>
    </row>
    <row r="32" spans="1:29" ht="15">
      <c r="A32" s="2859" t="s">
        <v>2751</v>
      </c>
      <c r="B32" s="172" t="s">
        <v>725</v>
      </c>
      <c r="C32" s="878" t="s">
        <v>3155</v>
      </c>
      <c r="D32" s="597">
        <v>100</v>
      </c>
      <c r="E32" s="878" t="s">
        <v>3155</v>
      </c>
      <c r="F32" s="575">
        <f>SUMIF(100:100,E32,101:101)-SUMIF(100:100,C32,101:101)+100</f>
        <v>100</v>
      </c>
      <c r="G32" s="878" t="s">
        <v>3155</v>
      </c>
      <c r="H32" s="597">
        <f>SUMIF(100:100,G32,101:101)-SUMIF(100:100,C32,101:101)+100</f>
        <v>100</v>
      </c>
      <c r="I32" s="878" t="s">
        <v>3155</v>
      </c>
      <c r="J32" s="540">
        <f>SUMIF(100:100,I32,101:101)-SUMIF(100:100,C32,101:101)+100</f>
        <v>100</v>
      </c>
      <c r="K32" s="864">
        <v>2</v>
      </c>
      <c r="L32" s="2124"/>
      <c r="M32" s="2116"/>
      <c r="N32" s="2116"/>
      <c r="O32" s="2123"/>
      <c r="P32" s="3577" t="s">
        <v>550</v>
      </c>
      <c r="Q32" s="1555" t="str">
        <f t="shared" si="11"/>
        <v>建筑类型</v>
      </c>
      <c r="R32" s="1556" t="s">
        <v>11</v>
      </c>
      <c r="S32" s="1557">
        <f t="shared" si="12"/>
        <v>100</v>
      </c>
      <c r="T32" s="1556" t="s">
        <v>11</v>
      </c>
      <c r="U32" s="1557">
        <f t="shared" si="13"/>
        <v>100</v>
      </c>
      <c r="V32" s="1556" t="s">
        <v>11</v>
      </c>
      <c r="W32" s="1557">
        <f t="shared" si="14"/>
        <v>100</v>
      </c>
      <c r="X32" s="1550"/>
      <c r="Y32" s="3578" t="s">
        <v>550</v>
      </c>
      <c r="Z32" s="1558" t="str">
        <f t="shared" si="15"/>
        <v>建筑类型</v>
      </c>
      <c r="AA32" s="1559">
        <f t="shared" si="3"/>
        <v>1</v>
      </c>
      <c r="AB32" s="1559">
        <f t="shared" si="4"/>
        <v>1</v>
      </c>
      <c r="AC32" s="1559">
        <f t="shared" si="5"/>
        <v>1</v>
      </c>
    </row>
    <row r="33" spans="1:29" s="1334" customFormat="1" ht="15">
      <c r="A33" s="603"/>
      <c r="B33" s="527" t="s">
        <v>726</v>
      </c>
      <c r="C33" s="879">
        <f>'数据-基础表'!G5</f>
        <v>790993.2</v>
      </c>
      <c r="D33" s="255">
        <v>100</v>
      </c>
      <c r="E33" s="534">
        <v>73429</v>
      </c>
      <c r="F33" s="863">
        <f>LOOKUP(E33,103:103,104:104)-LOOKUP(C33,103:103,104:104)+100</f>
        <v>92</v>
      </c>
      <c r="G33" s="533">
        <v>131241.51</v>
      </c>
      <c r="H33" s="255">
        <f>LOOKUP(G33,103:103,104:104)-LOOKUP(C33,103:103,104:104)+100</f>
        <v>94</v>
      </c>
      <c r="I33" s="534">
        <v>262458</v>
      </c>
      <c r="J33" s="255">
        <f>LOOKUP(I33,103:103,104:104)-LOOKUP(C33,103:103,104:104)+100</f>
        <v>96</v>
      </c>
      <c r="K33" s="865"/>
      <c r="L33" s="2122"/>
      <c r="M33" s="2153"/>
      <c r="N33" s="2153"/>
      <c r="O33" s="2125"/>
      <c r="P33" s="3578"/>
      <c r="Q33" s="1587" t="str">
        <f t="shared" si="11"/>
        <v>项目建筑规模</v>
      </c>
      <c r="R33" s="1560" t="s">
        <v>11</v>
      </c>
      <c r="S33" s="1561">
        <f t="shared" si="12"/>
        <v>92</v>
      </c>
      <c r="T33" s="1560" t="s">
        <v>11</v>
      </c>
      <c r="U33" s="1561">
        <f t="shared" si="13"/>
        <v>94</v>
      </c>
      <c r="V33" s="1560" t="s">
        <v>11</v>
      </c>
      <c r="W33" s="1561">
        <f t="shared" si="14"/>
        <v>96</v>
      </c>
      <c r="X33" s="1562"/>
      <c r="Y33" s="3578"/>
      <c r="Z33" s="1563" t="str">
        <f t="shared" si="15"/>
        <v>项目建筑规模</v>
      </c>
      <c r="AA33" s="1559">
        <f t="shared" si="3"/>
        <v>1.0869565217391304</v>
      </c>
      <c r="AB33" s="1559">
        <f t="shared" si="4"/>
        <v>1.0638297872340425</v>
      </c>
      <c r="AC33" s="1559">
        <f t="shared" si="5"/>
        <v>1.0416666666666667</v>
      </c>
    </row>
    <row r="34" spans="1:29" ht="15">
      <c r="A34" s="594"/>
      <c r="B34" s="527" t="s">
        <v>727</v>
      </c>
      <c r="C34" s="880" t="s">
        <v>3135</v>
      </c>
      <c r="D34" s="540">
        <v>100</v>
      </c>
      <c r="E34" s="880" t="s">
        <v>3135</v>
      </c>
      <c r="F34" s="575">
        <f>SUMIF(105:105,E34,106:106)-SUMIF(105:105,C34,106:106)+100</f>
        <v>100</v>
      </c>
      <c r="G34" s="880" t="s">
        <v>3135</v>
      </c>
      <c r="H34" s="540">
        <f>SUMIF(105:105,G34,106:106)-SUMIF(105:105,C34,106:106)+100</f>
        <v>100</v>
      </c>
      <c r="I34" s="880" t="s">
        <v>3135</v>
      </c>
      <c r="J34" s="540">
        <f>SUMIF(105:105,I34,106:106)-SUMIF(105:105,C34,106:106)+100</f>
        <v>100</v>
      </c>
      <c r="K34" s="864">
        <v>1</v>
      </c>
      <c r="L34" s="2124"/>
      <c r="M34" s="2116"/>
      <c r="N34" s="2116"/>
      <c r="O34" s="2123"/>
      <c r="P34" s="3578"/>
      <c r="Q34" s="1555" t="str">
        <f t="shared" si="11"/>
        <v>建筑结构</v>
      </c>
      <c r="R34" s="1556" t="s">
        <v>11</v>
      </c>
      <c r="S34" s="1557">
        <f t="shared" si="12"/>
        <v>100</v>
      </c>
      <c r="T34" s="1556" t="s">
        <v>11</v>
      </c>
      <c r="U34" s="1557">
        <f t="shared" si="13"/>
        <v>100</v>
      </c>
      <c r="V34" s="1556" t="s">
        <v>11</v>
      </c>
      <c r="W34" s="1557">
        <f t="shared" si="14"/>
        <v>100</v>
      </c>
      <c r="X34" s="1550"/>
      <c r="Y34" s="3578"/>
      <c r="Z34" s="1558" t="str">
        <f t="shared" si="15"/>
        <v>建筑结构</v>
      </c>
      <c r="AA34" s="1559">
        <f t="shared" si="3"/>
        <v>1</v>
      </c>
      <c r="AB34" s="1559">
        <f t="shared" si="4"/>
        <v>1</v>
      </c>
      <c r="AC34" s="1559">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78"/>
      <c r="Q35" s="1555" t="str">
        <f t="shared" si="11"/>
        <v>建筑品质</v>
      </c>
      <c r="R35" s="1556" t="s">
        <v>11</v>
      </c>
      <c r="S35" s="1557">
        <f t="shared" si="12"/>
        <v>100</v>
      </c>
      <c r="T35" s="1556" t="s">
        <v>11</v>
      </c>
      <c r="U35" s="1557">
        <f t="shared" si="13"/>
        <v>100</v>
      </c>
      <c r="V35" s="1556" t="s">
        <v>11</v>
      </c>
      <c r="W35" s="1557">
        <f t="shared" si="14"/>
        <v>100</v>
      </c>
      <c r="X35" s="1550"/>
      <c r="Y35" s="3578"/>
      <c r="Z35" s="1558" t="str">
        <f t="shared" si="15"/>
        <v>建筑品质</v>
      </c>
      <c r="AA35" s="1559">
        <f t="shared" si="3"/>
        <v>1</v>
      </c>
      <c r="AB35" s="1559">
        <f t="shared" si="4"/>
        <v>1</v>
      </c>
      <c r="AC35" s="1559">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78"/>
      <c r="Q36" s="1555" t="str">
        <f t="shared" si="11"/>
        <v>公共部分装修</v>
      </c>
      <c r="R36" s="1556" t="s">
        <v>11</v>
      </c>
      <c r="S36" s="1557">
        <f t="shared" si="12"/>
        <v>100</v>
      </c>
      <c r="T36" s="1556" t="s">
        <v>11</v>
      </c>
      <c r="U36" s="1557">
        <f t="shared" si="13"/>
        <v>100</v>
      </c>
      <c r="V36" s="1556" t="s">
        <v>11</v>
      </c>
      <c r="W36" s="1557">
        <f t="shared" si="14"/>
        <v>100</v>
      </c>
      <c r="X36" s="1550"/>
      <c r="Y36" s="3578"/>
      <c r="Z36" s="1558" t="str">
        <f t="shared" si="15"/>
        <v>公共部分装修</v>
      </c>
      <c r="AA36" s="1559">
        <f t="shared" si="3"/>
        <v>1</v>
      </c>
      <c r="AB36" s="1559">
        <f t="shared" si="4"/>
        <v>1</v>
      </c>
      <c r="AC36" s="1559">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578"/>
      <c r="Q37" s="1146" t="str">
        <f t="shared" si="11"/>
        <v>成新度</v>
      </c>
      <c r="R37" s="1551" t="s">
        <v>11</v>
      </c>
      <c r="S37" s="1552">
        <f t="shared" si="12"/>
        <v>100</v>
      </c>
      <c r="T37" s="1551" t="s">
        <v>11</v>
      </c>
      <c r="U37" s="1552">
        <f t="shared" si="13"/>
        <v>100</v>
      </c>
      <c r="V37" s="1551" t="s">
        <v>11</v>
      </c>
      <c r="W37" s="1552">
        <f t="shared" si="14"/>
        <v>100</v>
      </c>
      <c r="X37" s="1553"/>
      <c r="Y37" s="3578"/>
      <c r="Z37" s="1145"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78" t="s">
        <v>550</v>
      </c>
      <c r="Q38" s="1555" t="str">
        <f t="shared" si="11"/>
        <v>物业管理</v>
      </c>
      <c r="R38" s="1556" t="s">
        <v>11</v>
      </c>
      <c r="S38" s="1557">
        <f t="shared" si="12"/>
        <v>100</v>
      </c>
      <c r="T38" s="1556" t="s">
        <v>11</v>
      </c>
      <c r="U38" s="1557">
        <f t="shared" si="13"/>
        <v>100</v>
      </c>
      <c r="V38" s="1556" t="s">
        <v>11</v>
      </c>
      <c r="W38" s="1557">
        <f t="shared" si="14"/>
        <v>100</v>
      </c>
      <c r="X38" s="1550"/>
      <c r="Y38" s="3578" t="s">
        <v>550</v>
      </c>
      <c r="Z38" s="1558" t="str">
        <f t="shared" si="15"/>
        <v>物业管理</v>
      </c>
      <c r="AA38" s="1559">
        <f t="shared" si="3"/>
        <v>1</v>
      </c>
      <c r="AB38" s="1559">
        <f t="shared" si="4"/>
        <v>1</v>
      </c>
      <c r="AC38" s="1559">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78"/>
      <c r="Q39" s="1555" t="str">
        <f t="shared" si="11"/>
        <v>市政基础设施</v>
      </c>
      <c r="R39" s="1556" t="s">
        <v>11</v>
      </c>
      <c r="S39" s="1557">
        <f t="shared" si="12"/>
        <v>100</v>
      </c>
      <c r="T39" s="1556" t="s">
        <v>11</v>
      </c>
      <c r="U39" s="1557">
        <f t="shared" si="13"/>
        <v>100</v>
      </c>
      <c r="V39" s="1556" t="s">
        <v>11</v>
      </c>
      <c r="W39" s="1557">
        <f t="shared" si="14"/>
        <v>100</v>
      </c>
      <c r="X39" s="1550"/>
      <c r="Y39" s="3578"/>
      <c r="Z39" s="1558" t="str">
        <f t="shared" si="15"/>
        <v>市政基础设施</v>
      </c>
      <c r="AA39" s="1559">
        <f t="shared" si="3"/>
        <v>1</v>
      </c>
      <c r="AB39" s="1559">
        <f t="shared" si="4"/>
        <v>1</v>
      </c>
      <c r="AC39" s="15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78"/>
      <c r="Q40" s="1555" t="str">
        <f t="shared" si="11"/>
        <v>房型</v>
      </c>
      <c r="R40" s="1556" t="s">
        <v>11</v>
      </c>
      <c r="S40" s="1557">
        <f t="shared" si="12"/>
        <v>100</v>
      </c>
      <c r="T40" s="1556" t="s">
        <v>11</v>
      </c>
      <c r="U40" s="1557">
        <f t="shared" si="13"/>
        <v>100</v>
      </c>
      <c r="V40" s="1556" t="s">
        <v>11</v>
      </c>
      <c r="W40" s="1557">
        <f t="shared" si="14"/>
        <v>100</v>
      </c>
      <c r="X40" s="1550"/>
      <c r="Y40" s="3578"/>
      <c r="Z40" s="1558" t="str">
        <f t="shared" si="15"/>
        <v>房型</v>
      </c>
      <c r="AA40" s="1559">
        <f t="shared" si="3"/>
        <v>1</v>
      </c>
      <c r="AB40" s="1559">
        <f t="shared" si="4"/>
        <v>1</v>
      </c>
      <c r="AC40" s="1559">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78"/>
      <c r="Q41" s="1587" t="str">
        <f t="shared" si="11"/>
        <v>单套/主力户型建筑面积</v>
      </c>
      <c r="R41" s="1560" t="s">
        <v>11</v>
      </c>
      <c r="S41" s="1561">
        <f t="shared" si="12"/>
        <v>100</v>
      </c>
      <c r="T41" s="1560" t="s">
        <v>11</v>
      </c>
      <c r="U41" s="1561">
        <f t="shared" si="13"/>
        <v>100</v>
      </c>
      <c r="V41" s="1560" t="s">
        <v>11</v>
      </c>
      <c r="W41" s="1561">
        <f t="shared" si="14"/>
        <v>100</v>
      </c>
      <c r="X41" s="1562"/>
      <c r="Y41" s="3578"/>
      <c r="Z41" s="1563" t="str">
        <f t="shared" si="15"/>
        <v>单套/主力户型建筑面积</v>
      </c>
      <c r="AA41" s="1559">
        <f t="shared" si="3"/>
        <v>1</v>
      </c>
      <c r="AB41" s="1559">
        <f t="shared" si="4"/>
        <v>1</v>
      </c>
      <c r="AC41" s="1559">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78"/>
      <c r="Q42" s="1555" t="str">
        <f t="shared" si="11"/>
        <v>内部装修</v>
      </c>
      <c r="R42" s="1556" t="s">
        <v>11</v>
      </c>
      <c r="S42" s="1557">
        <f t="shared" si="12"/>
        <v>100</v>
      </c>
      <c r="T42" s="1556" t="s">
        <v>11</v>
      </c>
      <c r="U42" s="1557">
        <f t="shared" si="13"/>
        <v>100</v>
      </c>
      <c r="V42" s="1556" t="s">
        <v>11</v>
      </c>
      <c r="W42" s="1557">
        <f t="shared" si="14"/>
        <v>100</v>
      </c>
      <c r="X42" s="1550"/>
      <c r="Y42" s="3578"/>
      <c r="Z42" s="1558" t="str">
        <f t="shared" si="15"/>
        <v>内部装修</v>
      </c>
      <c r="AA42" s="1559">
        <f t="shared" si="3"/>
        <v>1</v>
      </c>
      <c r="AB42" s="1559">
        <f t="shared" si="4"/>
        <v>1</v>
      </c>
      <c r="AC42" s="15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4"/>
      <c r="M43" s="2116"/>
      <c r="N43" s="2116"/>
      <c r="O43" s="2123"/>
      <c r="P43" s="3578"/>
      <c r="Q43" s="1555" t="str">
        <f t="shared" si="11"/>
        <v>内部装修维护情况</v>
      </c>
      <c r="R43" s="1556" t="s">
        <v>11</v>
      </c>
      <c r="S43" s="1557">
        <f t="shared" si="12"/>
        <v>100</v>
      </c>
      <c r="T43" s="1556" t="s">
        <v>11</v>
      </c>
      <c r="U43" s="1557">
        <f t="shared" si="13"/>
        <v>100</v>
      </c>
      <c r="V43" s="1556" t="s">
        <v>11</v>
      </c>
      <c r="W43" s="1557">
        <f t="shared" si="14"/>
        <v>100</v>
      </c>
      <c r="X43" s="1550"/>
      <c r="Y43" s="3578"/>
      <c r="Z43" s="1558" t="str">
        <f t="shared" si="15"/>
        <v>内部装修维护情况</v>
      </c>
      <c r="AA43" s="1559">
        <f t="shared" si="3"/>
        <v>1</v>
      </c>
      <c r="AB43" s="1559">
        <f t="shared" si="4"/>
        <v>1</v>
      </c>
      <c r="AC43" s="1559">
        <f t="shared" si="5"/>
        <v>1</v>
      </c>
    </row>
    <row r="44" spans="1:29" s="1215" customFormat="1" ht="15">
      <c r="A44" s="600"/>
      <c r="B44" s="3389" t="s">
        <v>3728</v>
      </c>
      <c r="C44" s="3390" t="s">
        <v>3729</v>
      </c>
      <c r="D44" s="255">
        <v>100</v>
      </c>
      <c r="E44" s="3390" t="s">
        <v>3730</v>
      </c>
      <c r="F44" s="863">
        <f>SUMIF(126:126,E44,127:127)-SUMIF(126:126,C44,127:127)+100</f>
        <v>100</v>
      </c>
      <c r="G44" s="3390" t="s">
        <v>3730</v>
      </c>
      <c r="H44" s="255">
        <f>SUMIF(126:126,G44,127:127)-SUMIF(126:126,C44,127:127)+100</f>
        <v>100</v>
      </c>
      <c r="I44" s="3390" t="s">
        <v>3731</v>
      </c>
      <c r="J44" s="255">
        <f>SUMIF(126:126,I44,127:127)-SUMIF(126:126,C44,127:127)+100</f>
        <v>95</v>
      </c>
      <c r="K44" s="865"/>
      <c r="L44" s="2117"/>
      <c r="M44" s="2118"/>
      <c r="N44" s="2118"/>
      <c r="O44" s="2119"/>
      <c r="P44" s="3578"/>
      <c r="Q44" s="1146" t="str">
        <f t="shared" si="11"/>
        <v>项目尾盘</v>
      </c>
      <c r="R44" s="1551" t="s">
        <v>11</v>
      </c>
      <c r="S44" s="1552">
        <f t="shared" si="12"/>
        <v>100</v>
      </c>
      <c r="T44" s="1551" t="s">
        <v>11</v>
      </c>
      <c r="U44" s="1552">
        <f t="shared" si="13"/>
        <v>100</v>
      </c>
      <c r="V44" s="1551" t="s">
        <v>11</v>
      </c>
      <c r="W44" s="1552">
        <f t="shared" si="14"/>
        <v>95</v>
      </c>
      <c r="X44" s="1553"/>
      <c r="Y44" s="3578"/>
      <c r="Z44" s="1145" t="str">
        <f t="shared" si="15"/>
        <v>项目尾盘</v>
      </c>
      <c r="AA44" s="1554">
        <f t="shared" si="3"/>
        <v>1</v>
      </c>
      <c r="AB44" s="1554">
        <f t="shared" si="4"/>
        <v>1</v>
      </c>
      <c r="AC44" s="1554">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78"/>
      <c r="Q45" s="1555">
        <f t="shared" si="11"/>
        <v>111</v>
      </c>
      <c r="R45" s="1556" t="s">
        <v>11</v>
      </c>
      <c r="S45" s="1557">
        <f t="shared" si="12"/>
        <v>100</v>
      </c>
      <c r="T45" s="1556" t="s">
        <v>11</v>
      </c>
      <c r="U45" s="1557">
        <f t="shared" si="13"/>
        <v>100</v>
      </c>
      <c r="V45" s="1556" t="s">
        <v>11</v>
      </c>
      <c r="W45" s="1557">
        <f t="shared" si="14"/>
        <v>100</v>
      </c>
      <c r="X45" s="1550"/>
      <c r="Y45" s="3578"/>
      <c r="Z45" s="1558">
        <f t="shared" si="15"/>
        <v>111</v>
      </c>
      <c r="AA45" s="1559">
        <f t="shared" si="3"/>
        <v>1</v>
      </c>
      <c r="AB45" s="1559">
        <f t="shared" si="4"/>
        <v>1</v>
      </c>
      <c r="AC45" s="1559">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80"/>
      <c r="Q46" s="1555">
        <f t="shared" si="11"/>
        <v>111</v>
      </c>
      <c r="R46" s="1556" t="s">
        <v>10</v>
      </c>
      <c r="S46" s="1557">
        <f t="shared" si="12"/>
        <v>100</v>
      </c>
      <c r="T46" s="1556" t="s">
        <v>10</v>
      </c>
      <c r="U46" s="1557">
        <f t="shared" si="13"/>
        <v>100</v>
      </c>
      <c r="V46" s="1556" t="s">
        <v>10</v>
      </c>
      <c r="W46" s="1557">
        <f t="shared" si="14"/>
        <v>100</v>
      </c>
      <c r="X46" s="1550"/>
      <c r="Y46" s="3680"/>
      <c r="Z46" s="1558">
        <f t="shared" si="15"/>
        <v>111</v>
      </c>
      <c r="AA46" s="1559">
        <f t="shared" si="3"/>
        <v>1</v>
      </c>
      <c r="AB46" s="1559">
        <f t="shared" si="4"/>
        <v>1</v>
      </c>
      <c r="AC46" s="1559">
        <f t="shared" si="5"/>
        <v>1</v>
      </c>
    </row>
    <row r="47" spans="1:29" ht="15">
      <c r="A47" s="607" t="s">
        <v>736</v>
      </c>
      <c r="B47" s="886"/>
      <c r="C47" s="2588" t="s">
        <v>9</v>
      </c>
      <c r="D47" s="2589"/>
      <c r="E47" s="2590">
        <v>11000</v>
      </c>
      <c r="F47" s="2591"/>
      <c r="G47" s="2592">
        <v>9500</v>
      </c>
      <c r="H47" s="2593"/>
      <c r="I47" s="2590">
        <v>9500</v>
      </c>
      <c r="J47" s="2593"/>
      <c r="K47" s="1588"/>
      <c r="L47" s="2126"/>
      <c r="M47" s="2127"/>
      <c r="N47" s="2116"/>
      <c r="O47" s="2127"/>
      <c r="P47" s="3573" t="str">
        <f>A47</f>
        <v>成交单价（元/平方米）</v>
      </c>
      <c r="Q47" s="3573"/>
      <c r="R47" s="3679">
        <f>E47</f>
        <v>11000</v>
      </c>
      <c r="S47" s="3679"/>
      <c r="T47" s="3679">
        <f>G47</f>
        <v>9500</v>
      </c>
      <c r="U47" s="3679"/>
      <c r="V47" s="3679">
        <f>I47</f>
        <v>9500</v>
      </c>
      <c r="W47" s="3679"/>
      <c r="X47" s="1542"/>
      <c r="Y47" s="1564"/>
      <c r="Z47" s="1542"/>
      <c r="AA47" s="1542"/>
      <c r="AB47" s="1542"/>
      <c r="AC47" s="1542"/>
    </row>
    <row r="48" spans="1:29" ht="15.75" thickBot="1">
      <c r="A48" s="615" t="s">
        <v>2756</v>
      </c>
      <c r="B48" s="887"/>
      <c r="C48" s="2594">
        <f>R49</f>
        <v>10827</v>
      </c>
      <c r="D48" s="2595"/>
      <c r="E48" s="2596">
        <f>R48</f>
        <v>11957</v>
      </c>
      <c r="F48" s="2596"/>
      <c r="G48" s="2594">
        <f>T48</f>
        <v>10106</v>
      </c>
      <c r="H48" s="2595"/>
      <c r="I48" s="2596">
        <f>V48</f>
        <v>10417</v>
      </c>
      <c r="J48" s="2595"/>
      <c r="K48" s="1589"/>
      <c r="L48" s="2126"/>
      <c r="M48" s="2127"/>
      <c r="N48" s="2127"/>
      <c r="O48" s="2127"/>
      <c r="P48" s="3573" t="str">
        <f>A48</f>
        <v>比较价格（元/平方米）</v>
      </c>
      <c r="Q48" s="3573"/>
      <c r="R48" s="3679">
        <f>IF(F1="售价",ROUND(PRODUCT(R47,AA7:AA46),0),ROUND(PRODUCT(R47,AA7:AA46),1))</f>
        <v>11957</v>
      </c>
      <c r="S48" s="3679"/>
      <c r="T48" s="3679">
        <f>IF(F1="售价",ROUND(PRODUCT(T47,AB7:AB46),0),ROUND(PRODUCT(T47,AB7:AB46),1))</f>
        <v>10106</v>
      </c>
      <c r="U48" s="3679"/>
      <c r="V48" s="3679">
        <f>IF(F1="售价",ROUND(PRODUCT(V47,AC7:AC46),0),ROUND(PRODUCT(V47,AC7:AC46),1))</f>
        <v>10417</v>
      </c>
      <c r="W48" s="3679"/>
      <c r="X48" s="1542"/>
      <c r="Y48" s="1542"/>
      <c r="Z48" s="1542"/>
      <c r="AA48" s="1542"/>
      <c r="AB48" s="1542"/>
      <c r="AC48" s="1542"/>
    </row>
    <row r="49" spans="1:29" ht="15.75" thickBot="1">
      <c r="A49" s="621" t="s">
        <v>2929</v>
      </c>
      <c r="B49" s="622"/>
      <c r="C49" s="2597">
        <f>R49</f>
        <v>10827</v>
      </c>
      <c r="D49" s="2597"/>
      <c r="E49" s="2597"/>
      <c r="F49" s="2597"/>
      <c r="G49" s="2597"/>
      <c r="H49" s="2597"/>
      <c r="I49" s="2597"/>
      <c r="J49" s="2597"/>
      <c r="K49" s="1590"/>
      <c r="L49" s="2126"/>
      <c r="M49" s="2127"/>
      <c r="N49" s="2127"/>
      <c r="O49" s="2127"/>
      <c r="P49" s="3594" t="str">
        <f>A49</f>
        <v>估价对象XX用房的比较价格（楼面单价，元/平方米）</v>
      </c>
      <c r="Q49" s="3595"/>
      <c r="R49" s="3678">
        <f>IF(F1="售价",ROUND(AVERAGE(R48:V48),0),ROUND(AVERAGE(R48:V48),1))</f>
        <v>10827</v>
      </c>
      <c r="S49" s="3678"/>
      <c r="T49" s="3678"/>
      <c r="U49" s="3678"/>
      <c r="V49" s="3678"/>
      <c r="W49" s="367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8.6999999999999966E-2</v>
      </c>
      <c r="F52" s="627" t="str">
        <f>IF(OR(E52&gt;=0.3,E52&lt;=-0.3),"超过30%","")</f>
        <v/>
      </c>
      <c r="G52" s="626">
        <f>IF(G47&lt;G48,G48/G47-1,G47/G48-1)</f>
        <v>6.3789473684210618E-2</v>
      </c>
      <c r="H52" s="627" t="str">
        <f>IF(OR(G52&gt;=0.3,G52&lt;=-0.3),"超过30%","")</f>
        <v/>
      </c>
      <c r="I52" s="626">
        <f>IF(I47&lt;I48,I48/I47-1,I47/I48-1)</f>
        <v>9.6526315789473793E-2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0.18315851969127261</v>
      </c>
      <c r="F53" s="627" t="str">
        <f>IF(OR(E53&gt;=0.2,E53&lt;=-0.2),"超过20%","")</f>
        <v/>
      </c>
      <c r="G53" s="626">
        <f>IF(G48&lt;I48,I48/G48-1,G48/I48-1)</f>
        <v>3.0773797743914422E-2</v>
      </c>
      <c r="H53" s="627" t="str">
        <f>IF(OR(G53&gt;=0.2,G53&lt;=-0.2),"超过20%","")</f>
        <v/>
      </c>
      <c r="I53" s="626">
        <f>IF(I48&lt;E48,E48/I48-1,I48/E48-1)</f>
        <v>0.14783526927138335</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0.15789473684210531</v>
      </c>
      <c r="F54" s="627" t="str">
        <f>IF(OR(E54&gt;=0.3,E54&lt;=-0.3),"超过30%","")</f>
        <v/>
      </c>
      <c r="G54" s="626">
        <f>IF(G47&lt;I47,I47/G47-1,G47/I47-1)</f>
        <v>0</v>
      </c>
      <c r="H54" s="627" t="str">
        <f>IF(OR(G54&gt;=0.3,G54&lt;=-0.3),"超过30%","")</f>
        <v/>
      </c>
      <c r="I54" s="626">
        <f>IF(I47&lt;E47,E47/I47-1,I47/E47-1)</f>
        <v>0.15789473684210531</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3647</v>
      </c>
      <c r="D100" s="3182" t="s">
        <v>3657</v>
      </c>
      <c r="E100" s="3182" t="s">
        <v>3658</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3652</v>
      </c>
      <c r="D116" s="3184" t="s">
        <v>3653</v>
      </c>
      <c r="E116" s="3184" t="s">
        <v>3654</v>
      </c>
      <c r="F116" s="3184" t="s">
        <v>3655</v>
      </c>
      <c r="G116" s="3184" t="s">
        <v>3656</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t="str">
        <f>B44</f>
        <v>项目尾盘</v>
      </c>
      <c r="C126" s="3184" t="s">
        <v>3730</v>
      </c>
      <c r="D126" s="3184" t="s">
        <v>3732</v>
      </c>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v>100</v>
      </c>
      <c r="D127" s="671">
        <v>95</v>
      </c>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1"/>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8"/>
    </row>
    <row r="4" spans="1:29" ht="15">
      <c r="A4" s="512" t="s">
        <v>521</v>
      </c>
      <c r="B4" s="513"/>
      <c r="C4" s="3579" t="s">
        <v>522</v>
      </c>
      <c r="D4" s="3580"/>
      <c r="E4" s="3603" t="s">
        <v>523</v>
      </c>
      <c r="F4" s="3604"/>
      <c r="G4" s="3579" t="s">
        <v>524</v>
      </c>
      <c r="H4" s="3580"/>
      <c r="I4" s="3579" t="s">
        <v>525</v>
      </c>
      <c r="J4" s="3580"/>
      <c r="K4" s="514" t="s">
        <v>526</v>
      </c>
      <c r="L4" s="2115"/>
      <c r="M4" s="2116"/>
      <c r="N4" s="2116"/>
      <c r="O4" s="2116"/>
      <c r="P4" s="3581" t="s">
        <v>527</v>
      </c>
      <c r="Q4" s="3582"/>
      <c r="R4" s="3567" t="s">
        <v>523</v>
      </c>
      <c r="S4" s="3568"/>
      <c r="T4" s="3567" t="s">
        <v>524</v>
      </c>
      <c r="U4" s="3568"/>
      <c r="V4" s="3587" t="s">
        <v>525</v>
      </c>
      <c r="W4" s="3587"/>
      <c r="X4" s="1550"/>
      <c r="Y4" s="3567" t="s">
        <v>527</v>
      </c>
      <c r="Z4" s="3568"/>
      <c r="AA4" s="3562" t="s">
        <v>523</v>
      </c>
      <c r="AB4" s="3587" t="s">
        <v>524</v>
      </c>
      <c r="AC4" s="3562" t="s">
        <v>525</v>
      </c>
    </row>
    <row r="5" spans="1:29" ht="15">
      <c r="A5" s="515"/>
      <c r="B5" s="516"/>
      <c r="C5" s="3590" t="s">
        <v>2923</v>
      </c>
      <c r="D5" s="3591"/>
      <c r="E5" s="3605" t="s">
        <v>2924</v>
      </c>
      <c r="F5" s="3606"/>
      <c r="G5" s="3590" t="s">
        <v>2925</v>
      </c>
      <c r="H5" s="3591"/>
      <c r="I5" s="3590" t="s">
        <v>2926</v>
      </c>
      <c r="J5" s="3591"/>
      <c r="K5" s="514"/>
      <c r="L5" s="2115"/>
      <c r="M5" s="2116"/>
      <c r="N5" s="2116"/>
      <c r="O5" s="2116"/>
      <c r="P5" s="3583"/>
      <c r="Q5" s="3584"/>
      <c r="R5" s="3569"/>
      <c r="S5" s="3570"/>
      <c r="T5" s="3569"/>
      <c r="U5" s="3570"/>
      <c r="V5" s="3587"/>
      <c r="W5" s="3587"/>
      <c r="X5" s="1550"/>
      <c r="Y5" s="3569"/>
      <c r="Z5" s="3570"/>
      <c r="AA5" s="3563"/>
      <c r="AB5" s="3587"/>
      <c r="AC5" s="3563"/>
    </row>
    <row r="6" spans="1:29" ht="15.75" thickBot="1">
      <c r="A6" s="517"/>
      <c r="B6" s="518"/>
      <c r="C6" s="3588" t="s">
        <v>2927</v>
      </c>
      <c r="D6" s="3589"/>
      <c r="E6" s="3607" t="s">
        <v>2927</v>
      </c>
      <c r="F6" s="3608"/>
      <c r="G6" s="3588" t="s">
        <v>2927</v>
      </c>
      <c r="H6" s="3589"/>
      <c r="I6" s="3588" t="s">
        <v>2927</v>
      </c>
      <c r="J6" s="3589"/>
      <c r="K6" s="514" t="s">
        <v>528</v>
      </c>
      <c r="L6" s="2115"/>
      <c r="M6" s="2116"/>
      <c r="N6" s="2116"/>
      <c r="O6" s="2116"/>
      <c r="P6" s="3585"/>
      <c r="Q6" s="3586"/>
      <c r="R6" s="3569"/>
      <c r="S6" s="3570"/>
      <c r="T6" s="3571"/>
      <c r="U6" s="3572"/>
      <c r="V6" s="3587"/>
      <c r="W6" s="3587"/>
      <c r="X6" s="1550"/>
      <c r="Y6" s="3571"/>
      <c r="Z6" s="3572"/>
      <c r="AA6" s="3564"/>
      <c r="AB6" s="3587"/>
      <c r="AC6" s="3564"/>
    </row>
    <row r="7" spans="1:29" s="1215" customFormat="1" ht="15.75" thickBot="1">
      <c r="A7" s="2864"/>
      <c r="B7" s="2871" t="s">
        <v>529</v>
      </c>
      <c r="C7" s="519">
        <f>'数据-取费表'!B2</f>
        <v>43763</v>
      </c>
      <c r="D7" s="520">
        <v>100</v>
      </c>
      <c r="E7" s="521"/>
      <c r="F7" s="522">
        <f>SUMIF(58:58,YEAR(E7)&amp;"-"&amp;MONTH(E7),59:59)</f>
        <v>0</v>
      </c>
      <c r="G7" s="521"/>
      <c r="H7" s="520">
        <f>SUMIF(58:58,YEAR(G7)&amp;"-"&amp;MONTH(G7),59:59)</f>
        <v>0</v>
      </c>
      <c r="I7" s="521"/>
      <c r="J7" s="520">
        <f>SUMIF(58:58,YEAR(I7)&amp;"-"&amp;MONTH(I7),59:59)</f>
        <v>0</v>
      </c>
      <c r="K7" s="524"/>
      <c r="L7" s="2117"/>
      <c r="M7" s="2118"/>
      <c r="N7" s="2118"/>
      <c r="O7" s="2118"/>
      <c r="P7" s="3565" t="s">
        <v>530</v>
      </c>
      <c r="Q7" s="3574"/>
      <c r="R7" s="1551" t="s">
        <v>8</v>
      </c>
      <c r="S7" s="1552">
        <f t="shared" ref="S7:S15" si="0">F7</f>
        <v>0</v>
      </c>
      <c r="T7" s="1551" t="s">
        <v>8</v>
      </c>
      <c r="U7" s="1552">
        <f t="shared" ref="U7:U15" si="1">H7</f>
        <v>0</v>
      </c>
      <c r="V7" s="1551" t="s">
        <v>8</v>
      </c>
      <c r="W7" s="1552">
        <f t="shared" ref="W7:W15" si="2">J7</f>
        <v>0</v>
      </c>
      <c r="X7" s="1553"/>
      <c r="Y7" s="3565" t="s">
        <v>530</v>
      </c>
      <c r="Z7" s="3566"/>
      <c r="AA7" s="1554" t="e">
        <f>D7/F7</f>
        <v>#DIV/0!</v>
      </c>
      <c r="AB7" s="1554" t="e">
        <f>D7/H7</f>
        <v>#DIV/0!</v>
      </c>
      <c r="AC7" s="1554"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565" t="s">
        <v>533</v>
      </c>
      <c r="Q8" s="3566"/>
      <c r="R8" s="1551" t="s">
        <v>8</v>
      </c>
      <c r="S8" s="1552">
        <f t="shared" si="0"/>
        <v>0</v>
      </c>
      <c r="T8" s="1551" t="s">
        <v>8</v>
      </c>
      <c r="U8" s="1552">
        <f t="shared" si="1"/>
        <v>0</v>
      </c>
      <c r="V8" s="1551" t="s">
        <v>8</v>
      </c>
      <c r="W8" s="1552">
        <f t="shared" si="2"/>
        <v>0</v>
      </c>
      <c r="X8" s="1553"/>
      <c r="Y8" s="3565" t="s">
        <v>533</v>
      </c>
      <c r="Z8" s="3566"/>
      <c r="AA8" s="1554" t="e">
        <f t="shared" ref="AA8:AA46" si="3">D8/F8</f>
        <v>#DIV/0!</v>
      </c>
      <c r="AB8" s="1554" t="e">
        <f t="shared" ref="AB8:AB46" si="4">D8/H8</f>
        <v>#DIV/0!</v>
      </c>
      <c r="AC8" s="1554" t="e">
        <f t="shared" ref="AC8:AC46" si="5">D8/J8</f>
        <v>#DIV/0!</v>
      </c>
    </row>
    <row r="9" spans="1:29" s="1215" customFormat="1" ht="15">
      <c r="A9" s="2866"/>
      <c r="B9" s="2873" t="s">
        <v>2752</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573" t="s">
        <v>535</v>
      </c>
      <c r="Q9" s="1146" t="str">
        <f t="shared" ref="Q9:Q15" si="6">B9</f>
        <v>用途</v>
      </c>
      <c r="R9" s="1551" t="s">
        <v>8</v>
      </c>
      <c r="S9" s="1552">
        <f t="shared" si="0"/>
        <v>100</v>
      </c>
      <c r="T9" s="1551" t="s">
        <v>8</v>
      </c>
      <c r="U9" s="1552">
        <f t="shared" si="1"/>
        <v>100</v>
      </c>
      <c r="V9" s="1551" t="s">
        <v>8</v>
      </c>
      <c r="W9" s="1552">
        <f t="shared" si="2"/>
        <v>100</v>
      </c>
      <c r="X9" s="1553"/>
      <c r="Y9" s="3530"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573"/>
      <c r="Q10" s="1146" t="str">
        <f t="shared" si="6"/>
        <v>土地使用年限（年）</v>
      </c>
      <c r="R10" s="1551" t="s">
        <v>8</v>
      </c>
      <c r="S10" s="1552">
        <f t="shared" si="0"/>
        <v>100</v>
      </c>
      <c r="T10" s="1551" t="s">
        <v>8</v>
      </c>
      <c r="U10" s="1552">
        <f t="shared" si="1"/>
        <v>100</v>
      </c>
      <c r="V10" s="1551" t="s">
        <v>8</v>
      </c>
      <c r="W10" s="1552">
        <f t="shared" si="2"/>
        <v>100</v>
      </c>
      <c r="X10" s="1553"/>
      <c r="Y10" s="3530"/>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573"/>
      <c r="Q11" s="1146" t="str">
        <f t="shared" si="6"/>
        <v>容积率</v>
      </c>
      <c r="R11" s="1551" t="s">
        <v>8</v>
      </c>
      <c r="S11" s="1552" t="e">
        <f t="shared" si="0"/>
        <v>#N/A</v>
      </c>
      <c r="T11" s="1551" t="s">
        <v>8</v>
      </c>
      <c r="U11" s="1552" t="e">
        <f t="shared" si="1"/>
        <v>#N/A</v>
      </c>
      <c r="V11" s="1551" t="s">
        <v>8</v>
      </c>
      <c r="W11" s="1552" t="e">
        <f t="shared" si="2"/>
        <v>#N/A</v>
      </c>
      <c r="X11" s="1553"/>
      <c r="Y11" s="3530"/>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7"/>
      <c r="M12" s="2118"/>
      <c r="N12" s="2118"/>
      <c r="O12" s="2119"/>
      <c r="P12" s="3573"/>
      <c r="Q12" s="1146">
        <f t="shared" si="6"/>
        <v>111</v>
      </c>
      <c r="R12" s="1551" t="s">
        <v>8</v>
      </c>
      <c r="S12" s="1552">
        <f t="shared" si="0"/>
        <v>100</v>
      </c>
      <c r="T12" s="1551" t="s">
        <v>8</v>
      </c>
      <c r="U12" s="1552">
        <f t="shared" si="1"/>
        <v>100</v>
      </c>
      <c r="V12" s="1551" t="s">
        <v>8</v>
      </c>
      <c r="W12" s="1552">
        <f t="shared" si="2"/>
        <v>100</v>
      </c>
      <c r="X12" s="1553"/>
      <c r="Y12" s="3530"/>
      <c r="Z12" s="1145">
        <f t="shared" si="7"/>
        <v>111</v>
      </c>
      <c r="AA12" s="1554">
        <f>D12/F12</f>
        <v>1</v>
      </c>
      <c r="AB12" s="1554">
        <f>D12/H12</f>
        <v>1</v>
      </c>
      <c r="AC12" s="1554">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4"/>
      <c r="M13" s="2116"/>
      <c r="N13" s="2116"/>
      <c r="O13" s="2123"/>
      <c r="P13" s="3573"/>
      <c r="Q13" s="1146">
        <f t="shared" si="6"/>
        <v>111</v>
      </c>
      <c r="R13" s="1551" t="s">
        <v>8</v>
      </c>
      <c r="S13" s="1552">
        <f t="shared" si="0"/>
        <v>100</v>
      </c>
      <c r="T13" s="1551" t="s">
        <v>8</v>
      </c>
      <c r="U13" s="1552">
        <f t="shared" si="1"/>
        <v>100</v>
      </c>
      <c r="V13" s="1551" t="s">
        <v>8</v>
      </c>
      <c r="W13" s="1552">
        <f t="shared" si="2"/>
        <v>100</v>
      </c>
      <c r="X13" s="1553"/>
      <c r="Y13" s="3530"/>
      <c r="Z13" s="1145">
        <f t="shared" si="7"/>
        <v>111</v>
      </c>
      <c r="AA13" s="1554">
        <f t="shared" si="3"/>
        <v>1</v>
      </c>
      <c r="AB13" s="1554">
        <f t="shared" si="4"/>
        <v>1</v>
      </c>
      <c r="AC13" s="1554">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4"/>
      <c r="M14" s="2116"/>
      <c r="N14" s="2116"/>
      <c r="O14" s="2123"/>
      <c r="P14" s="3573"/>
      <c r="Q14" s="1146">
        <f t="shared" si="6"/>
        <v>111</v>
      </c>
      <c r="R14" s="1551" t="s">
        <v>8</v>
      </c>
      <c r="S14" s="1552">
        <f t="shared" si="0"/>
        <v>100</v>
      </c>
      <c r="T14" s="1551" t="s">
        <v>8</v>
      </c>
      <c r="U14" s="1552">
        <f t="shared" si="1"/>
        <v>100</v>
      </c>
      <c r="V14" s="1551" t="s">
        <v>8</v>
      </c>
      <c r="W14" s="1552">
        <f t="shared" si="2"/>
        <v>100</v>
      </c>
      <c r="X14" s="1553"/>
      <c r="Y14" s="3530"/>
      <c r="Z14" s="1145">
        <f t="shared" si="7"/>
        <v>111</v>
      </c>
      <c r="AA14" s="1554">
        <f t="shared" si="3"/>
        <v>1</v>
      </c>
      <c r="AB14" s="1554">
        <f t="shared" si="4"/>
        <v>1</v>
      </c>
      <c r="AC14" s="1554">
        <f t="shared" si="5"/>
        <v>1</v>
      </c>
    </row>
    <row r="15" spans="1:29" ht="71.25">
      <c r="A15" s="2862"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4"/>
      <c r="M15" s="2116"/>
      <c r="N15" s="2116"/>
      <c r="O15" s="2123"/>
      <c r="P15" s="3575" t="s">
        <v>540</v>
      </c>
      <c r="Q15" s="1555" t="str">
        <f t="shared" si="6"/>
        <v>商业繁华度</v>
      </c>
      <c r="R15" s="1556" t="s">
        <v>8</v>
      </c>
      <c r="S15" s="1557">
        <f t="shared" si="0"/>
        <v>100</v>
      </c>
      <c r="T15" s="1556" t="s">
        <v>8</v>
      </c>
      <c r="U15" s="1557">
        <f t="shared" si="1"/>
        <v>100</v>
      </c>
      <c r="V15" s="1556" t="s">
        <v>8</v>
      </c>
      <c r="W15" s="1557">
        <f t="shared" si="2"/>
        <v>100</v>
      </c>
      <c r="X15" s="1550"/>
      <c r="Y15" s="3575" t="s">
        <v>540</v>
      </c>
      <c r="Z15" s="1558" t="str">
        <f t="shared" si="7"/>
        <v>商业繁华度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576"/>
      <c r="Q16" s="1555"/>
      <c r="R16" s="1556"/>
      <c r="S16" s="1557"/>
      <c r="T16" s="1556"/>
      <c r="U16" s="1557"/>
      <c r="V16" s="1556"/>
      <c r="W16" s="1557"/>
      <c r="X16" s="1550"/>
      <c r="Y16" s="3576"/>
      <c r="Z16" s="1558"/>
      <c r="AA16" s="1559">
        <v>1</v>
      </c>
      <c r="AB16" s="1559">
        <v>1</v>
      </c>
      <c r="AC16" s="15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4"/>
      <c r="M17" s="2116"/>
      <c r="N17" s="2116"/>
      <c r="O17" s="2123"/>
      <c r="P17" s="3576"/>
      <c r="Q17" s="1555" t="str">
        <f>B17</f>
        <v>交通便捷度</v>
      </c>
      <c r="R17" s="1556" t="s">
        <v>8</v>
      </c>
      <c r="S17" s="1557">
        <f>F17</f>
        <v>100</v>
      </c>
      <c r="T17" s="1556" t="s">
        <v>8</v>
      </c>
      <c r="U17" s="1557">
        <f>H17</f>
        <v>100</v>
      </c>
      <c r="V17" s="1556" t="s">
        <v>8</v>
      </c>
      <c r="W17" s="1557">
        <f>J17</f>
        <v>100</v>
      </c>
      <c r="X17" s="1550"/>
      <c r="Y17" s="3576"/>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576"/>
      <c r="Q18" s="1555"/>
      <c r="R18" s="1556"/>
      <c r="S18" s="1557"/>
      <c r="T18" s="1556"/>
      <c r="U18" s="1557"/>
      <c r="V18" s="1556"/>
      <c r="W18" s="1557"/>
      <c r="X18" s="1550"/>
      <c r="Y18" s="3576"/>
      <c r="Z18" s="1558"/>
      <c r="AA18" s="1559">
        <v>1</v>
      </c>
      <c r="AB18" s="1559">
        <v>1</v>
      </c>
      <c r="AC18" s="15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4"/>
      <c r="M19" s="2116"/>
      <c r="N19" s="2116"/>
      <c r="O19" s="2123"/>
      <c r="P19" s="3576"/>
      <c r="Q19" s="1555" t="str">
        <f>B19</f>
        <v>公共配套设施</v>
      </c>
      <c r="R19" s="1556" t="s">
        <v>8</v>
      </c>
      <c r="S19" s="1557">
        <f>F19</f>
        <v>100</v>
      </c>
      <c r="T19" s="1556" t="s">
        <v>8</v>
      </c>
      <c r="U19" s="1557">
        <f>H19</f>
        <v>100</v>
      </c>
      <c r="V19" s="1556" t="s">
        <v>8</v>
      </c>
      <c r="W19" s="1557">
        <f>J19</f>
        <v>100</v>
      </c>
      <c r="X19" s="1550"/>
      <c r="Y19" s="3576"/>
      <c r="Z19" s="1558" t="str">
        <f>Q19</f>
        <v>公共配套设施</v>
      </c>
      <c r="AA19" s="1559">
        <f t="shared" si="3"/>
        <v>1</v>
      </c>
      <c r="AB19" s="1559">
        <f t="shared" si="4"/>
        <v>1</v>
      </c>
      <c r="AC19" s="1559">
        <f t="shared" si="5"/>
        <v>1</v>
      </c>
    </row>
    <row r="20" spans="1:29" ht="15">
      <c r="A20" s="532"/>
      <c r="B20" s="595"/>
      <c r="C20" s="576"/>
      <c r="D20" s="555"/>
      <c r="E20" s="556"/>
      <c r="F20" s="557"/>
      <c r="G20" s="558"/>
      <c r="H20" s="555"/>
      <c r="I20" s="556"/>
      <c r="J20" s="555"/>
      <c r="K20" s="898"/>
      <c r="L20" s="2124"/>
      <c r="M20" s="2116"/>
      <c r="N20" s="2116"/>
      <c r="O20" s="2123"/>
      <c r="P20" s="3576"/>
      <c r="Q20" s="1555"/>
      <c r="R20" s="1556"/>
      <c r="S20" s="1557"/>
      <c r="T20" s="1556"/>
      <c r="U20" s="1557"/>
      <c r="V20" s="1556"/>
      <c r="W20" s="1557"/>
      <c r="X20" s="1550"/>
      <c r="Y20" s="3576"/>
      <c r="Z20" s="1558"/>
      <c r="AA20" s="1559">
        <v>1</v>
      </c>
      <c r="AB20" s="1559">
        <v>1</v>
      </c>
      <c r="AC20" s="1559">
        <v>1</v>
      </c>
    </row>
    <row r="21" spans="1:29" ht="15">
      <c r="A21" s="532"/>
      <c r="B21" s="2554"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4"/>
      <c r="M21" s="2116"/>
      <c r="N21" s="2116"/>
      <c r="O21" s="2123"/>
      <c r="P21" s="3576"/>
      <c r="Q21" s="2540" t="str">
        <f>B21</f>
        <v>基础设施水平</v>
      </c>
      <c r="R21" s="1556" t="s">
        <v>8</v>
      </c>
      <c r="S21" s="1557">
        <f>F21</f>
        <v>100</v>
      </c>
      <c r="T21" s="1556" t="s">
        <v>8</v>
      </c>
      <c r="U21" s="1557">
        <f>H21</f>
        <v>100</v>
      </c>
      <c r="V21" s="1556" t="s">
        <v>8</v>
      </c>
      <c r="W21" s="1557">
        <f>J21</f>
        <v>100</v>
      </c>
      <c r="X21" s="2542"/>
      <c r="Y21" s="3576"/>
      <c r="Z21" s="2541" t="str">
        <f>Q21</f>
        <v>基础设施水平</v>
      </c>
      <c r="AA21" s="1559">
        <f t="shared" ref="AA21" si="8">D21/F21</f>
        <v>1</v>
      </c>
      <c r="AB21" s="1559">
        <f t="shared" ref="AB21" si="9">D21/H21</f>
        <v>1</v>
      </c>
      <c r="AC21" s="1559">
        <f t="shared" ref="AC21" si="10">D21/J21</f>
        <v>1</v>
      </c>
    </row>
    <row r="22" spans="1:29" ht="15">
      <c r="A22" s="532"/>
      <c r="B22" s="921"/>
      <c r="C22" s="873"/>
      <c r="D22" s="555"/>
      <c r="E22" s="576"/>
      <c r="F22" s="557"/>
      <c r="G22" s="576"/>
      <c r="H22" s="555"/>
      <c r="I22" s="576"/>
      <c r="J22" s="555"/>
      <c r="K22" s="2563"/>
      <c r="L22" s="2124"/>
      <c r="M22" s="2116"/>
      <c r="N22" s="2116"/>
      <c r="O22" s="2123"/>
      <c r="P22" s="3576"/>
      <c r="Q22" s="2540"/>
      <c r="R22" s="1556"/>
      <c r="S22" s="1557"/>
      <c r="T22" s="1556"/>
      <c r="U22" s="1557"/>
      <c r="V22" s="1556"/>
      <c r="W22" s="1557"/>
      <c r="X22" s="2542"/>
      <c r="Y22" s="3576"/>
      <c r="Z22" s="2541"/>
      <c r="AA22" s="1559">
        <v>1</v>
      </c>
      <c r="AB22" s="1559">
        <v>1</v>
      </c>
      <c r="AC22" s="1559">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24"/>
      <c r="M23" s="2116"/>
      <c r="N23" s="2116"/>
      <c r="O23" s="2123"/>
      <c r="P23" s="3576"/>
      <c r="Q23" s="1555" t="str">
        <f>B23</f>
        <v>自然及人文环境</v>
      </c>
      <c r="R23" s="1556" t="s">
        <v>8</v>
      </c>
      <c r="S23" s="1557">
        <f>F23</f>
        <v>100</v>
      </c>
      <c r="T23" s="1556" t="s">
        <v>8</v>
      </c>
      <c r="U23" s="1557">
        <f>H23</f>
        <v>100</v>
      </c>
      <c r="V23" s="1556" t="s">
        <v>8</v>
      </c>
      <c r="W23" s="1557">
        <f>J23</f>
        <v>100</v>
      </c>
      <c r="X23" s="1550"/>
      <c r="Y23" s="3576"/>
      <c r="Z23" s="1558" t="str">
        <f>Q23</f>
        <v>自然及人文环境</v>
      </c>
      <c r="AA23" s="1559">
        <f t="shared" si="3"/>
        <v>1</v>
      </c>
      <c r="AB23" s="1559">
        <f t="shared" si="4"/>
        <v>1</v>
      </c>
      <c r="AC23" s="1559">
        <f t="shared" si="5"/>
        <v>1</v>
      </c>
    </row>
    <row r="24" spans="1:29" ht="15">
      <c r="A24" s="532"/>
      <c r="B24" s="595"/>
      <c r="C24" s="576"/>
      <c r="D24" s="555"/>
      <c r="E24" s="556"/>
      <c r="F24" s="557"/>
      <c r="G24" s="558"/>
      <c r="H24" s="555"/>
      <c r="I24" s="556"/>
      <c r="J24" s="555"/>
      <c r="K24" s="898"/>
      <c r="L24" s="2124"/>
      <c r="M24" s="2116"/>
      <c r="N24" s="2116"/>
      <c r="O24" s="2123"/>
      <c r="P24" s="3576"/>
      <c r="Q24" s="1555"/>
      <c r="R24" s="1556"/>
      <c r="S24" s="1557"/>
      <c r="T24" s="1556"/>
      <c r="U24" s="1557"/>
      <c r="V24" s="1556"/>
      <c r="W24" s="1557"/>
      <c r="X24" s="1550"/>
      <c r="Y24" s="3576"/>
      <c r="Z24" s="1558"/>
      <c r="AA24" s="1559">
        <v>1</v>
      </c>
      <c r="AB24" s="1559">
        <v>1</v>
      </c>
      <c r="AC24" s="1559">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576"/>
      <c r="Q25" s="1555" t="str">
        <f t="shared" ref="Q25:Q46" si="11">B25</f>
        <v>临街状况</v>
      </c>
      <c r="R25" s="1556" t="s">
        <v>8</v>
      </c>
      <c r="S25" s="1557">
        <f>F25</f>
        <v>100</v>
      </c>
      <c r="T25" s="1556" t="s">
        <v>8</v>
      </c>
      <c r="U25" s="1557">
        <f>H25</f>
        <v>100</v>
      </c>
      <c r="V25" s="1556" t="s">
        <v>8</v>
      </c>
      <c r="W25" s="1557">
        <f>J25</f>
        <v>100</v>
      </c>
      <c r="X25" s="1550"/>
      <c r="Y25" s="3576"/>
      <c r="Z25" s="1558" t="str">
        <f>Q25</f>
        <v>临街状况</v>
      </c>
      <c r="AA25" s="1559">
        <f t="shared" si="3"/>
        <v>1</v>
      </c>
      <c r="AB25" s="1559">
        <f t="shared" si="4"/>
        <v>1</v>
      </c>
      <c r="AC25" s="1559">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576"/>
      <c r="Q26" s="1555" t="str">
        <f t="shared" si="11"/>
        <v>平面位置/可视性</v>
      </c>
      <c r="R26" s="1556" t="s">
        <v>8</v>
      </c>
      <c r="S26" s="1557">
        <f>F26</f>
        <v>100</v>
      </c>
      <c r="T26" s="1556" t="s">
        <v>8</v>
      </c>
      <c r="U26" s="1557">
        <f>H26</f>
        <v>100</v>
      </c>
      <c r="V26" s="1556" t="s">
        <v>8</v>
      </c>
      <c r="W26" s="1557">
        <f>J26</f>
        <v>100</v>
      </c>
      <c r="X26" s="1550"/>
      <c r="Y26" s="3576"/>
      <c r="Z26" s="1558" t="str">
        <f>Q26</f>
        <v>平面位置/可视性</v>
      </c>
      <c r="AA26" s="1559">
        <f t="shared" si="3"/>
        <v>1</v>
      </c>
      <c r="AB26" s="1559">
        <f t="shared" si="4"/>
        <v>1</v>
      </c>
      <c r="AC26" s="1559">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7"/>
      <c r="M27" s="2118"/>
      <c r="N27" s="2118"/>
      <c r="O27" s="2119"/>
      <c r="P27" s="3576"/>
      <c r="Q27" s="1146" t="str">
        <f t="shared" si="11"/>
        <v>人流量</v>
      </c>
      <c r="R27" s="1551" t="s">
        <v>8</v>
      </c>
      <c r="S27" s="1552">
        <f>F27</f>
        <v>100</v>
      </c>
      <c r="T27" s="1551" t="s">
        <v>8</v>
      </c>
      <c r="U27" s="1552">
        <f>H27</f>
        <v>100</v>
      </c>
      <c r="V27" s="1551" t="s">
        <v>8</v>
      </c>
      <c r="W27" s="1552">
        <f>J27</f>
        <v>100</v>
      </c>
      <c r="X27" s="1553"/>
      <c r="Y27" s="3576"/>
      <c r="Z27" s="1145" t="str">
        <f>Q27</f>
        <v>人流量</v>
      </c>
      <c r="AA27" s="1559">
        <f>D27/F27</f>
        <v>1</v>
      </c>
      <c r="AB27" s="1559">
        <f>D27/H27</f>
        <v>1</v>
      </c>
      <c r="AC27" s="1559">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57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76"/>
      <c r="Z28" s="1558" t="str">
        <f t="shared" ref="Z28:Z46" si="15">Q28</f>
        <v>楼层</v>
      </c>
      <c r="AA28" s="1559">
        <f t="shared" si="3"/>
        <v>1</v>
      </c>
      <c r="AB28" s="1559">
        <f t="shared" si="4"/>
        <v>1</v>
      </c>
      <c r="AC28" s="15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76"/>
      <c r="Q29" s="1555">
        <f t="shared" si="11"/>
        <v>111</v>
      </c>
      <c r="R29" s="1556" t="s">
        <v>8</v>
      </c>
      <c r="S29" s="1557">
        <f t="shared" si="12"/>
        <v>100</v>
      </c>
      <c r="T29" s="1556" t="s">
        <v>8</v>
      </c>
      <c r="U29" s="1557">
        <f t="shared" si="13"/>
        <v>100</v>
      </c>
      <c r="V29" s="1556" t="s">
        <v>8</v>
      </c>
      <c r="W29" s="1557">
        <f t="shared" si="14"/>
        <v>100</v>
      </c>
      <c r="X29" s="1550"/>
      <c r="Y29" s="3576"/>
      <c r="Z29" s="1558">
        <f t="shared" si="15"/>
        <v>111</v>
      </c>
      <c r="AA29" s="1559">
        <f t="shared" si="3"/>
        <v>1</v>
      </c>
      <c r="AB29" s="1559">
        <f t="shared" si="4"/>
        <v>1</v>
      </c>
      <c r="AC29" s="15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76"/>
      <c r="Q30" s="1555">
        <f t="shared" si="11"/>
        <v>111</v>
      </c>
      <c r="R30" s="1556" t="s">
        <v>8</v>
      </c>
      <c r="S30" s="1557">
        <f t="shared" si="12"/>
        <v>100</v>
      </c>
      <c r="T30" s="1556" t="s">
        <v>8</v>
      </c>
      <c r="U30" s="1557">
        <f t="shared" si="13"/>
        <v>100</v>
      </c>
      <c r="V30" s="1556" t="s">
        <v>8</v>
      </c>
      <c r="W30" s="1557">
        <f t="shared" si="14"/>
        <v>100</v>
      </c>
      <c r="X30" s="1550"/>
      <c r="Y30" s="3576"/>
      <c r="Z30" s="1558">
        <f t="shared" si="15"/>
        <v>111</v>
      </c>
      <c r="AA30" s="1559">
        <f t="shared" si="3"/>
        <v>1</v>
      </c>
      <c r="AB30" s="1559">
        <f t="shared" si="4"/>
        <v>1</v>
      </c>
      <c r="AC30" s="155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76"/>
      <c r="Q31" s="1555">
        <f t="shared" si="11"/>
        <v>111</v>
      </c>
      <c r="R31" s="1556" t="s">
        <v>8</v>
      </c>
      <c r="S31" s="1557">
        <f t="shared" si="12"/>
        <v>100</v>
      </c>
      <c r="T31" s="1556" t="s">
        <v>8</v>
      </c>
      <c r="U31" s="1557">
        <f t="shared" si="13"/>
        <v>100</v>
      </c>
      <c r="V31" s="1556" t="s">
        <v>8</v>
      </c>
      <c r="W31" s="1557">
        <f t="shared" si="14"/>
        <v>100</v>
      </c>
      <c r="X31" s="1550"/>
      <c r="Y31" s="3576"/>
      <c r="Z31" s="1558">
        <f t="shared" si="15"/>
        <v>111</v>
      </c>
      <c r="AA31" s="1559">
        <f t="shared" si="3"/>
        <v>1</v>
      </c>
      <c r="AB31" s="1559">
        <f t="shared" si="4"/>
        <v>1</v>
      </c>
      <c r="AC31" s="1559">
        <f t="shared" si="5"/>
        <v>1</v>
      </c>
    </row>
    <row r="32" spans="1:29" ht="15">
      <c r="A32" s="2859"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577" t="s">
        <v>550</v>
      </c>
      <c r="Q32" s="1555" t="str">
        <f t="shared" si="11"/>
        <v>商业类型</v>
      </c>
      <c r="R32" s="1556" t="s">
        <v>8</v>
      </c>
      <c r="S32" s="1557">
        <f t="shared" si="12"/>
        <v>100</v>
      </c>
      <c r="T32" s="1556" t="s">
        <v>8</v>
      </c>
      <c r="U32" s="1557">
        <f t="shared" si="13"/>
        <v>100</v>
      </c>
      <c r="V32" s="1556" t="s">
        <v>8</v>
      </c>
      <c r="W32" s="1557">
        <f t="shared" si="14"/>
        <v>100</v>
      </c>
      <c r="X32" s="1550"/>
      <c r="Y32" s="3578" t="s">
        <v>550</v>
      </c>
      <c r="Z32" s="1558" t="str">
        <f t="shared" si="15"/>
        <v>商业类型</v>
      </c>
      <c r="AA32" s="1559">
        <f t="shared" si="3"/>
        <v>1</v>
      </c>
      <c r="AB32" s="1559">
        <f t="shared" si="4"/>
        <v>1</v>
      </c>
      <c r="AC32" s="1559">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578"/>
      <c r="Q33" s="1587" t="str">
        <f t="shared" si="11"/>
        <v>项目建筑规模</v>
      </c>
      <c r="R33" s="1560" t="s">
        <v>8</v>
      </c>
      <c r="S33" s="1561" t="e">
        <f t="shared" si="12"/>
        <v>#N/A</v>
      </c>
      <c r="T33" s="1560" t="s">
        <v>8</v>
      </c>
      <c r="U33" s="1561" t="e">
        <f t="shared" si="13"/>
        <v>#N/A</v>
      </c>
      <c r="V33" s="1560" t="s">
        <v>8</v>
      </c>
      <c r="W33" s="1561" t="e">
        <f t="shared" si="14"/>
        <v>#N/A</v>
      </c>
      <c r="X33" s="1562"/>
      <c r="Y33" s="3578"/>
      <c r="Z33" s="1563" t="str">
        <f t="shared" si="15"/>
        <v>项目建筑规模</v>
      </c>
      <c r="AA33" s="1559" t="e">
        <f t="shared" si="3"/>
        <v>#N/A</v>
      </c>
      <c r="AB33" s="1559" t="e">
        <f t="shared" si="4"/>
        <v>#N/A</v>
      </c>
      <c r="AC33" s="1559"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4"/>
      <c r="M34" s="2116"/>
      <c r="N34" s="2116"/>
      <c r="O34" s="2123"/>
      <c r="P34" s="3578"/>
      <c r="Q34" s="1555" t="str">
        <f t="shared" si="11"/>
        <v>建筑结构</v>
      </c>
      <c r="R34" s="1556" t="s">
        <v>8</v>
      </c>
      <c r="S34" s="1557">
        <f t="shared" si="12"/>
        <v>100</v>
      </c>
      <c r="T34" s="1556" t="s">
        <v>8</v>
      </c>
      <c r="U34" s="1557">
        <f t="shared" si="13"/>
        <v>100</v>
      </c>
      <c r="V34" s="1556" t="s">
        <v>8</v>
      </c>
      <c r="W34" s="1557">
        <f t="shared" si="14"/>
        <v>100</v>
      </c>
      <c r="X34" s="1550"/>
      <c r="Y34" s="3578"/>
      <c r="Z34" s="1558" t="str">
        <f t="shared" si="15"/>
        <v>建筑结构</v>
      </c>
      <c r="AA34" s="1559">
        <f t="shared" si="3"/>
        <v>1</v>
      </c>
      <c r="AB34" s="1559">
        <f t="shared" si="4"/>
        <v>1</v>
      </c>
      <c r="AC34" s="1559">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578"/>
      <c r="Q35" s="1555" t="str">
        <f t="shared" si="11"/>
        <v>公共部分装修</v>
      </c>
      <c r="R35" s="1556" t="s">
        <v>8</v>
      </c>
      <c r="S35" s="1557">
        <f t="shared" si="12"/>
        <v>100</v>
      </c>
      <c r="T35" s="1556" t="s">
        <v>8</v>
      </c>
      <c r="U35" s="1557">
        <f t="shared" si="13"/>
        <v>100</v>
      </c>
      <c r="V35" s="1556" t="s">
        <v>8</v>
      </c>
      <c r="W35" s="1557">
        <f t="shared" si="14"/>
        <v>100</v>
      </c>
      <c r="X35" s="1550"/>
      <c r="Y35" s="3578"/>
      <c r="Z35" s="1558" t="str">
        <f t="shared" si="15"/>
        <v>公共部分装修</v>
      </c>
      <c r="AA35" s="1559">
        <f t="shared" si="3"/>
        <v>1</v>
      </c>
      <c r="AB35" s="1559">
        <f t="shared" si="4"/>
        <v>1</v>
      </c>
      <c r="AC35" s="1559">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4"/>
      <c r="M36" s="2116"/>
      <c r="N36" s="2116"/>
      <c r="O36" s="2123"/>
      <c r="P36" s="3578"/>
      <c r="Q36" s="1555" t="str">
        <f t="shared" si="11"/>
        <v>成新度</v>
      </c>
      <c r="R36" s="1556" t="s">
        <v>8</v>
      </c>
      <c r="S36" s="1557" t="e">
        <f t="shared" si="12"/>
        <v>#N/A</v>
      </c>
      <c r="T36" s="1556" t="s">
        <v>8</v>
      </c>
      <c r="U36" s="1557" t="e">
        <f t="shared" si="13"/>
        <v>#N/A</v>
      </c>
      <c r="V36" s="1556" t="s">
        <v>8</v>
      </c>
      <c r="W36" s="1557" t="e">
        <f t="shared" si="14"/>
        <v>#N/A</v>
      </c>
      <c r="X36" s="1550"/>
      <c r="Y36" s="3578"/>
      <c r="Z36" s="1558" t="str">
        <f t="shared" si="15"/>
        <v>成新度</v>
      </c>
      <c r="AA36" s="1559" t="e">
        <f t="shared" si="3"/>
        <v>#N/A</v>
      </c>
      <c r="AB36" s="1559" t="e">
        <f t="shared" si="4"/>
        <v>#N/A</v>
      </c>
      <c r="AC36" s="1559" t="e">
        <f t="shared" si="5"/>
        <v>#N/A</v>
      </c>
    </row>
    <row r="37" spans="1:29" s="1215" customFormat="1" ht="15">
      <c r="A37" s="600"/>
      <c r="B37" s="1877"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578"/>
      <c r="Q37" s="1146" t="str">
        <f t="shared" si="11"/>
        <v>市政基础设施</v>
      </c>
      <c r="R37" s="1551" t="s">
        <v>8</v>
      </c>
      <c r="S37" s="1552">
        <f t="shared" si="12"/>
        <v>100</v>
      </c>
      <c r="T37" s="1551" t="s">
        <v>8</v>
      </c>
      <c r="U37" s="1552">
        <f t="shared" si="13"/>
        <v>100</v>
      </c>
      <c r="V37" s="1551" t="s">
        <v>8</v>
      </c>
      <c r="W37" s="1552">
        <f t="shared" si="14"/>
        <v>100</v>
      </c>
      <c r="X37" s="1553"/>
      <c r="Y37" s="3578"/>
      <c r="Z37" s="1145" t="str">
        <f t="shared" si="15"/>
        <v>市政基础设施</v>
      </c>
      <c r="AA37" s="1554">
        <f t="shared" si="3"/>
        <v>1</v>
      </c>
      <c r="AB37" s="1554">
        <f t="shared" si="4"/>
        <v>1</v>
      </c>
      <c r="AC37" s="1554">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578" t="s">
        <v>766</v>
      </c>
      <c r="Q38" s="1555" t="str">
        <f t="shared" si="11"/>
        <v>业态</v>
      </c>
      <c r="R38" s="1556" t="s">
        <v>8</v>
      </c>
      <c r="S38" s="1557">
        <f t="shared" si="12"/>
        <v>100</v>
      </c>
      <c r="T38" s="1556" t="s">
        <v>8</v>
      </c>
      <c r="U38" s="1557">
        <f t="shared" si="13"/>
        <v>100</v>
      </c>
      <c r="V38" s="1556" t="s">
        <v>8</v>
      </c>
      <c r="W38" s="1557">
        <f t="shared" si="14"/>
        <v>100</v>
      </c>
      <c r="X38" s="1550"/>
      <c r="Y38" s="3578" t="s">
        <v>766</v>
      </c>
      <c r="Z38" s="1558" t="str">
        <f t="shared" si="15"/>
        <v>业态</v>
      </c>
      <c r="AA38" s="1559">
        <f t="shared" si="3"/>
        <v>1</v>
      </c>
      <c r="AB38" s="1559">
        <f t="shared" si="4"/>
        <v>1</v>
      </c>
      <c r="AC38" s="1559">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78"/>
      <c r="Q39" s="1555" t="str">
        <f t="shared" si="11"/>
        <v>层高</v>
      </c>
      <c r="R39" s="1556" t="s">
        <v>8</v>
      </c>
      <c r="S39" s="1557">
        <f t="shared" si="12"/>
        <v>100</v>
      </c>
      <c r="T39" s="1556" t="s">
        <v>8</v>
      </c>
      <c r="U39" s="1557">
        <f t="shared" si="13"/>
        <v>100</v>
      </c>
      <c r="V39" s="1556" t="s">
        <v>8</v>
      </c>
      <c r="W39" s="1557">
        <f t="shared" si="14"/>
        <v>100</v>
      </c>
      <c r="X39" s="1550"/>
      <c r="Y39" s="3578"/>
      <c r="Z39" s="1558" t="str">
        <f t="shared" si="15"/>
        <v>层高</v>
      </c>
      <c r="AA39" s="1559">
        <f t="shared" si="3"/>
        <v>1</v>
      </c>
      <c r="AB39" s="1559">
        <f t="shared" si="4"/>
        <v>1</v>
      </c>
      <c r="AC39" s="1559">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4"/>
      <c r="M40" s="2116"/>
      <c r="N40" s="2116"/>
      <c r="O40" s="2123"/>
      <c r="P40" s="3578"/>
      <c r="Q40" s="1555" t="str">
        <f t="shared" si="11"/>
        <v>单套建筑面积</v>
      </c>
      <c r="R40" s="1556" t="s">
        <v>8</v>
      </c>
      <c r="S40" s="1557">
        <f t="shared" si="12"/>
        <v>100</v>
      </c>
      <c r="T40" s="1556" t="s">
        <v>8</v>
      </c>
      <c r="U40" s="1557">
        <f t="shared" si="13"/>
        <v>100</v>
      </c>
      <c r="V40" s="1556" t="s">
        <v>8</v>
      </c>
      <c r="W40" s="1557">
        <f t="shared" si="14"/>
        <v>100</v>
      </c>
      <c r="X40" s="1550"/>
      <c r="Y40" s="3578"/>
      <c r="Z40" s="1558" t="str">
        <f t="shared" si="15"/>
        <v>单套建筑面积</v>
      </c>
      <c r="AA40" s="1559">
        <f t="shared" si="3"/>
        <v>1</v>
      </c>
      <c r="AB40" s="1559">
        <f t="shared" si="4"/>
        <v>1</v>
      </c>
      <c r="AC40" s="1559">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578"/>
      <c r="Q41" s="1587" t="str">
        <f t="shared" si="11"/>
        <v>进深比</v>
      </c>
      <c r="R41" s="1560" t="s">
        <v>8</v>
      </c>
      <c r="S41" s="1561">
        <f t="shared" si="12"/>
        <v>100</v>
      </c>
      <c r="T41" s="1560" t="s">
        <v>8</v>
      </c>
      <c r="U41" s="1561">
        <f t="shared" si="13"/>
        <v>100</v>
      </c>
      <c r="V41" s="1560" t="s">
        <v>8</v>
      </c>
      <c r="W41" s="1561">
        <f t="shared" si="14"/>
        <v>100</v>
      </c>
      <c r="X41" s="1562"/>
      <c r="Y41" s="3578"/>
      <c r="Z41" s="1563" t="str">
        <f t="shared" si="15"/>
        <v>进深比</v>
      </c>
      <c r="AA41" s="1559">
        <f t="shared" si="3"/>
        <v>1</v>
      </c>
      <c r="AB41" s="1559">
        <f t="shared" si="4"/>
        <v>1</v>
      </c>
      <c r="AC41" s="1559">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578"/>
      <c r="Q42" s="1555" t="str">
        <f t="shared" si="11"/>
        <v>内部装修</v>
      </c>
      <c r="R42" s="1556" t="s">
        <v>8</v>
      </c>
      <c r="S42" s="1557">
        <f t="shared" si="12"/>
        <v>100</v>
      </c>
      <c r="T42" s="1556" t="s">
        <v>8</v>
      </c>
      <c r="U42" s="1557">
        <f t="shared" si="13"/>
        <v>100</v>
      </c>
      <c r="V42" s="1556" t="s">
        <v>8</v>
      </c>
      <c r="W42" s="1557">
        <f t="shared" si="14"/>
        <v>100</v>
      </c>
      <c r="X42" s="1550"/>
      <c r="Y42" s="3578"/>
      <c r="Z42" s="1558" t="str">
        <f t="shared" si="15"/>
        <v>内部装修</v>
      </c>
      <c r="AA42" s="1559">
        <f t="shared" si="3"/>
        <v>1</v>
      </c>
      <c r="AB42" s="1559">
        <f t="shared" si="4"/>
        <v>1</v>
      </c>
      <c r="AC42" s="1559">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578"/>
      <c r="Q43" s="1555" t="str">
        <f t="shared" si="11"/>
        <v>内部装修维护情况</v>
      </c>
      <c r="R43" s="1556" t="s">
        <v>8</v>
      </c>
      <c r="S43" s="1557">
        <f t="shared" si="12"/>
        <v>100</v>
      </c>
      <c r="T43" s="1556" t="s">
        <v>8</v>
      </c>
      <c r="U43" s="1557">
        <f t="shared" si="13"/>
        <v>100</v>
      </c>
      <c r="V43" s="1556" t="s">
        <v>8</v>
      </c>
      <c r="W43" s="1557">
        <f t="shared" si="14"/>
        <v>100</v>
      </c>
      <c r="X43" s="1550"/>
      <c r="Y43" s="3578"/>
      <c r="Z43" s="1558" t="str">
        <f t="shared" si="15"/>
        <v>内部装修维护情况</v>
      </c>
      <c r="AA43" s="1559">
        <f t="shared" si="3"/>
        <v>1</v>
      </c>
      <c r="AB43" s="1559">
        <f t="shared" si="4"/>
        <v>1</v>
      </c>
      <c r="AC43" s="1559">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78"/>
      <c r="Q44" s="1146">
        <f t="shared" si="11"/>
        <v>111</v>
      </c>
      <c r="R44" s="1551" t="s">
        <v>8</v>
      </c>
      <c r="S44" s="1552">
        <f t="shared" si="12"/>
        <v>100</v>
      </c>
      <c r="T44" s="1551" t="s">
        <v>8</v>
      </c>
      <c r="U44" s="1552">
        <f t="shared" si="13"/>
        <v>100</v>
      </c>
      <c r="V44" s="1551" t="s">
        <v>8</v>
      </c>
      <c r="W44" s="1552">
        <f t="shared" si="14"/>
        <v>100</v>
      </c>
      <c r="X44" s="1553"/>
      <c r="Y44" s="3578"/>
      <c r="Z44" s="1145">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78"/>
      <c r="Q45" s="1555">
        <f t="shared" si="11"/>
        <v>111</v>
      </c>
      <c r="R45" s="1556" t="s">
        <v>8</v>
      </c>
      <c r="S45" s="1557">
        <f t="shared" si="12"/>
        <v>100</v>
      </c>
      <c r="T45" s="1556" t="s">
        <v>8</v>
      </c>
      <c r="U45" s="1557">
        <f t="shared" si="13"/>
        <v>100</v>
      </c>
      <c r="V45" s="1556" t="s">
        <v>8</v>
      </c>
      <c r="W45" s="1557">
        <f t="shared" si="14"/>
        <v>100</v>
      </c>
      <c r="X45" s="1550"/>
      <c r="Y45" s="3578"/>
      <c r="Z45" s="1558">
        <f t="shared" si="15"/>
        <v>111</v>
      </c>
      <c r="AA45" s="1559">
        <f t="shared" si="3"/>
        <v>1</v>
      </c>
      <c r="AB45" s="1559">
        <f t="shared" si="4"/>
        <v>1</v>
      </c>
      <c r="AC45" s="1559">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680"/>
      <c r="Q46" s="1555">
        <f t="shared" si="11"/>
        <v>111</v>
      </c>
      <c r="R46" s="1556" t="s">
        <v>8</v>
      </c>
      <c r="S46" s="1557">
        <f t="shared" si="12"/>
        <v>100</v>
      </c>
      <c r="T46" s="1556" t="s">
        <v>8</v>
      </c>
      <c r="U46" s="1557">
        <f t="shared" si="13"/>
        <v>100</v>
      </c>
      <c r="V46" s="1556" t="s">
        <v>8</v>
      </c>
      <c r="W46" s="1557">
        <f t="shared" si="14"/>
        <v>100</v>
      </c>
      <c r="X46" s="1550"/>
      <c r="Y46" s="3680"/>
      <c r="Z46" s="1558">
        <f t="shared" si="15"/>
        <v>111</v>
      </c>
      <c r="AA46" s="1559">
        <f t="shared" si="3"/>
        <v>1</v>
      </c>
      <c r="AB46" s="1559">
        <f t="shared" si="4"/>
        <v>1</v>
      </c>
      <c r="AC46" s="1559">
        <f t="shared" si="5"/>
        <v>1</v>
      </c>
    </row>
    <row r="47" spans="1:29" ht="15">
      <c r="A47" s="607" t="s">
        <v>736</v>
      </c>
      <c r="B47" s="886"/>
      <c r="C47" s="2588" t="s">
        <v>1</v>
      </c>
      <c r="D47" s="2589"/>
      <c r="E47" s="2590"/>
      <c r="F47" s="2591"/>
      <c r="G47" s="2592"/>
      <c r="H47" s="2593"/>
      <c r="I47" s="2590"/>
      <c r="J47" s="2593"/>
      <c r="K47" s="1593"/>
      <c r="L47" s="2126"/>
      <c r="M47" s="2127"/>
      <c r="N47" s="2116"/>
      <c r="O47" s="2127"/>
      <c r="P47" s="3573" t="str">
        <f>A47</f>
        <v>成交单价（元/平方米）</v>
      </c>
      <c r="Q47" s="3573"/>
      <c r="R47" s="3679">
        <f>E47</f>
        <v>0</v>
      </c>
      <c r="S47" s="3679"/>
      <c r="T47" s="3679">
        <f>G47</f>
        <v>0</v>
      </c>
      <c r="U47" s="3679"/>
      <c r="V47" s="3679">
        <f>I47</f>
        <v>0</v>
      </c>
      <c r="W47" s="3679"/>
      <c r="X47" s="1542"/>
      <c r="Y47" s="1564"/>
      <c r="Z47" s="1542"/>
      <c r="AA47" s="1542"/>
      <c r="AB47" s="1542"/>
      <c r="AC47" s="1542"/>
    </row>
    <row r="48" spans="1:29" ht="15.75" thickBot="1">
      <c r="A48" s="615" t="s">
        <v>2756</v>
      </c>
      <c r="B48" s="887"/>
      <c r="C48" s="2594" t="e">
        <f>R49</f>
        <v>#DIV/0!</v>
      </c>
      <c r="D48" s="2595"/>
      <c r="E48" s="2596" t="e">
        <f>R48</f>
        <v>#DIV/0!</v>
      </c>
      <c r="F48" s="2596"/>
      <c r="G48" s="2594" t="e">
        <f>T48</f>
        <v>#DIV/0!</v>
      </c>
      <c r="H48" s="2595"/>
      <c r="I48" s="2596" t="e">
        <f>V48</f>
        <v>#DIV/0!</v>
      </c>
      <c r="J48" s="2595"/>
      <c r="K48" s="1594"/>
      <c r="L48" s="2126"/>
      <c r="M48" s="2127"/>
      <c r="N48" s="2116"/>
      <c r="O48" s="2127"/>
      <c r="P48" s="3573" t="str">
        <f>A48</f>
        <v>比较价格（元/平方米）</v>
      </c>
      <c r="Q48" s="3573"/>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542"/>
      <c r="Y48" s="1542"/>
      <c r="Z48" s="1542"/>
      <c r="AA48" s="1542"/>
      <c r="AB48" s="1542"/>
      <c r="AC48" s="1542"/>
    </row>
    <row r="49" spans="1:29" ht="15.75" thickBot="1">
      <c r="A49" s="621" t="s">
        <v>2929</v>
      </c>
      <c r="B49" s="622"/>
      <c r="C49" s="2597" t="e">
        <f>R49</f>
        <v>#DIV/0!</v>
      </c>
      <c r="D49" s="2597"/>
      <c r="E49" s="2597"/>
      <c r="F49" s="2597"/>
      <c r="G49" s="2597"/>
      <c r="H49" s="2597"/>
      <c r="I49" s="2597"/>
      <c r="J49" s="2597"/>
      <c r="K49" s="1595"/>
      <c r="L49" s="2126"/>
      <c r="M49" s="2127"/>
      <c r="N49" s="2116"/>
      <c r="O49" s="2127"/>
      <c r="P49" s="3594" t="str">
        <f>A49</f>
        <v>估价对象XX用房的比较价格（楼面单价，元/平方米）</v>
      </c>
      <c r="Q49" s="3595"/>
      <c r="R49" s="3678" t="e">
        <f>IF(F1="售价",ROUND(AVERAGE(R48:V48),0),ROUND(AVERAGE(R48:V48),1))</f>
        <v>#DIV/0!</v>
      </c>
      <c r="S49" s="3678"/>
      <c r="T49" s="3678"/>
      <c r="U49" s="3678"/>
      <c r="V49" s="3678"/>
      <c r="W49" s="367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2553</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8"/>
      <c r="D118" s="908"/>
      <c r="E118" s="908"/>
      <c r="F118" s="908"/>
      <c r="G118" s="908"/>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9"/>
      <c r="G1" s="1583" t="s">
        <v>721</v>
      </c>
      <c r="H1" s="506"/>
      <c r="I1" s="506"/>
      <c r="J1" s="506"/>
      <c r="K1" s="507"/>
      <c r="L1" s="1545"/>
      <c r="M1" s="1546"/>
      <c r="N1" s="1546"/>
      <c r="O1" s="1546"/>
      <c r="P1" s="2189"/>
      <c r="Q1" s="1547"/>
      <c r="R1" s="1547"/>
      <c r="S1" s="1547"/>
      <c r="T1" s="1547"/>
      <c r="U1" s="1547"/>
      <c r="V1" s="1547"/>
      <c r="W1" s="1547"/>
      <c r="X1" s="1547"/>
      <c r="Y1" s="1547"/>
      <c r="Z1" s="1547"/>
      <c r="AA1" s="1547"/>
      <c r="AB1" s="1547"/>
      <c r="AC1" s="1548"/>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2" t="s">
        <v>521</v>
      </c>
      <c r="B4" s="513"/>
      <c r="C4" s="3579" t="s">
        <v>522</v>
      </c>
      <c r="D4" s="3580"/>
      <c r="E4" s="3603" t="s">
        <v>523</v>
      </c>
      <c r="F4" s="3604"/>
      <c r="G4" s="3579" t="s">
        <v>524</v>
      </c>
      <c r="H4" s="3580"/>
      <c r="I4" s="3579" t="s">
        <v>525</v>
      </c>
      <c r="J4" s="3580"/>
      <c r="K4" s="514" t="s">
        <v>526</v>
      </c>
      <c r="L4" s="2115"/>
      <c r="M4" s="2116"/>
      <c r="N4" s="2116"/>
      <c r="O4" s="2116"/>
      <c r="P4" s="3681" t="s">
        <v>527</v>
      </c>
      <c r="Q4" s="3582"/>
      <c r="R4" s="3567" t="s">
        <v>523</v>
      </c>
      <c r="S4" s="3568"/>
      <c r="T4" s="3567" t="s">
        <v>524</v>
      </c>
      <c r="U4" s="3568"/>
      <c r="V4" s="3587" t="s">
        <v>525</v>
      </c>
      <c r="W4" s="3587"/>
      <c r="X4" s="1550"/>
      <c r="Y4" s="3567" t="s">
        <v>527</v>
      </c>
      <c r="Z4" s="3568"/>
      <c r="AA4" s="3562" t="s">
        <v>523</v>
      </c>
      <c r="AB4" s="3562" t="s">
        <v>524</v>
      </c>
      <c r="AC4" s="3562" t="s">
        <v>525</v>
      </c>
    </row>
    <row r="5" spans="1:29" ht="15">
      <c r="A5" s="515"/>
      <c r="B5" s="516"/>
      <c r="C5" s="3590" t="s">
        <v>2923</v>
      </c>
      <c r="D5" s="3591"/>
      <c r="E5" s="3605" t="s">
        <v>2924</v>
      </c>
      <c r="F5" s="3606"/>
      <c r="G5" s="3590" t="s">
        <v>2925</v>
      </c>
      <c r="H5" s="3591"/>
      <c r="I5" s="3590" t="s">
        <v>2926</v>
      </c>
      <c r="J5" s="3591"/>
      <c r="K5" s="514"/>
      <c r="L5" s="2115"/>
      <c r="M5" s="2116"/>
      <c r="N5" s="2116"/>
      <c r="O5" s="2116"/>
      <c r="P5" s="3682"/>
      <c r="Q5" s="3584"/>
      <c r="R5" s="3569"/>
      <c r="S5" s="3570"/>
      <c r="T5" s="3569"/>
      <c r="U5" s="3570"/>
      <c r="V5" s="3587"/>
      <c r="W5" s="3587"/>
      <c r="X5" s="1550"/>
      <c r="Y5" s="3569"/>
      <c r="Z5" s="3570"/>
      <c r="AA5" s="3563"/>
      <c r="AB5" s="3563"/>
      <c r="AC5" s="3563"/>
    </row>
    <row r="6" spans="1:29" ht="15.75" thickBot="1">
      <c r="A6" s="517"/>
      <c r="B6" s="518"/>
      <c r="C6" s="3588" t="s">
        <v>2927</v>
      </c>
      <c r="D6" s="3589"/>
      <c r="E6" s="3607" t="s">
        <v>2927</v>
      </c>
      <c r="F6" s="3608"/>
      <c r="G6" s="3588" t="s">
        <v>2927</v>
      </c>
      <c r="H6" s="3589"/>
      <c r="I6" s="3588" t="s">
        <v>2927</v>
      </c>
      <c r="J6" s="3589"/>
      <c r="K6" s="514" t="s">
        <v>528</v>
      </c>
      <c r="L6" s="2115"/>
      <c r="M6" s="2116"/>
      <c r="N6" s="2116"/>
      <c r="O6" s="2116"/>
      <c r="P6" s="3683"/>
      <c r="Q6" s="3586"/>
      <c r="R6" s="3569"/>
      <c r="S6" s="3570"/>
      <c r="T6" s="3571"/>
      <c r="U6" s="3572"/>
      <c r="V6" s="3587"/>
      <c r="W6" s="3587"/>
      <c r="X6" s="1550"/>
      <c r="Y6" s="3571"/>
      <c r="Z6" s="3572"/>
      <c r="AA6" s="3564"/>
      <c r="AB6" s="3564"/>
      <c r="AC6" s="3564"/>
    </row>
    <row r="7" spans="1:29" s="1215" customFormat="1" ht="15.75" thickBot="1">
      <c r="A7" s="2864"/>
      <c r="B7" s="2871" t="s">
        <v>529</v>
      </c>
      <c r="C7" s="519">
        <f>'数据-取费表'!B2</f>
        <v>43763</v>
      </c>
      <c r="D7" s="520">
        <v>100</v>
      </c>
      <c r="E7" s="521"/>
      <c r="F7" s="522">
        <f>SUMIF(59:59,YEAR(E7)&amp;"-"&amp;MONTH(E7),60:60)</f>
        <v>0</v>
      </c>
      <c r="G7" s="521"/>
      <c r="H7" s="520">
        <f>SUMIF(59:59,YEAR(G7)&amp;"-"&amp;MONTH(G7),60:60)</f>
        <v>0</v>
      </c>
      <c r="I7" s="521"/>
      <c r="J7" s="520">
        <f>SUMIF(59:59,YEAR(I7)&amp;"-"&amp;MONTH(I7),60:60)</f>
        <v>0</v>
      </c>
      <c r="K7" s="524"/>
      <c r="L7" s="2117"/>
      <c r="M7" s="2118"/>
      <c r="N7" s="2118"/>
      <c r="O7" s="2118"/>
      <c r="P7" s="3574" t="s">
        <v>530</v>
      </c>
      <c r="Q7" s="3574"/>
      <c r="R7" s="1551" t="s">
        <v>8</v>
      </c>
      <c r="S7" s="1552">
        <f t="shared" ref="S7:S15" si="0">F7</f>
        <v>0</v>
      </c>
      <c r="T7" s="1551" t="s">
        <v>8</v>
      </c>
      <c r="U7" s="1552">
        <f t="shared" ref="U7:U15" si="1">H7</f>
        <v>0</v>
      </c>
      <c r="V7" s="1551" t="s">
        <v>8</v>
      </c>
      <c r="W7" s="1552">
        <f t="shared" ref="W7:W15" si="2">J7</f>
        <v>0</v>
      </c>
      <c r="X7" s="1553"/>
      <c r="Y7" s="3565" t="s">
        <v>530</v>
      </c>
      <c r="Z7" s="3566"/>
      <c r="AA7" s="1554" t="e">
        <f>D7/F7</f>
        <v>#DIV/0!</v>
      </c>
      <c r="AB7" s="1554" t="e">
        <f>D7/H7</f>
        <v>#DIV/0!</v>
      </c>
      <c r="AC7" s="1554"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574" t="s">
        <v>533</v>
      </c>
      <c r="Q8" s="3566"/>
      <c r="R8" s="1551" t="s">
        <v>8</v>
      </c>
      <c r="S8" s="1552">
        <f t="shared" si="0"/>
        <v>0</v>
      </c>
      <c r="T8" s="1551" t="s">
        <v>8</v>
      </c>
      <c r="U8" s="1552">
        <f t="shared" si="1"/>
        <v>0</v>
      </c>
      <c r="V8" s="1551" t="s">
        <v>8</v>
      </c>
      <c r="W8" s="1552">
        <f t="shared" si="2"/>
        <v>0</v>
      </c>
      <c r="X8" s="1553"/>
      <c r="Y8" s="3565" t="s">
        <v>533</v>
      </c>
      <c r="Z8" s="3566"/>
      <c r="AA8" s="1554" t="e">
        <f t="shared" ref="AA8:AA47" si="3">D8/F8</f>
        <v>#DIV/0!</v>
      </c>
      <c r="AB8" s="1554" t="e">
        <f t="shared" ref="AB8:AB47" si="4">D8/H8</f>
        <v>#DIV/0!</v>
      </c>
      <c r="AC8" s="1554" t="e">
        <f t="shared" ref="AC8:AC47" si="5">D8/J8</f>
        <v>#DIV/0!</v>
      </c>
    </row>
    <row r="9" spans="1:29" s="1215" customFormat="1" ht="15">
      <c r="A9" s="2866"/>
      <c r="B9" s="2873" t="s">
        <v>2752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573" t="s">
        <v>535</v>
      </c>
      <c r="Q9" s="1146" t="str">
        <f t="shared" ref="Q9:Q15" si="6">B9</f>
        <v>用途</v>
      </c>
      <c r="R9" s="1551" t="s">
        <v>8</v>
      </c>
      <c r="S9" s="1552">
        <f t="shared" si="0"/>
        <v>100</v>
      </c>
      <c r="T9" s="1551" t="s">
        <v>8</v>
      </c>
      <c r="U9" s="1552">
        <f t="shared" si="1"/>
        <v>100</v>
      </c>
      <c r="V9" s="1551" t="s">
        <v>8</v>
      </c>
      <c r="W9" s="1552">
        <f t="shared" si="2"/>
        <v>100</v>
      </c>
      <c r="X9" s="1553"/>
      <c r="Y9" s="3530"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573"/>
      <c r="Q10" s="1146" t="str">
        <f t="shared" si="6"/>
        <v>土地使用年限（年）</v>
      </c>
      <c r="R10" s="1551" t="s">
        <v>8</v>
      </c>
      <c r="S10" s="1552">
        <f t="shared" si="0"/>
        <v>100</v>
      </c>
      <c r="T10" s="1551" t="s">
        <v>8</v>
      </c>
      <c r="U10" s="1552">
        <f t="shared" si="1"/>
        <v>100</v>
      </c>
      <c r="V10" s="1551" t="s">
        <v>8</v>
      </c>
      <c r="W10" s="1552">
        <f t="shared" si="2"/>
        <v>100</v>
      </c>
      <c r="X10" s="1553"/>
      <c r="Y10" s="3530"/>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573"/>
      <c r="Q11" s="1146" t="str">
        <f t="shared" si="6"/>
        <v>容积率</v>
      </c>
      <c r="R11" s="1551" t="s">
        <v>8</v>
      </c>
      <c r="S11" s="1552" t="e">
        <f t="shared" si="0"/>
        <v>#N/A</v>
      </c>
      <c r="T11" s="1551" t="s">
        <v>8</v>
      </c>
      <c r="U11" s="1552" t="e">
        <f t="shared" si="1"/>
        <v>#N/A</v>
      </c>
      <c r="V11" s="1551" t="s">
        <v>8</v>
      </c>
      <c r="W11" s="1552" t="e">
        <f t="shared" si="2"/>
        <v>#N/A</v>
      </c>
      <c r="X11" s="1553"/>
      <c r="Y11" s="3530"/>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7"/>
      <c r="M12" s="2118"/>
      <c r="N12" s="2118"/>
      <c r="O12" s="2118"/>
      <c r="P12" s="3573"/>
      <c r="Q12" s="1146">
        <f t="shared" si="6"/>
        <v>111</v>
      </c>
      <c r="R12" s="1551" t="s">
        <v>8</v>
      </c>
      <c r="S12" s="1552">
        <f t="shared" si="0"/>
        <v>100</v>
      </c>
      <c r="T12" s="1551" t="s">
        <v>8</v>
      </c>
      <c r="U12" s="1552">
        <f t="shared" si="1"/>
        <v>100</v>
      </c>
      <c r="V12" s="1551" t="s">
        <v>8</v>
      </c>
      <c r="W12" s="1552">
        <f t="shared" si="2"/>
        <v>100</v>
      </c>
      <c r="X12" s="1553"/>
      <c r="Y12" s="3530"/>
      <c r="Z12" s="1145">
        <f t="shared" si="7"/>
        <v>111</v>
      </c>
      <c r="AA12" s="1554">
        <f>D12/F12</f>
        <v>1</v>
      </c>
      <c r="AB12" s="1554">
        <f>D12/H12</f>
        <v>1</v>
      </c>
      <c r="AC12" s="1554">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4"/>
      <c r="M13" s="2116"/>
      <c r="N13" s="2116"/>
      <c r="O13" s="2116"/>
      <c r="P13" s="3573"/>
      <c r="Q13" s="1146">
        <f t="shared" si="6"/>
        <v>111</v>
      </c>
      <c r="R13" s="1551" t="s">
        <v>8</v>
      </c>
      <c r="S13" s="1552">
        <f t="shared" si="0"/>
        <v>100</v>
      </c>
      <c r="T13" s="1551" t="s">
        <v>8</v>
      </c>
      <c r="U13" s="1552">
        <f t="shared" si="1"/>
        <v>100</v>
      </c>
      <c r="V13" s="1551" t="s">
        <v>8</v>
      </c>
      <c r="W13" s="1552">
        <f t="shared" si="2"/>
        <v>100</v>
      </c>
      <c r="X13" s="1553"/>
      <c r="Y13" s="3530"/>
      <c r="Z13" s="1145">
        <f t="shared" si="7"/>
        <v>111</v>
      </c>
      <c r="AA13" s="1554">
        <f t="shared" si="3"/>
        <v>1</v>
      </c>
      <c r="AB13" s="1554">
        <f t="shared" si="4"/>
        <v>1</v>
      </c>
      <c r="AC13" s="1554">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4"/>
      <c r="M14" s="2116"/>
      <c r="N14" s="2116"/>
      <c r="O14" s="2116"/>
      <c r="P14" s="3573"/>
      <c r="Q14" s="1146">
        <f t="shared" si="6"/>
        <v>111</v>
      </c>
      <c r="R14" s="1551" t="s">
        <v>8</v>
      </c>
      <c r="S14" s="1552">
        <f t="shared" si="0"/>
        <v>100</v>
      </c>
      <c r="T14" s="1551" t="s">
        <v>8</v>
      </c>
      <c r="U14" s="1552">
        <f t="shared" si="1"/>
        <v>100</v>
      </c>
      <c r="V14" s="1551" t="s">
        <v>8</v>
      </c>
      <c r="W14" s="1552">
        <f t="shared" si="2"/>
        <v>100</v>
      </c>
      <c r="X14" s="1553"/>
      <c r="Y14" s="3530"/>
      <c r="Z14" s="1145">
        <f t="shared" si="7"/>
        <v>111</v>
      </c>
      <c r="AA14" s="1554">
        <f t="shared" si="3"/>
        <v>1</v>
      </c>
      <c r="AB14" s="1554">
        <f t="shared" si="4"/>
        <v>1</v>
      </c>
      <c r="AC14" s="1554">
        <f t="shared" si="5"/>
        <v>1</v>
      </c>
    </row>
    <row r="15" spans="1:29" ht="71.25">
      <c r="A15" s="2862"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4"/>
      <c r="M15" s="2116"/>
      <c r="N15" s="2116"/>
      <c r="O15" s="2116"/>
      <c r="P15" s="3575" t="s">
        <v>540</v>
      </c>
      <c r="Q15" s="1555" t="str">
        <f t="shared" si="6"/>
        <v>办公集聚程度</v>
      </c>
      <c r="R15" s="1556" t="s">
        <v>8</v>
      </c>
      <c r="S15" s="1557">
        <f t="shared" si="0"/>
        <v>100</v>
      </c>
      <c r="T15" s="1556" t="s">
        <v>8</v>
      </c>
      <c r="U15" s="1557">
        <f t="shared" si="1"/>
        <v>100</v>
      </c>
      <c r="V15" s="1556" t="s">
        <v>8</v>
      </c>
      <c r="W15" s="1557">
        <f t="shared" si="2"/>
        <v>100</v>
      </c>
      <c r="X15" s="1550"/>
      <c r="Y15" s="3575" t="s">
        <v>540</v>
      </c>
      <c r="Z15" s="1558" t="str">
        <f t="shared" si="7"/>
        <v>办公集聚程度</v>
      </c>
      <c r="AA15" s="1559">
        <f t="shared" si="3"/>
        <v>1</v>
      </c>
      <c r="AB15" s="1559">
        <f t="shared" si="4"/>
        <v>1</v>
      </c>
      <c r="AC15" s="1559">
        <f t="shared" si="5"/>
        <v>1</v>
      </c>
    </row>
    <row r="16" spans="1:29" ht="15">
      <c r="A16" s="532"/>
      <c r="B16" s="553"/>
      <c r="C16" s="554"/>
      <c r="D16" s="555"/>
      <c r="E16" s="576"/>
      <c r="F16" s="555"/>
      <c r="G16" s="554"/>
      <c r="H16" s="559"/>
      <c r="I16" s="576"/>
      <c r="J16" s="555"/>
      <c r="K16" s="898"/>
      <c r="L16" s="2124"/>
      <c r="M16" s="2116"/>
      <c r="N16" s="2116"/>
      <c r="O16" s="2116"/>
      <c r="P16" s="3576"/>
      <c r="Q16" s="1555"/>
      <c r="R16" s="1556"/>
      <c r="S16" s="1557"/>
      <c r="T16" s="1556"/>
      <c r="U16" s="1557"/>
      <c r="V16" s="1556"/>
      <c r="W16" s="1557"/>
      <c r="X16" s="1550"/>
      <c r="Y16" s="3576"/>
      <c r="Z16" s="1558"/>
      <c r="AA16" s="1559">
        <v>1</v>
      </c>
      <c r="AB16" s="1559">
        <v>1</v>
      </c>
      <c r="AC16" s="1559">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4"/>
      <c r="M17" s="2116"/>
      <c r="N17" s="2116"/>
      <c r="O17" s="2116"/>
      <c r="P17" s="3576"/>
      <c r="Q17" s="1555" t="str">
        <f>B17</f>
        <v>交通便捷度</v>
      </c>
      <c r="R17" s="1556" t="s">
        <v>8</v>
      </c>
      <c r="S17" s="1557">
        <f>F17</f>
        <v>100</v>
      </c>
      <c r="T17" s="1556" t="s">
        <v>8</v>
      </c>
      <c r="U17" s="1557">
        <f>H17</f>
        <v>100</v>
      </c>
      <c r="V17" s="1556" t="s">
        <v>8</v>
      </c>
      <c r="W17" s="1557">
        <f>J17</f>
        <v>100</v>
      </c>
      <c r="X17" s="1550"/>
      <c r="Y17" s="3576"/>
      <c r="Z17" s="1558" t="str">
        <f>Q17</f>
        <v>交通便捷度</v>
      </c>
      <c r="AA17" s="1559">
        <f t="shared" si="3"/>
        <v>1</v>
      </c>
      <c r="AB17" s="1559">
        <f t="shared" si="4"/>
        <v>1</v>
      </c>
      <c r="AC17" s="1559">
        <f t="shared" si="5"/>
        <v>1</v>
      </c>
    </row>
    <row r="18" spans="1:29" ht="15">
      <c r="A18" s="532"/>
      <c r="B18" s="566"/>
      <c r="C18" s="567"/>
      <c r="D18" s="559"/>
      <c r="E18" s="569"/>
      <c r="F18" s="559"/>
      <c r="G18" s="568"/>
      <c r="H18" s="555"/>
      <c r="I18" s="568"/>
      <c r="J18" s="555"/>
      <c r="K18" s="898"/>
      <c r="L18" s="2124"/>
      <c r="M18" s="2116"/>
      <c r="N18" s="2116"/>
      <c r="O18" s="2116"/>
      <c r="P18" s="3576"/>
      <c r="Q18" s="1555"/>
      <c r="R18" s="1556"/>
      <c r="S18" s="1557"/>
      <c r="T18" s="1556"/>
      <c r="U18" s="1557"/>
      <c r="V18" s="1556"/>
      <c r="W18" s="1557"/>
      <c r="X18" s="1550"/>
      <c r="Y18" s="3576"/>
      <c r="Z18" s="1558"/>
      <c r="AA18" s="1559">
        <v>1</v>
      </c>
      <c r="AB18" s="1559">
        <v>1</v>
      </c>
      <c r="AC18" s="1559">
        <v>1</v>
      </c>
    </row>
    <row r="19" spans="1:29" ht="15">
      <c r="A19" s="532"/>
      <c r="B19" s="2564"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4"/>
      <c r="M19" s="2116"/>
      <c r="N19" s="2116"/>
      <c r="O19" s="2116"/>
      <c r="P19" s="3576"/>
      <c r="Q19" s="1555" t="str">
        <f>B19</f>
        <v>公共配套设施</v>
      </c>
      <c r="R19" s="1556" t="s">
        <v>8</v>
      </c>
      <c r="S19" s="1557">
        <f>F19</f>
        <v>100</v>
      </c>
      <c r="T19" s="1556" t="s">
        <v>8</v>
      </c>
      <c r="U19" s="1557">
        <f>H19</f>
        <v>100</v>
      </c>
      <c r="V19" s="1556" t="s">
        <v>8</v>
      </c>
      <c r="W19" s="1557">
        <f>J19</f>
        <v>100</v>
      </c>
      <c r="X19" s="1550"/>
      <c r="Y19" s="3576"/>
      <c r="Z19" s="1558" t="str">
        <f>Q19</f>
        <v>公共配套设施</v>
      </c>
      <c r="AA19" s="1559">
        <f t="shared" si="3"/>
        <v>1</v>
      </c>
      <c r="AB19" s="1559">
        <f t="shared" si="4"/>
        <v>1</v>
      </c>
      <c r="AC19" s="1559">
        <f t="shared" si="5"/>
        <v>1</v>
      </c>
    </row>
    <row r="20" spans="1:29" ht="15">
      <c r="A20" s="532"/>
      <c r="B20" s="566"/>
      <c r="C20" s="554"/>
      <c r="D20" s="555"/>
      <c r="E20" s="558"/>
      <c r="F20" s="555"/>
      <c r="G20" s="556"/>
      <c r="H20" s="555"/>
      <c r="I20" s="556"/>
      <c r="J20" s="555"/>
      <c r="K20" s="898"/>
      <c r="L20" s="2124"/>
      <c r="M20" s="2116"/>
      <c r="N20" s="2116"/>
      <c r="O20" s="2116"/>
      <c r="P20" s="3576"/>
      <c r="Q20" s="1555"/>
      <c r="R20" s="1556"/>
      <c r="S20" s="1557"/>
      <c r="T20" s="1556"/>
      <c r="U20" s="1557"/>
      <c r="V20" s="1556"/>
      <c r="W20" s="1557"/>
      <c r="X20" s="1550"/>
      <c r="Y20" s="3576"/>
      <c r="Z20" s="1558"/>
      <c r="AA20" s="1559">
        <v>1</v>
      </c>
      <c r="AB20" s="1559">
        <v>1</v>
      </c>
      <c r="AC20" s="1559">
        <v>1</v>
      </c>
    </row>
    <row r="21" spans="1:29" ht="15">
      <c r="A21" s="532"/>
      <c r="B21" s="2552"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4"/>
      <c r="M21" s="2116"/>
      <c r="N21" s="2116"/>
      <c r="O21" s="2116"/>
      <c r="P21" s="3576"/>
      <c r="Q21" s="2540" t="str">
        <f>B21</f>
        <v>基础设施水平</v>
      </c>
      <c r="R21" s="1556" t="s">
        <v>8</v>
      </c>
      <c r="S21" s="1557">
        <f>F21</f>
        <v>100</v>
      </c>
      <c r="T21" s="1556" t="s">
        <v>8</v>
      </c>
      <c r="U21" s="1557">
        <f>H21</f>
        <v>100</v>
      </c>
      <c r="V21" s="1556" t="s">
        <v>8</v>
      </c>
      <c r="W21" s="1557">
        <f>J21</f>
        <v>100</v>
      </c>
      <c r="X21" s="2542"/>
      <c r="Y21" s="3576"/>
      <c r="Z21" s="2541" t="str">
        <f>Q21</f>
        <v>基础设施水平</v>
      </c>
      <c r="AA21" s="1559">
        <f t="shared" ref="AA21" si="8">D21/F21</f>
        <v>1</v>
      </c>
      <c r="AB21" s="1559">
        <f t="shared" ref="AB21" si="9">D21/H21</f>
        <v>1</v>
      </c>
      <c r="AC21" s="1559">
        <f t="shared" ref="AC21" si="10">D21/J21</f>
        <v>1</v>
      </c>
    </row>
    <row r="22" spans="1:29" ht="15">
      <c r="A22" s="532"/>
      <c r="B22" s="578"/>
      <c r="C22" s="567"/>
      <c r="D22" s="555"/>
      <c r="E22" s="576"/>
      <c r="F22" s="555"/>
      <c r="G22" s="554"/>
      <c r="H22" s="555"/>
      <c r="I22" s="554"/>
      <c r="J22" s="555"/>
      <c r="K22" s="2563"/>
      <c r="L22" s="2124"/>
      <c r="M22" s="2116"/>
      <c r="N22" s="2116"/>
      <c r="O22" s="2116"/>
      <c r="P22" s="3576"/>
      <c r="Q22" s="2540"/>
      <c r="R22" s="1556"/>
      <c r="S22" s="1557"/>
      <c r="T22" s="1556"/>
      <c r="U22" s="1557"/>
      <c r="V22" s="1556"/>
      <c r="W22" s="1557"/>
      <c r="X22" s="2542"/>
      <c r="Y22" s="3576"/>
      <c r="Z22" s="2541"/>
      <c r="AA22" s="1559">
        <v>1</v>
      </c>
      <c r="AB22" s="1559">
        <v>1</v>
      </c>
      <c r="AC22" s="1559">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24"/>
      <c r="M23" s="2116"/>
      <c r="N23" s="2116"/>
      <c r="O23" s="2116"/>
      <c r="P23" s="3576"/>
      <c r="Q23" s="1555" t="str">
        <f>B23</f>
        <v>环境质量</v>
      </c>
      <c r="R23" s="1556" t="s">
        <v>8</v>
      </c>
      <c r="S23" s="1557">
        <f>F23</f>
        <v>100</v>
      </c>
      <c r="T23" s="1556" t="s">
        <v>8</v>
      </c>
      <c r="U23" s="1557">
        <f>H23</f>
        <v>100</v>
      </c>
      <c r="V23" s="1556" t="s">
        <v>8</v>
      </c>
      <c r="W23" s="1557">
        <f>J23</f>
        <v>100</v>
      </c>
      <c r="X23" s="1550"/>
      <c r="Y23" s="3576"/>
      <c r="Z23" s="1558" t="str">
        <f>Q23</f>
        <v>环境质量</v>
      </c>
      <c r="AA23" s="1559">
        <f t="shared" si="3"/>
        <v>1</v>
      </c>
      <c r="AB23" s="1559">
        <f t="shared" si="4"/>
        <v>1</v>
      </c>
      <c r="AC23" s="1559">
        <f t="shared" si="5"/>
        <v>1</v>
      </c>
    </row>
    <row r="24" spans="1:29" ht="15">
      <c r="A24" s="532"/>
      <c r="B24" s="578"/>
      <c r="C24" s="554"/>
      <c r="D24" s="555"/>
      <c r="E24" s="558"/>
      <c r="F24" s="555"/>
      <c r="G24" s="556"/>
      <c r="H24" s="555"/>
      <c r="I24" s="556"/>
      <c r="J24" s="555"/>
      <c r="K24" s="898"/>
      <c r="L24" s="2124"/>
      <c r="M24" s="2116"/>
      <c r="N24" s="2116"/>
      <c r="O24" s="2116"/>
      <c r="P24" s="3576"/>
      <c r="Q24" s="1555"/>
      <c r="R24" s="1556"/>
      <c r="S24" s="1557"/>
      <c r="T24" s="1556"/>
      <c r="U24" s="1557"/>
      <c r="V24" s="1556"/>
      <c r="W24" s="1557"/>
      <c r="X24" s="1550"/>
      <c r="Y24" s="3576"/>
      <c r="Z24" s="1558"/>
      <c r="AA24" s="1559">
        <v>1</v>
      </c>
      <c r="AB24" s="1559">
        <v>1</v>
      </c>
      <c r="AC24" s="1559">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4"/>
      <c r="M25" s="2116"/>
      <c r="N25" s="2116"/>
      <c r="O25" s="2116"/>
      <c r="P25" s="3576"/>
      <c r="Q25" s="1555" t="str">
        <f>B25</f>
        <v>毗邻道路的类型与等级</v>
      </c>
      <c r="R25" s="1556" t="s">
        <v>8</v>
      </c>
      <c r="S25" s="1557">
        <f>F25</f>
        <v>100</v>
      </c>
      <c r="T25" s="1556" t="s">
        <v>8</v>
      </c>
      <c r="U25" s="1557">
        <f>H25</f>
        <v>100</v>
      </c>
      <c r="V25" s="1556" t="s">
        <v>8</v>
      </c>
      <c r="W25" s="1557">
        <f>J25</f>
        <v>100</v>
      </c>
      <c r="X25" s="1550"/>
      <c r="Y25" s="3576"/>
      <c r="Z25" s="1558" t="str">
        <f>Q25</f>
        <v>毗邻道路的类型与等级</v>
      </c>
      <c r="AA25" s="1559">
        <f t="shared" si="3"/>
        <v>1</v>
      </c>
      <c r="AB25" s="1559">
        <f t="shared" si="4"/>
        <v>1</v>
      </c>
      <c r="AC25" s="1559">
        <f t="shared" si="5"/>
        <v>1</v>
      </c>
    </row>
    <row r="26" spans="1:29" ht="15">
      <c r="A26" s="515"/>
      <c r="B26" s="566"/>
      <c r="C26" s="580"/>
      <c r="D26" s="540"/>
      <c r="E26" s="583"/>
      <c r="F26" s="540"/>
      <c r="G26" s="580"/>
      <c r="H26" s="540"/>
      <c r="I26" s="583"/>
      <c r="J26" s="540"/>
      <c r="K26" s="898"/>
      <c r="L26" s="2124"/>
      <c r="M26" s="2116"/>
      <c r="N26" s="2116"/>
      <c r="O26" s="2116"/>
      <c r="P26" s="3576"/>
      <c r="Q26" s="1555"/>
      <c r="R26" s="1556"/>
      <c r="S26" s="1557"/>
      <c r="T26" s="1556"/>
      <c r="U26" s="1557"/>
      <c r="V26" s="1556"/>
      <c r="W26" s="1557"/>
      <c r="X26" s="1550"/>
      <c r="Y26" s="3576"/>
      <c r="Z26" s="1558"/>
      <c r="AA26" s="1559">
        <v>1</v>
      </c>
      <c r="AB26" s="1559">
        <v>1</v>
      </c>
      <c r="AC26" s="1559">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76"/>
      <c r="Q27" s="1555" t="str">
        <f t="shared" ref="Q27:Q47" si="11">B27</f>
        <v>楼层</v>
      </c>
      <c r="R27" s="1556" t="s">
        <v>8</v>
      </c>
      <c r="S27" s="1557">
        <f>F27</f>
        <v>100</v>
      </c>
      <c r="T27" s="1556" t="s">
        <v>8</v>
      </c>
      <c r="U27" s="1557">
        <f>H27</f>
        <v>100</v>
      </c>
      <c r="V27" s="1556" t="s">
        <v>8</v>
      </c>
      <c r="W27" s="1557">
        <f>J27</f>
        <v>100</v>
      </c>
      <c r="X27" s="1550"/>
      <c r="Y27" s="3576"/>
      <c r="Z27" s="1558" t="str">
        <f>Q27</f>
        <v>楼层</v>
      </c>
      <c r="AA27" s="1559">
        <f t="shared" si="3"/>
        <v>1</v>
      </c>
      <c r="AB27" s="1559">
        <f t="shared" si="4"/>
        <v>1</v>
      </c>
      <c r="AC27" s="1559">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7"/>
      <c r="M28" s="2118"/>
      <c r="N28" s="2118"/>
      <c r="O28" s="2118"/>
      <c r="P28" s="3576"/>
      <c r="Q28" s="1146" t="str">
        <f t="shared" si="11"/>
        <v>朝向</v>
      </c>
      <c r="R28" s="1551" t="s">
        <v>8</v>
      </c>
      <c r="S28" s="1552">
        <f>F28</f>
        <v>100</v>
      </c>
      <c r="T28" s="1551" t="s">
        <v>8</v>
      </c>
      <c r="U28" s="1552">
        <f>H28</f>
        <v>100</v>
      </c>
      <c r="V28" s="1551" t="s">
        <v>8</v>
      </c>
      <c r="W28" s="1552">
        <f>J28</f>
        <v>100</v>
      </c>
      <c r="X28" s="1553"/>
      <c r="Y28" s="3576"/>
      <c r="Z28" s="1145" t="str">
        <f>Q28</f>
        <v>朝向</v>
      </c>
      <c r="AA28" s="1559">
        <f>D28/F28</f>
        <v>1</v>
      </c>
      <c r="AB28" s="1559">
        <f>D28/H28</f>
        <v>1</v>
      </c>
      <c r="AC28" s="1559">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4"/>
      <c r="M29" s="2116"/>
      <c r="N29" s="2116"/>
      <c r="O29" s="2116"/>
      <c r="P29" s="3576"/>
      <c r="Q29" s="1555">
        <f t="shared" si="11"/>
        <v>111</v>
      </c>
      <c r="R29" s="1556" t="s">
        <v>8</v>
      </c>
      <c r="S29" s="1557">
        <f t="shared" ref="S29:S47" si="12">F29</f>
        <v>100</v>
      </c>
      <c r="T29" s="1556" t="s">
        <v>8</v>
      </c>
      <c r="U29" s="1557">
        <f t="shared" ref="U29:U47" si="13">H29</f>
        <v>100</v>
      </c>
      <c r="V29" s="1556" t="s">
        <v>8</v>
      </c>
      <c r="W29" s="1557">
        <f t="shared" ref="W29:W47" si="14">J29</f>
        <v>100</v>
      </c>
      <c r="X29" s="1550"/>
      <c r="Y29" s="3576"/>
      <c r="Z29" s="1558">
        <f t="shared" ref="Z29:Z47" si="15">Q29</f>
        <v>111</v>
      </c>
      <c r="AA29" s="1559">
        <f t="shared" si="3"/>
        <v>1</v>
      </c>
      <c r="AB29" s="1559">
        <f t="shared" si="4"/>
        <v>1</v>
      </c>
      <c r="AC29" s="1559">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4"/>
      <c r="M30" s="2116"/>
      <c r="N30" s="2116"/>
      <c r="O30" s="2116"/>
      <c r="P30" s="3576"/>
      <c r="Q30" s="1555">
        <f t="shared" si="11"/>
        <v>111</v>
      </c>
      <c r="R30" s="1556" t="s">
        <v>8</v>
      </c>
      <c r="S30" s="1557">
        <f t="shared" si="12"/>
        <v>100</v>
      </c>
      <c r="T30" s="1556" t="s">
        <v>8</v>
      </c>
      <c r="U30" s="1557">
        <f t="shared" si="13"/>
        <v>100</v>
      </c>
      <c r="V30" s="1556" t="s">
        <v>8</v>
      </c>
      <c r="W30" s="1557">
        <f t="shared" si="14"/>
        <v>100</v>
      </c>
      <c r="X30" s="1550"/>
      <c r="Y30" s="3576"/>
      <c r="Z30" s="1558">
        <f t="shared" si="15"/>
        <v>111</v>
      </c>
      <c r="AA30" s="1559">
        <f t="shared" si="3"/>
        <v>1</v>
      </c>
      <c r="AB30" s="1559">
        <f t="shared" si="4"/>
        <v>1</v>
      </c>
      <c r="AC30" s="1559">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4"/>
      <c r="M31" s="2116"/>
      <c r="N31" s="2116"/>
      <c r="O31" s="2116"/>
      <c r="P31" s="3576"/>
      <c r="Q31" s="1555">
        <f t="shared" si="11"/>
        <v>111</v>
      </c>
      <c r="R31" s="1556" t="s">
        <v>8</v>
      </c>
      <c r="S31" s="1557">
        <f t="shared" si="12"/>
        <v>100</v>
      </c>
      <c r="T31" s="1556" t="s">
        <v>8</v>
      </c>
      <c r="U31" s="1557">
        <f t="shared" si="13"/>
        <v>100</v>
      </c>
      <c r="V31" s="1556" t="s">
        <v>8</v>
      </c>
      <c r="W31" s="1557">
        <f t="shared" si="14"/>
        <v>100</v>
      </c>
      <c r="X31" s="1550"/>
      <c r="Y31" s="3576"/>
      <c r="Z31" s="1558">
        <f t="shared" si="15"/>
        <v>111</v>
      </c>
      <c r="AA31" s="1559">
        <f t="shared" si="3"/>
        <v>1</v>
      </c>
      <c r="AB31" s="1559">
        <f t="shared" si="4"/>
        <v>1</v>
      </c>
      <c r="AC31" s="1559">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4"/>
      <c r="M32" s="2116"/>
      <c r="N32" s="2116"/>
      <c r="O32" s="2116"/>
      <c r="P32" s="3576"/>
      <c r="Q32" s="1555">
        <f t="shared" si="11"/>
        <v>111</v>
      </c>
      <c r="R32" s="1556" t="s">
        <v>8</v>
      </c>
      <c r="S32" s="1557">
        <f t="shared" si="12"/>
        <v>100</v>
      </c>
      <c r="T32" s="1556" t="s">
        <v>8</v>
      </c>
      <c r="U32" s="1557">
        <f t="shared" si="13"/>
        <v>100</v>
      </c>
      <c r="V32" s="1556" t="s">
        <v>8</v>
      </c>
      <c r="W32" s="1557">
        <f t="shared" si="14"/>
        <v>100</v>
      </c>
      <c r="X32" s="1550"/>
      <c r="Y32" s="3576"/>
      <c r="Z32" s="1558">
        <f t="shared" si="15"/>
        <v>111</v>
      </c>
      <c r="AA32" s="1559">
        <f t="shared" si="3"/>
        <v>1</v>
      </c>
      <c r="AB32" s="1559">
        <f t="shared" si="4"/>
        <v>1</v>
      </c>
      <c r="AC32" s="1559">
        <f t="shared" si="5"/>
        <v>1</v>
      </c>
    </row>
    <row r="33" spans="1:29" ht="15">
      <c r="A33" s="2859"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4"/>
      <c r="M33" s="2116"/>
      <c r="N33" s="2116"/>
      <c r="O33" s="2116"/>
      <c r="P33" s="3577" t="s">
        <v>550</v>
      </c>
      <c r="Q33" s="1555" t="str">
        <f t="shared" si="11"/>
        <v>建筑类型</v>
      </c>
      <c r="R33" s="1556" t="s">
        <v>8</v>
      </c>
      <c r="S33" s="1557">
        <f t="shared" si="12"/>
        <v>100</v>
      </c>
      <c r="T33" s="1556" t="s">
        <v>8</v>
      </c>
      <c r="U33" s="1557">
        <f t="shared" si="13"/>
        <v>100</v>
      </c>
      <c r="V33" s="1556" t="s">
        <v>8</v>
      </c>
      <c r="W33" s="1557">
        <f t="shared" si="14"/>
        <v>100</v>
      </c>
      <c r="X33" s="1550"/>
      <c r="Y33" s="3578" t="s">
        <v>550</v>
      </c>
      <c r="Z33" s="1558" t="str">
        <f t="shared" si="15"/>
        <v>建筑类型</v>
      </c>
      <c r="AA33" s="1559">
        <f t="shared" si="3"/>
        <v>1</v>
      </c>
      <c r="AB33" s="1559">
        <f t="shared" si="4"/>
        <v>1</v>
      </c>
      <c r="AC33" s="1559">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78"/>
      <c r="Q34" s="1587" t="str">
        <f t="shared" si="11"/>
        <v>项目建筑规模</v>
      </c>
      <c r="R34" s="1560" t="s">
        <v>8</v>
      </c>
      <c r="S34" s="1561" t="e">
        <f t="shared" si="12"/>
        <v>#N/A</v>
      </c>
      <c r="T34" s="1560" t="s">
        <v>8</v>
      </c>
      <c r="U34" s="1561" t="e">
        <f t="shared" si="13"/>
        <v>#N/A</v>
      </c>
      <c r="V34" s="1560" t="s">
        <v>8</v>
      </c>
      <c r="W34" s="1561" t="e">
        <f t="shared" si="14"/>
        <v>#N/A</v>
      </c>
      <c r="X34" s="1562"/>
      <c r="Y34" s="3578"/>
      <c r="Z34" s="1563" t="str">
        <f t="shared" si="15"/>
        <v>项目建筑规模</v>
      </c>
      <c r="AA34" s="1559" t="e">
        <f t="shared" si="3"/>
        <v>#N/A</v>
      </c>
      <c r="AB34" s="1559" t="e">
        <f t="shared" si="4"/>
        <v>#N/A</v>
      </c>
      <c r="AC34" s="1559"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78"/>
      <c r="Q35" s="1555" t="str">
        <f t="shared" si="11"/>
        <v>建筑结构</v>
      </c>
      <c r="R35" s="1556" t="s">
        <v>8</v>
      </c>
      <c r="S35" s="1557">
        <f t="shared" si="12"/>
        <v>100</v>
      </c>
      <c r="T35" s="1556" t="s">
        <v>8</v>
      </c>
      <c r="U35" s="1557">
        <f t="shared" si="13"/>
        <v>100</v>
      </c>
      <c r="V35" s="1556" t="s">
        <v>8</v>
      </c>
      <c r="W35" s="1557">
        <f t="shared" si="14"/>
        <v>100</v>
      </c>
      <c r="X35" s="1550"/>
      <c r="Y35" s="3578"/>
      <c r="Z35" s="1558" t="str">
        <f t="shared" si="15"/>
        <v>建筑结构</v>
      </c>
      <c r="AA35" s="1559">
        <f t="shared" si="3"/>
        <v>1</v>
      </c>
      <c r="AB35" s="1559">
        <f t="shared" si="4"/>
        <v>1</v>
      </c>
      <c r="AC35" s="1559">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78"/>
      <c r="Q36" s="1555" t="str">
        <f t="shared" si="11"/>
        <v>公共部分装修</v>
      </c>
      <c r="R36" s="1556" t="s">
        <v>8</v>
      </c>
      <c r="S36" s="1557">
        <f t="shared" si="12"/>
        <v>100</v>
      </c>
      <c r="T36" s="1556" t="s">
        <v>8</v>
      </c>
      <c r="U36" s="1557">
        <f t="shared" si="13"/>
        <v>100</v>
      </c>
      <c r="V36" s="1556" t="s">
        <v>8</v>
      </c>
      <c r="W36" s="1557">
        <f t="shared" si="14"/>
        <v>100</v>
      </c>
      <c r="X36" s="1550"/>
      <c r="Y36" s="3578"/>
      <c r="Z36" s="1558" t="str">
        <f t="shared" si="15"/>
        <v>公共部分装修</v>
      </c>
      <c r="AA36" s="1559">
        <f t="shared" si="3"/>
        <v>1</v>
      </c>
      <c r="AB36" s="1559">
        <f t="shared" si="4"/>
        <v>1</v>
      </c>
      <c r="AC36" s="1559">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4"/>
      <c r="M37" s="2116"/>
      <c r="N37" s="2116"/>
      <c r="O37" s="2116"/>
      <c r="P37" s="3578"/>
      <c r="Q37" s="1555" t="str">
        <f t="shared" si="11"/>
        <v>成新度</v>
      </c>
      <c r="R37" s="1556" t="s">
        <v>8</v>
      </c>
      <c r="S37" s="1557" t="e">
        <f t="shared" si="12"/>
        <v>#N/A</v>
      </c>
      <c r="T37" s="1556" t="s">
        <v>8</v>
      </c>
      <c r="U37" s="1557" t="e">
        <f t="shared" si="13"/>
        <v>#N/A</v>
      </c>
      <c r="V37" s="1556" t="s">
        <v>8</v>
      </c>
      <c r="W37" s="1557" t="e">
        <f t="shared" si="14"/>
        <v>#N/A</v>
      </c>
      <c r="X37" s="1550"/>
      <c r="Y37" s="3578"/>
      <c r="Z37" s="1558" t="str">
        <f t="shared" si="15"/>
        <v>成新度</v>
      </c>
      <c r="AA37" s="1559" t="e">
        <f t="shared" si="3"/>
        <v>#N/A</v>
      </c>
      <c r="AB37" s="1559" t="e">
        <f t="shared" si="4"/>
        <v>#N/A</v>
      </c>
      <c r="AC37" s="1559"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78"/>
      <c r="Q38" s="1146" t="str">
        <f t="shared" si="11"/>
        <v>写字楼等级</v>
      </c>
      <c r="R38" s="1551" t="s">
        <v>8</v>
      </c>
      <c r="S38" s="1552">
        <f t="shared" si="12"/>
        <v>100</v>
      </c>
      <c r="T38" s="1551" t="s">
        <v>8</v>
      </c>
      <c r="U38" s="1552">
        <f t="shared" si="13"/>
        <v>100</v>
      </c>
      <c r="V38" s="1551" t="s">
        <v>8</v>
      </c>
      <c r="W38" s="1552">
        <f t="shared" si="14"/>
        <v>100</v>
      </c>
      <c r="X38" s="1553"/>
      <c r="Y38" s="3578"/>
      <c r="Z38" s="1145" t="str">
        <f t="shared" si="15"/>
        <v>写字楼等级</v>
      </c>
      <c r="AA38" s="1554">
        <f t="shared" si="3"/>
        <v>1</v>
      </c>
      <c r="AB38" s="1554">
        <f t="shared" si="4"/>
        <v>1</v>
      </c>
      <c r="AC38" s="1554">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78" t="s">
        <v>550</v>
      </c>
      <c r="Q39" s="1555" t="str">
        <f t="shared" si="11"/>
        <v>物业管理</v>
      </c>
      <c r="R39" s="1556" t="s">
        <v>8</v>
      </c>
      <c r="S39" s="1557">
        <f t="shared" si="12"/>
        <v>100</v>
      </c>
      <c r="T39" s="1556" t="s">
        <v>8</v>
      </c>
      <c r="U39" s="1557">
        <f t="shared" si="13"/>
        <v>100</v>
      </c>
      <c r="V39" s="1556" t="s">
        <v>8</v>
      </c>
      <c r="W39" s="1557">
        <f t="shared" si="14"/>
        <v>100</v>
      </c>
      <c r="X39" s="1550"/>
      <c r="Y39" s="3578" t="s">
        <v>550</v>
      </c>
      <c r="Z39" s="1558" t="str">
        <f t="shared" si="15"/>
        <v>物业管理</v>
      </c>
      <c r="AA39" s="1559">
        <f t="shared" si="3"/>
        <v>1</v>
      </c>
      <c r="AB39" s="1559">
        <f t="shared" si="4"/>
        <v>1</v>
      </c>
      <c r="AC39" s="1559">
        <f t="shared" si="5"/>
        <v>1</v>
      </c>
    </row>
    <row r="40" spans="1:29" ht="15">
      <c r="A40" s="594"/>
      <c r="B40" s="187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78"/>
      <c r="Q40" s="1555" t="str">
        <f t="shared" si="11"/>
        <v>市政基础设施</v>
      </c>
      <c r="R40" s="1556" t="s">
        <v>8</v>
      </c>
      <c r="S40" s="1557">
        <f t="shared" si="12"/>
        <v>100</v>
      </c>
      <c r="T40" s="1556" t="s">
        <v>8</v>
      </c>
      <c r="U40" s="1557">
        <f t="shared" si="13"/>
        <v>100</v>
      </c>
      <c r="V40" s="1556" t="s">
        <v>8</v>
      </c>
      <c r="W40" s="1557">
        <f t="shared" si="14"/>
        <v>100</v>
      </c>
      <c r="X40" s="1550"/>
      <c r="Y40" s="3578"/>
      <c r="Z40" s="1558" t="str">
        <f t="shared" si="15"/>
        <v>市政基础设施</v>
      </c>
      <c r="AA40" s="1559">
        <f t="shared" si="3"/>
        <v>1</v>
      </c>
      <c r="AB40" s="1559">
        <f t="shared" si="4"/>
        <v>1</v>
      </c>
      <c r="AC40" s="1559">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78"/>
      <c r="Q41" s="1555" t="str">
        <f t="shared" si="11"/>
        <v>层高</v>
      </c>
      <c r="R41" s="1556" t="s">
        <v>8</v>
      </c>
      <c r="S41" s="1557">
        <f t="shared" si="12"/>
        <v>100</v>
      </c>
      <c r="T41" s="1556" t="s">
        <v>8</v>
      </c>
      <c r="U41" s="1557">
        <f t="shared" si="13"/>
        <v>100</v>
      </c>
      <c r="V41" s="1556" t="s">
        <v>8</v>
      </c>
      <c r="W41" s="1557">
        <f t="shared" si="14"/>
        <v>100</v>
      </c>
      <c r="X41" s="1550"/>
      <c r="Y41" s="3578"/>
      <c r="Z41" s="1558" t="str">
        <f t="shared" si="15"/>
        <v>层高</v>
      </c>
      <c r="AA41" s="1559">
        <f t="shared" si="3"/>
        <v>1</v>
      </c>
      <c r="AB41" s="1559">
        <f t="shared" si="4"/>
        <v>1</v>
      </c>
      <c r="AC41" s="1559">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78"/>
      <c r="Q42" s="1587" t="str">
        <f t="shared" si="11"/>
        <v>单套建筑面积</v>
      </c>
      <c r="R42" s="1560" t="s">
        <v>8</v>
      </c>
      <c r="S42" s="1561">
        <f t="shared" si="12"/>
        <v>100</v>
      </c>
      <c r="T42" s="1560" t="s">
        <v>8</v>
      </c>
      <c r="U42" s="1561">
        <f t="shared" si="13"/>
        <v>100</v>
      </c>
      <c r="V42" s="1560" t="s">
        <v>8</v>
      </c>
      <c r="W42" s="1561">
        <f t="shared" si="14"/>
        <v>100</v>
      </c>
      <c r="X42" s="1562"/>
      <c r="Y42" s="3578"/>
      <c r="Z42" s="1563" t="str">
        <f t="shared" si="15"/>
        <v>单套建筑面积</v>
      </c>
      <c r="AA42" s="1559">
        <f t="shared" si="3"/>
        <v>1</v>
      </c>
      <c r="AB42" s="1559">
        <f t="shared" si="4"/>
        <v>1</v>
      </c>
      <c r="AC42" s="1559">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78"/>
      <c r="Q43" s="1555" t="str">
        <f t="shared" si="11"/>
        <v>内部装修</v>
      </c>
      <c r="R43" s="1556" t="s">
        <v>8</v>
      </c>
      <c r="S43" s="1557">
        <f t="shared" si="12"/>
        <v>100</v>
      </c>
      <c r="T43" s="1556" t="s">
        <v>8</v>
      </c>
      <c r="U43" s="1557">
        <f t="shared" si="13"/>
        <v>100</v>
      </c>
      <c r="V43" s="1556" t="s">
        <v>8</v>
      </c>
      <c r="W43" s="1557">
        <f t="shared" si="14"/>
        <v>100</v>
      </c>
      <c r="X43" s="1550"/>
      <c r="Y43" s="3578"/>
      <c r="Z43" s="1558" t="str">
        <f t="shared" si="15"/>
        <v>内部装修</v>
      </c>
      <c r="AA43" s="1559">
        <f t="shared" si="3"/>
        <v>1</v>
      </c>
      <c r="AB43" s="1559">
        <f t="shared" si="4"/>
        <v>1</v>
      </c>
      <c r="AC43" s="1559">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78"/>
      <c r="Q44" s="1555" t="str">
        <f t="shared" si="11"/>
        <v>内部装修维护情况</v>
      </c>
      <c r="R44" s="1556" t="s">
        <v>8</v>
      </c>
      <c r="S44" s="1557">
        <f t="shared" si="12"/>
        <v>100</v>
      </c>
      <c r="T44" s="1556" t="s">
        <v>8</v>
      </c>
      <c r="U44" s="1557">
        <f t="shared" si="13"/>
        <v>100</v>
      </c>
      <c r="V44" s="1556" t="s">
        <v>8</v>
      </c>
      <c r="W44" s="1557">
        <f t="shared" si="14"/>
        <v>100</v>
      </c>
      <c r="X44" s="1550"/>
      <c r="Y44" s="3578"/>
      <c r="Z44" s="1558" t="str">
        <f t="shared" si="15"/>
        <v>内部装修维护情况</v>
      </c>
      <c r="AA44" s="1559">
        <f t="shared" si="3"/>
        <v>1</v>
      </c>
      <c r="AB44" s="1559">
        <f t="shared" si="4"/>
        <v>1</v>
      </c>
      <c r="AC44" s="1559">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78"/>
      <c r="Q45" s="1146">
        <f t="shared" si="11"/>
        <v>111</v>
      </c>
      <c r="R45" s="1551" t="s">
        <v>8</v>
      </c>
      <c r="S45" s="1552">
        <f t="shared" si="12"/>
        <v>100</v>
      </c>
      <c r="T45" s="1551" t="s">
        <v>8</v>
      </c>
      <c r="U45" s="1552">
        <f t="shared" si="13"/>
        <v>100</v>
      </c>
      <c r="V45" s="1551" t="s">
        <v>8</v>
      </c>
      <c r="W45" s="1552">
        <f t="shared" si="14"/>
        <v>100</v>
      </c>
      <c r="X45" s="1553"/>
      <c r="Y45" s="3578"/>
      <c r="Z45" s="1145">
        <f t="shared" si="15"/>
        <v>111</v>
      </c>
      <c r="AA45" s="1554">
        <f t="shared" si="3"/>
        <v>1</v>
      </c>
      <c r="AB45" s="1554">
        <f t="shared" si="4"/>
        <v>1</v>
      </c>
      <c r="AC45" s="155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78"/>
      <c r="Q46" s="1555">
        <f t="shared" si="11"/>
        <v>111</v>
      </c>
      <c r="R46" s="1556" t="s">
        <v>8</v>
      </c>
      <c r="S46" s="1557">
        <f t="shared" si="12"/>
        <v>100</v>
      </c>
      <c r="T46" s="1556" t="s">
        <v>8</v>
      </c>
      <c r="U46" s="1557">
        <f t="shared" si="13"/>
        <v>100</v>
      </c>
      <c r="V46" s="1556" t="s">
        <v>8</v>
      </c>
      <c r="W46" s="1557">
        <f t="shared" si="14"/>
        <v>100</v>
      </c>
      <c r="X46" s="1550"/>
      <c r="Y46" s="3578"/>
      <c r="Z46" s="1558">
        <f t="shared" si="15"/>
        <v>111</v>
      </c>
      <c r="AA46" s="1559">
        <f t="shared" si="3"/>
        <v>1</v>
      </c>
      <c r="AB46" s="1559">
        <f t="shared" si="4"/>
        <v>1</v>
      </c>
      <c r="AC46" s="1559">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680"/>
      <c r="Q47" s="1555">
        <f t="shared" si="11"/>
        <v>111</v>
      </c>
      <c r="R47" s="1556" t="s">
        <v>8</v>
      </c>
      <c r="S47" s="1557">
        <f t="shared" si="12"/>
        <v>100</v>
      </c>
      <c r="T47" s="1556" t="s">
        <v>8</v>
      </c>
      <c r="U47" s="1557">
        <f t="shared" si="13"/>
        <v>100</v>
      </c>
      <c r="V47" s="1556" t="s">
        <v>8</v>
      </c>
      <c r="W47" s="1557">
        <f t="shared" si="14"/>
        <v>100</v>
      </c>
      <c r="X47" s="1550"/>
      <c r="Y47" s="3680"/>
      <c r="Z47" s="1558">
        <f t="shared" si="15"/>
        <v>111</v>
      </c>
      <c r="AA47" s="1559">
        <f t="shared" si="3"/>
        <v>1</v>
      </c>
      <c r="AB47" s="1559">
        <f t="shared" si="4"/>
        <v>1</v>
      </c>
      <c r="AC47" s="1559">
        <f t="shared" si="5"/>
        <v>1</v>
      </c>
    </row>
    <row r="48" spans="1:29" ht="15">
      <c r="A48" s="607" t="s">
        <v>736</v>
      </c>
      <c r="B48" s="886"/>
      <c r="C48" s="2588" t="s">
        <v>1</v>
      </c>
      <c r="D48" s="2589"/>
      <c r="E48" s="2590"/>
      <c r="F48" s="2591"/>
      <c r="G48" s="2592"/>
      <c r="H48" s="2593"/>
      <c r="I48" s="2590"/>
      <c r="J48" s="2593"/>
      <c r="K48" s="1593"/>
      <c r="L48" s="2126"/>
      <c r="M48" s="2116"/>
      <c r="N48" s="2116"/>
      <c r="O48" s="2116"/>
      <c r="P48" s="3595" t="str">
        <f>A48</f>
        <v>成交单价（元/平方米）</v>
      </c>
      <c r="Q48" s="3573"/>
      <c r="R48" s="3679">
        <f>E48</f>
        <v>0</v>
      </c>
      <c r="S48" s="3679"/>
      <c r="T48" s="3679">
        <f>G48</f>
        <v>0</v>
      </c>
      <c r="U48" s="3679"/>
      <c r="V48" s="3679">
        <f>I48</f>
        <v>0</v>
      </c>
      <c r="W48" s="3679"/>
      <c r="X48" s="1542"/>
      <c r="Y48" s="1564"/>
      <c r="Z48" s="1542"/>
      <c r="AA48" s="1542"/>
      <c r="AB48" s="1542"/>
      <c r="AC48" s="1542"/>
    </row>
    <row r="49" spans="1:29" ht="15.75" thickBot="1">
      <c r="A49" s="615" t="s">
        <v>2756</v>
      </c>
      <c r="B49" s="887"/>
      <c r="C49" s="2594" t="e">
        <f>R50</f>
        <v>#DIV/0!</v>
      </c>
      <c r="D49" s="2595"/>
      <c r="E49" s="2596" t="e">
        <f>R49</f>
        <v>#DIV/0!</v>
      </c>
      <c r="F49" s="2596"/>
      <c r="G49" s="2594" t="e">
        <f>T49</f>
        <v>#DIV/0!</v>
      </c>
      <c r="H49" s="2595"/>
      <c r="I49" s="2596" t="e">
        <f>V49</f>
        <v>#DIV/0!</v>
      </c>
      <c r="J49" s="2595"/>
      <c r="K49" s="1594"/>
      <c r="L49" s="2126"/>
      <c r="M49" s="2116"/>
      <c r="N49" s="2116"/>
      <c r="O49" s="2116"/>
      <c r="P49" s="3595" t="str">
        <f>A49</f>
        <v>比较价格（元/平方米）</v>
      </c>
      <c r="Q49" s="3573"/>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542"/>
      <c r="Y49" s="1542"/>
      <c r="Z49" s="1542"/>
      <c r="AA49" s="1542"/>
      <c r="AB49" s="1542"/>
      <c r="AC49" s="1542"/>
    </row>
    <row r="50" spans="1:29" ht="15.75" thickBot="1">
      <c r="A50" s="621" t="s">
        <v>2929</v>
      </c>
      <c r="B50" s="622"/>
      <c r="C50" s="2597" t="e">
        <f>R50</f>
        <v>#DIV/0!</v>
      </c>
      <c r="D50" s="2597"/>
      <c r="E50" s="2597"/>
      <c r="F50" s="2597"/>
      <c r="G50" s="2597"/>
      <c r="H50" s="2597"/>
      <c r="I50" s="2597"/>
      <c r="J50" s="2597"/>
      <c r="K50" s="1595"/>
      <c r="L50" s="2126"/>
      <c r="M50" s="2116"/>
      <c r="N50" s="2116"/>
      <c r="O50" s="2116"/>
      <c r="P50" s="3684" t="str">
        <f>A50</f>
        <v>估价对象XX用房的比较价格（楼面单价，元/平方米）</v>
      </c>
      <c r="Q50" s="3595"/>
      <c r="R50" s="3678" t="e">
        <f>IF(F1="售价",ROUND(AVERAGE(R49:V49),0),ROUND(AVERAGE(R49:V49),1))</f>
        <v>#DIV/0!</v>
      </c>
      <c r="S50" s="3678"/>
      <c r="T50" s="3678"/>
      <c r="U50" s="3678"/>
      <c r="V50" s="3678"/>
      <c r="W50" s="3678"/>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2" customFormat="1" ht="15">
      <c r="A59" s="645" t="s">
        <v>529</v>
      </c>
      <c r="B59" s="646"/>
      <c r="C59" s="2754" t="str">
        <f>YEAR(C7)&amp;"-"&amp;MONTH(C7)</f>
        <v>2019-10</v>
      </c>
      <c r="D59" s="2756">
        <f>EDATE(C59,-1)</f>
        <v>43709</v>
      </c>
      <c r="E59" s="2756">
        <f t="shared" ref="E59:O59" si="16">EDATE(D59,-1)</f>
        <v>43678</v>
      </c>
      <c r="F59" s="2756">
        <f t="shared" si="16"/>
        <v>43647</v>
      </c>
      <c r="G59" s="2756">
        <f t="shared" si="16"/>
        <v>43617</v>
      </c>
      <c r="H59" s="2756">
        <f t="shared" si="16"/>
        <v>43586</v>
      </c>
      <c r="I59" s="2756">
        <f t="shared" si="16"/>
        <v>43556</v>
      </c>
      <c r="J59" s="2756">
        <f t="shared" si="16"/>
        <v>43525</v>
      </c>
      <c r="K59" s="2756">
        <f t="shared" si="16"/>
        <v>43497</v>
      </c>
      <c r="L59" s="2756">
        <f t="shared" si="16"/>
        <v>43466</v>
      </c>
      <c r="M59" s="2756">
        <f t="shared" si="16"/>
        <v>43435</v>
      </c>
      <c r="N59" s="2756">
        <f t="shared" si="16"/>
        <v>43405</v>
      </c>
      <c r="O59" s="2756">
        <f t="shared" si="16"/>
        <v>43374</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8">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2554</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8" t="s">
        <v>2555</v>
      </c>
      <c r="C83" s="2559" t="s">
        <v>2556</v>
      </c>
      <c r="D83" s="2559" t="s">
        <v>2557</v>
      </c>
      <c r="E83" s="2559" t="s">
        <v>2558</v>
      </c>
      <c r="F83" s="2559" t="s">
        <v>2559</v>
      </c>
      <c r="G83" s="2559" t="s">
        <v>2560</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1"/>
      <c r="G89" s="688"/>
      <c r="H89" s="688"/>
      <c r="I89" s="688"/>
      <c r="J89" s="688"/>
      <c r="K89" s="688"/>
      <c r="L89" s="688"/>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2"/>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6" t="s">
        <v>787</v>
      </c>
      <c r="C119" s="718"/>
      <c r="D119" s="718"/>
      <c r="E119" s="718"/>
      <c r="F119" s="718"/>
      <c r="G119" s="718"/>
      <c r="H119" s="718"/>
      <c r="I119" s="718"/>
      <c r="J119" s="718"/>
      <c r="K119" s="718"/>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521</v>
      </c>
      <c r="B4" s="513"/>
      <c r="C4" s="3579" t="s">
        <v>522</v>
      </c>
      <c r="D4" s="3580"/>
      <c r="E4" s="3603" t="s">
        <v>523</v>
      </c>
      <c r="F4" s="3604"/>
      <c r="G4" s="3579" t="s">
        <v>524</v>
      </c>
      <c r="H4" s="3580"/>
      <c r="I4" s="3579" t="s">
        <v>525</v>
      </c>
      <c r="J4" s="3580"/>
      <c r="K4" s="514" t="s">
        <v>526</v>
      </c>
      <c r="L4" s="2115"/>
      <c r="M4" s="2116"/>
      <c r="N4" s="2116"/>
      <c r="O4" s="2116"/>
      <c r="P4" s="3581" t="s">
        <v>527</v>
      </c>
      <c r="Q4" s="3582"/>
      <c r="R4" s="3567" t="s">
        <v>523</v>
      </c>
      <c r="S4" s="3568"/>
      <c r="T4" s="3567" t="s">
        <v>524</v>
      </c>
      <c r="U4" s="3568"/>
      <c r="V4" s="3587" t="s">
        <v>525</v>
      </c>
      <c r="W4" s="3587"/>
      <c r="X4" s="1550"/>
      <c r="Y4" s="3567" t="s">
        <v>527</v>
      </c>
      <c r="Z4" s="3568"/>
      <c r="AA4" s="3562" t="s">
        <v>523</v>
      </c>
      <c r="AB4" s="3563" t="s">
        <v>524</v>
      </c>
      <c r="AC4" s="3562" t="s">
        <v>525</v>
      </c>
    </row>
    <row r="5" spans="1:29" ht="15">
      <c r="A5" s="515"/>
      <c r="B5" s="516"/>
      <c r="C5" s="3590" t="s">
        <v>2923</v>
      </c>
      <c r="D5" s="3591"/>
      <c r="E5" s="3605" t="s">
        <v>2924</v>
      </c>
      <c r="F5" s="3606"/>
      <c r="G5" s="3590" t="s">
        <v>2925</v>
      </c>
      <c r="H5" s="3591"/>
      <c r="I5" s="3590" t="s">
        <v>2926</v>
      </c>
      <c r="J5" s="3591"/>
      <c r="K5" s="514"/>
      <c r="L5" s="2115"/>
      <c r="M5" s="2116"/>
      <c r="N5" s="2116"/>
      <c r="O5" s="2116"/>
      <c r="P5" s="3583"/>
      <c r="Q5" s="3584"/>
      <c r="R5" s="3569"/>
      <c r="S5" s="3570"/>
      <c r="T5" s="3569"/>
      <c r="U5" s="3570"/>
      <c r="V5" s="3587"/>
      <c r="W5" s="3587"/>
      <c r="X5" s="1550"/>
      <c r="Y5" s="3569"/>
      <c r="Z5" s="3570"/>
      <c r="AA5" s="3563"/>
      <c r="AB5" s="3563"/>
      <c r="AC5" s="3563"/>
    </row>
    <row r="6" spans="1:29" ht="15.75" thickBot="1">
      <c r="A6" s="517"/>
      <c r="B6" s="518"/>
      <c r="C6" s="3588" t="s">
        <v>2927</v>
      </c>
      <c r="D6" s="3589"/>
      <c r="E6" s="3607" t="s">
        <v>2927</v>
      </c>
      <c r="F6" s="3608"/>
      <c r="G6" s="3588" t="s">
        <v>2927</v>
      </c>
      <c r="H6" s="3589"/>
      <c r="I6" s="3588" t="s">
        <v>2927</v>
      </c>
      <c r="J6" s="3589"/>
      <c r="K6" s="514" t="s">
        <v>528</v>
      </c>
      <c r="L6" s="2115"/>
      <c r="M6" s="2116"/>
      <c r="N6" s="2116"/>
      <c r="O6" s="2116"/>
      <c r="P6" s="3585"/>
      <c r="Q6" s="3586"/>
      <c r="R6" s="3569"/>
      <c r="S6" s="3570"/>
      <c r="T6" s="3571"/>
      <c r="U6" s="3572"/>
      <c r="V6" s="3587"/>
      <c r="W6" s="3587"/>
      <c r="X6" s="1550"/>
      <c r="Y6" s="3571"/>
      <c r="Z6" s="3572"/>
      <c r="AA6" s="3564"/>
      <c r="AB6" s="3564"/>
      <c r="AC6" s="3564"/>
    </row>
    <row r="7" spans="1:29" s="1215" customFormat="1" ht="15.75" thickBot="1">
      <c r="A7" s="2864"/>
      <c r="B7" s="2871" t="s">
        <v>529</v>
      </c>
      <c r="C7" s="519">
        <f>'数据-取费表'!B2</f>
        <v>43763</v>
      </c>
      <c r="D7" s="520">
        <v>100</v>
      </c>
      <c r="E7" s="521"/>
      <c r="F7" s="522">
        <f>SUMIF(52:52,YEAR(E7)&amp;"-"&amp;MONTH(E7),53:53)</f>
        <v>0</v>
      </c>
      <c r="G7" s="521"/>
      <c r="H7" s="520">
        <f>SUMIF(52:52,YEAR(G7)&amp;"-"&amp;MONTH(G7),53:53)</f>
        <v>0</v>
      </c>
      <c r="I7" s="521"/>
      <c r="J7" s="520">
        <f>SUMIF(52:52,YEAR(I7)&amp;"-"&amp;MONTH(I7),53:53)</f>
        <v>0</v>
      </c>
      <c r="K7" s="524"/>
      <c r="L7" s="2117"/>
      <c r="M7" s="2118"/>
      <c r="N7" s="2118"/>
      <c r="O7" s="2118"/>
      <c r="P7" s="3565" t="s">
        <v>530</v>
      </c>
      <c r="Q7" s="3574"/>
      <c r="R7" s="1551" t="s">
        <v>8</v>
      </c>
      <c r="S7" s="1552">
        <f t="shared" ref="S7:S15" si="0">F7</f>
        <v>0</v>
      </c>
      <c r="T7" s="1551" t="s">
        <v>8</v>
      </c>
      <c r="U7" s="1552">
        <f t="shared" ref="U7:U15" si="1">H7</f>
        <v>0</v>
      </c>
      <c r="V7" s="1551" t="s">
        <v>8</v>
      </c>
      <c r="W7" s="1552">
        <f t="shared" ref="W7:W15" si="2">J7</f>
        <v>0</v>
      </c>
      <c r="X7" s="1553"/>
      <c r="Y7" s="3565" t="s">
        <v>530</v>
      </c>
      <c r="Z7" s="3566"/>
      <c r="AA7" s="1554" t="e">
        <f>D7/F7</f>
        <v>#DIV/0!</v>
      </c>
      <c r="AB7" s="1554" t="e">
        <f>D7/H7</f>
        <v>#DIV/0!</v>
      </c>
      <c r="AC7" s="1554"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565" t="s">
        <v>533</v>
      </c>
      <c r="Q8" s="3566"/>
      <c r="R8" s="1551" t="s">
        <v>8</v>
      </c>
      <c r="S8" s="1552">
        <f t="shared" si="0"/>
        <v>0</v>
      </c>
      <c r="T8" s="1551" t="s">
        <v>8</v>
      </c>
      <c r="U8" s="1552">
        <f t="shared" si="1"/>
        <v>0</v>
      </c>
      <c r="V8" s="1551" t="s">
        <v>8</v>
      </c>
      <c r="W8" s="1552">
        <f t="shared" si="2"/>
        <v>0</v>
      </c>
      <c r="X8" s="1553"/>
      <c r="Y8" s="3565" t="s">
        <v>533</v>
      </c>
      <c r="Z8" s="3566"/>
      <c r="AA8" s="1554" t="e">
        <f t="shared" ref="AA8:AA40" si="3">D8/F8</f>
        <v>#DIV/0!</v>
      </c>
      <c r="AB8" s="1554" t="e">
        <f t="shared" ref="AB8:AB40" si="4">D8/H8</f>
        <v>#DIV/0!</v>
      </c>
      <c r="AC8" s="1554" t="e">
        <f t="shared" ref="AC8:AC40" si="5">D8/J8</f>
        <v>#DIV/0!</v>
      </c>
    </row>
    <row r="9" spans="1:29" s="1215" customFormat="1" ht="15">
      <c r="A9" s="2866"/>
      <c r="B9" s="2873" t="s">
        <v>2752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573" t="s">
        <v>535</v>
      </c>
      <c r="Q9" s="1146" t="str">
        <f t="shared" ref="Q9:Q15" si="6">B9</f>
        <v>用途</v>
      </c>
      <c r="R9" s="1551" t="s">
        <v>8</v>
      </c>
      <c r="S9" s="1552">
        <f t="shared" si="0"/>
        <v>100</v>
      </c>
      <c r="T9" s="1551" t="s">
        <v>8</v>
      </c>
      <c r="U9" s="1552">
        <f t="shared" si="1"/>
        <v>100</v>
      </c>
      <c r="V9" s="1551" t="s">
        <v>8</v>
      </c>
      <c r="W9" s="1552">
        <f t="shared" si="2"/>
        <v>100</v>
      </c>
      <c r="X9" s="1553"/>
      <c r="Y9" s="3530"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573"/>
      <c r="Q10" s="1146" t="str">
        <f t="shared" si="6"/>
        <v>土地使用年限（年）</v>
      </c>
      <c r="R10" s="1551" t="s">
        <v>8</v>
      </c>
      <c r="S10" s="1552">
        <f t="shared" si="0"/>
        <v>100</v>
      </c>
      <c r="T10" s="1551" t="s">
        <v>8</v>
      </c>
      <c r="U10" s="1552">
        <f t="shared" si="1"/>
        <v>100</v>
      </c>
      <c r="V10" s="1551" t="s">
        <v>8</v>
      </c>
      <c r="W10" s="1552">
        <f t="shared" si="2"/>
        <v>100</v>
      </c>
      <c r="X10" s="1553"/>
      <c r="Y10" s="3530"/>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573"/>
      <c r="Q11" s="1146" t="str">
        <f t="shared" si="6"/>
        <v>容积率</v>
      </c>
      <c r="R11" s="1551" t="s">
        <v>8</v>
      </c>
      <c r="S11" s="1552" t="e">
        <f t="shared" si="0"/>
        <v>#N/A</v>
      </c>
      <c r="T11" s="1551" t="s">
        <v>8</v>
      </c>
      <c r="U11" s="1552" t="e">
        <f t="shared" si="1"/>
        <v>#N/A</v>
      </c>
      <c r="V11" s="1551" t="s">
        <v>8</v>
      </c>
      <c r="W11" s="1552" t="e">
        <f t="shared" si="2"/>
        <v>#N/A</v>
      </c>
      <c r="X11" s="1553"/>
      <c r="Y11" s="3530"/>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7"/>
      <c r="M12" s="2118"/>
      <c r="N12" s="2118"/>
      <c r="O12" s="2119"/>
      <c r="P12" s="3573"/>
      <c r="Q12" s="1146">
        <f t="shared" si="6"/>
        <v>111</v>
      </c>
      <c r="R12" s="1551" t="s">
        <v>8</v>
      </c>
      <c r="S12" s="1552">
        <f t="shared" si="0"/>
        <v>100</v>
      </c>
      <c r="T12" s="1551" t="s">
        <v>8</v>
      </c>
      <c r="U12" s="1552">
        <f t="shared" si="1"/>
        <v>100</v>
      </c>
      <c r="V12" s="1551" t="s">
        <v>8</v>
      </c>
      <c r="W12" s="1552">
        <f t="shared" si="2"/>
        <v>100</v>
      </c>
      <c r="X12" s="1553"/>
      <c r="Y12" s="3530"/>
      <c r="Z12" s="1145">
        <f t="shared" si="7"/>
        <v>111</v>
      </c>
      <c r="AA12" s="1554">
        <f>D12/F12</f>
        <v>1</v>
      </c>
      <c r="AB12" s="1554">
        <f>D12/H12</f>
        <v>1</v>
      </c>
      <c r="AC12" s="1554">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4"/>
      <c r="M13" s="2116"/>
      <c r="N13" s="2116"/>
      <c r="O13" s="2123"/>
      <c r="P13" s="3573"/>
      <c r="Q13" s="1146">
        <f t="shared" si="6"/>
        <v>111</v>
      </c>
      <c r="R13" s="1551" t="s">
        <v>8</v>
      </c>
      <c r="S13" s="1552">
        <f t="shared" si="0"/>
        <v>100</v>
      </c>
      <c r="T13" s="1551" t="s">
        <v>8</v>
      </c>
      <c r="U13" s="1552">
        <f t="shared" si="1"/>
        <v>100</v>
      </c>
      <c r="V13" s="1551" t="s">
        <v>8</v>
      </c>
      <c r="W13" s="1552">
        <f t="shared" si="2"/>
        <v>100</v>
      </c>
      <c r="X13" s="1553"/>
      <c r="Y13" s="3530"/>
      <c r="Z13" s="1145">
        <f t="shared" si="7"/>
        <v>111</v>
      </c>
      <c r="AA13" s="1554">
        <f t="shared" si="3"/>
        <v>1</v>
      </c>
      <c r="AB13" s="1554">
        <f t="shared" si="4"/>
        <v>1</v>
      </c>
      <c r="AC13" s="1554">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4"/>
      <c r="M14" s="2116"/>
      <c r="N14" s="2116"/>
      <c r="O14" s="2123"/>
      <c r="P14" s="3573"/>
      <c r="Q14" s="1146">
        <f t="shared" si="6"/>
        <v>111</v>
      </c>
      <c r="R14" s="1551" t="s">
        <v>8</v>
      </c>
      <c r="S14" s="1552">
        <f t="shared" si="0"/>
        <v>100</v>
      </c>
      <c r="T14" s="1551" t="s">
        <v>8</v>
      </c>
      <c r="U14" s="1552">
        <f t="shared" si="1"/>
        <v>100</v>
      </c>
      <c r="V14" s="1551" t="s">
        <v>8</v>
      </c>
      <c r="W14" s="1552">
        <f t="shared" si="2"/>
        <v>100</v>
      </c>
      <c r="X14" s="1553"/>
      <c r="Y14" s="3530"/>
      <c r="Z14" s="1145">
        <f t="shared" si="7"/>
        <v>111</v>
      </c>
      <c r="AA14" s="1554">
        <f t="shared" si="3"/>
        <v>1</v>
      </c>
      <c r="AB14" s="1554">
        <f t="shared" si="4"/>
        <v>1</v>
      </c>
      <c r="AC14" s="1554">
        <f t="shared" si="5"/>
        <v>1</v>
      </c>
    </row>
    <row r="15" spans="1:29" ht="57">
      <c r="A15" s="2862"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4"/>
      <c r="M15" s="2116"/>
      <c r="N15" s="2116"/>
      <c r="O15" s="2123"/>
      <c r="P15" s="3575" t="s">
        <v>540</v>
      </c>
      <c r="Q15" s="1555" t="str">
        <f t="shared" si="6"/>
        <v>产业集聚程度</v>
      </c>
      <c r="R15" s="1556" t="s">
        <v>8</v>
      </c>
      <c r="S15" s="1557">
        <f t="shared" si="0"/>
        <v>100</v>
      </c>
      <c r="T15" s="1556" t="s">
        <v>8</v>
      </c>
      <c r="U15" s="1557">
        <f t="shared" si="1"/>
        <v>100</v>
      </c>
      <c r="V15" s="1556" t="s">
        <v>8</v>
      </c>
      <c r="W15" s="1557">
        <f t="shared" si="2"/>
        <v>100</v>
      </c>
      <c r="X15" s="1550"/>
      <c r="Y15" s="3575" t="s">
        <v>540</v>
      </c>
      <c r="Z15" s="1558" t="str">
        <f t="shared" si="7"/>
        <v>产业集聚程度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576"/>
      <c r="Q16" s="1555"/>
      <c r="R16" s="1556"/>
      <c r="S16" s="1557"/>
      <c r="T16" s="1556"/>
      <c r="U16" s="1557"/>
      <c r="V16" s="1556"/>
      <c r="W16" s="1557"/>
      <c r="X16" s="1550"/>
      <c r="Y16" s="3576"/>
      <c r="Z16" s="1558"/>
      <c r="AA16" s="1559">
        <v>1</v>
      </c>
      <c r="AB16" s="1559">
        <v>1</v>
      </c>
      <c r="AC16" s="155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4"/>
      <c r="M17" s="2116"/>
      <c r="N17" s="2116"/>
      <c r="O17" s="2123"/>
      <c r="P17" s="3576"/>
      <c r="Q17" s="1555" t="str">
        <f>B17</f>
        <v>交通便捷度</v>
      </c>
      <c r="R17" s="1556" t="s">
        <v>8</v>
      </c>
      <c r="S17" s="1557">
        <f>F17</f>
        <v>100</v>
      </c>
      <c r="T17" s="1556" t="s">
        <v>8</v>
      </c>
      <c r="U17" s="1557">
        <f>H17</f>
        <v>100</v>
      </c>
      <c r="V17" s="1556" t="s">
        <v>8</v>
      </c>
      <c r="W17" s="1557">
        <f>J17</f>
        <v>100</v>
      </c>
      <c r="X17" s="1550"/>
      <c r="Y17" s="3576"/>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576"/>
      <c r="Q18" s="1555"/>
      <c r="R18" s="1556"/>
      <c r="S18" s="1557"/>
      <c r="T18" s="1556"/>
      <c r="U18" s="1557"/>
      <c r="V18" s="1556"/>
      <c r="W18" s="1557"/>
      <c r="X18" s="1550"/>
      <c r="Y18" s="3576"/>
      <c r="Z18" s="1558"/>
      <c r="AA18" s="1559">
        <v>1</v>
      </c>
      <c r="AB18" s="1559">
        <v>1</v>
      </c>
      <c r="AC18" s="1559">
        <v>1</v>
      </c>
    </row>
    <row r="19" spans="1:29" ht="42.75">
      <c r="A19" s="532"/>
      <c r="B19" s="2564"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4"/>
      <c r="M19" s="2116"/>
      <c r="N19" s="2116"/>
      <c r="O19" s="2123"/>
      <c r="P19" s="3576"/>
      <c r="Q19" s="1555" t="str">
        <f>B19</f>
        <v>公共配套设施</v>
      </c>
      <c r="R19" s="1556" t="s">
        <v>8</v>
      </c>
      <c r="S19" s="1557">
        <f>F19</f>
        <v>100</v>
      </c>
      <c r="T19" s="1556" t="s">
        <v>8</v>
      </c>
      <c r="U19" s="1557">
        <f>H19</f>
        <v>100</v>
      </c>
      <c r="V19" s="1556" t="s">
        <v>8</v>
      </c>
      <c r="W19" s="1557">
        <f>J19</f>
        <v>100</v>
      </c>
      <c r="X19" s="1550"/>
      <c r="Y19" s="3576"/>
      <c r="Z19" s="1558" t="str">
        <f>Q19</f>
        <v>公共配套设施</v>
      </c>
      <c r="AA19" s="1559">
        <f t="shared" si="3"/>
        <v>1</v>
      </c>
      <c r="AB19" s="1559">
        <f t="shared" si="4"/>
        <v>1</v>
      </c>
      <c r="AC19" s="1559">
        <f t="shared" si="5"/>
        <v>1</v>
      </c>
    </row>
    <row r="20" spans="1:29" ht="15">
      <c r="A20" s="532"/>
      <c r="B20" s="566"/>
      <c r="C20" s="576"/>
      <c r="D20" s="555"/>
      <c r="E20" s="556"/>
      <c r="F20" s="557"/>
      <c r="G20" s="558"/>
      <c r="H20" s="555"/>
      <c r="I20" s="556"/>
      <c r="J20" s="555"/>
      <c r="K20" s="898"/>
      <c r="L20" s="2124"/>
      <c r="M20" s="2116"/>
      <c r="N20" s="2116"/>
      <c r="O20" s="2123"/>
      <c r="P20" s="3576"/>
      <c r="Q20" s="1555"/>
      <c r="R20" s="1556"/>
      <c r="S20" s="1557"/>
      <c r="T20" s="1556"/>
      <c r="U20" s="1557"/>
      <c r="V20" s="1556"/>
      <c r="W20" s="1557"/>
      <c r="X20" s="1550"/>
      <c r="Y20" s="3576"/>
      <c r="Z20" s="1558"/>
      <c r="AA20" s="1559">
        <v>1</v>
      </c>
      <c r="AB20" s="1559">
        <v>1</v>
      </c>
      <c r="AC20" s="1559">
        <v>1</v>
      </c>
    </row>
    <row r="21" spans="1:29" ht="28.5">
      <c r="A21" s="532"/>
      <c r="B21" s="2552"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4"/>
      <c r="M21" s="2116"/>
      <c r="N21" s="2116"/>
      <c r="O21" s="2123"/>
      <c r="P21" s="3576"/>
      <c r="Q21" s="2540" t="str">
        <f>B21</f>
        <v>基础设施水平</v>
      </c>
      <c r="R21" s="1556" t="s">
        <v>8</v>
      </c>
      <c r="S21" s="1557">
        <f>F21</f>
        <v>100</v>
      </c>
      <c r="T21" s="1556" t="s">
        <v>8</v>
      </c>
      <c r="U21" s="1557">
        <f>H21</f>
        <v>100</v>
      </c>
      <c r="V21" s="1556" t="s">
        <v>8</v>
      </c>
      <c r="W21" s="1557">
        <f>J21</f>
        <v>100</v>
      </c>
      <c r="X21" s="2542"/>
      <c r="Y21" s="3576"/>
      <c r="Z21" s="2541" t="str">
        <f>Q21</f>
        <v>基础设施水平</v>
      </c>
      <c r="AA21" s="1559">
        <f t="shared" ref="AA21" si="8">D21/F21</f>
        <v>1</v>
      </c>
      <c r="AB21" s="1559">
        <f t="shared" ref="AB21" si="9">D21/H21</f>
        <v>1</v>
      </c>
      <c r="AC21" s="1559">
        <f t="shared" ref="AC21" si="10">D21/J21</f>
        <v>1</v>
      </c>
    </row>
    <row r="22" spans="1:29" ht="15">
      <c r="A22" s="532"/>
      <c r="B22" s="578"/>
      <c r="C22" s="873"/>
      <c r="D22" s="555"/>
      <c r="E22" s="576"/>
      <c r="F22" s="557"/>
      <c r="G22" s="576"/>
      <c r="H22" s="555"/>
      <c r="I22" s="576"/>
      <c r="J22" s="555"/>
      <c r="K22" s="2563"/>
      <c r="L22" s="2124"/>
      <c r="M22" s="2116"/>
      <c r="N22" s="2116"/>
      <c r="O22" s="2123"/>
      <c r="P22" s="3576"/>
      <c r="Q22" s="2540"/>
      <c r="R22" s="1556"/>
      <c r="S22" s="1557"/>
      <c r="T22" s="1556"/>
      <c r="U22" s="1557"/>
      <c r="V22" s="1556"/>
      <c r="W22" s="1557"/>
      <c r="X22" s="2542"/>
      <c r="Y22" s="3576"/>
      <c r="Z22" s="2541"/>
      <c r="AA22" s="1559">
        <v>1</v>
      </c>
      <c r="AB22" s="1559">
        <v>1</v>
      </c>
      <c r="AC22" s="1559">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4"/>
      <c r="M23" s="2116"/>
      <c r="N23" s="2116"/>
      <c r="O23" s="2123"/>
      <c r="P23" s="3576"/>
      <c r="Q23" s="1555" t="str">
        <f>B23</f>
        <v>环境质量</v>
      </c>
      <c r="R23" s="1556" t="s">
        <v>8</v>
      </c>
      <c r="S23" s="1557">
        <f>F23</f>
        <v>100</v>
      </c>
      <c r="T23" s="1556" t="s">
        <v>8</v>
      </c>
      <c r="U23" s="1557">
        <f>H23</f>
        <v>100</v>
      </c>
      <c r="V23" s="1556" t="s">
        <v>8</v>
      </c>
      <c r="W23" s="1557">
        <f>J23</f>
        <v>100</v>
      </c>
      <c r="X23" s="1550"/>
      <c r="Y23" s="3576"/>
      <c r="Z23" s="1558" t="str">
        <f>Q23</f>
        <v>环境质量</v>
      </c>
      <c r="AA23" s="1559">
        <f t="shared" si="3"/>
        <v>1</v>
      </c>
      <c r="AB23" s="1559">
        <f t="shared" si="4"/>
        <v>1</v>
      </c>
      <c r="AC23" s="1559">
        <f t="shared" si="5"/>
        <v>1</v>
      </c>
    </row>
    <row r="24" spans="1:29" ht="15">
      <c r="A24" s="532"/>
      <c r="B24" s="921"/>
      <c r="C24" s="576"/>
      <c r="D24" s="555"/>
      <c r="E24" s="556"/>
      <c r="F24" s="557"/>
      <c r="G24" s="558"/>
      <c r="H24" s="555"/>
      <c r="I24" s="556"/>
      <c r="J24" s="555"/>
      <c r="K24" s="898"/>
      <c r="L24" s="2124"/>
      <c r="M24" s="2116"/>
      <c r="N24" s="2116"/>
      <c r="O24" s="2123"/>
      <c r="P24" s="3576"/>
      <c r="Q24" s="1555"/>
      <c r="R24" s="1556"/>
      <c r="S24" s="1557"/>
      <c r="T24" s="1556"/>
      <c r="U24" s="1557"/>
      <c r="V24" s="1556"/>
      <c r="W24" s="1557"/>
      <c r="X24" s="1550"/>
      <c r="Y24" s="3576"/>
      <c r="Z24" s="1558"/>
      <c r="AA24" s="1559">
        <v>1</v>
      </c>
      <c r="AB24" s="1559">
        <v>1</v>
      </c>
      <c r="AC24" s="155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76"/>
      <c r="Q25" s="1555">
        <f>B25</f>
        <v>111</v>
      </c>
      <c r="R25" s="1556" t="s">
        <v>8</v>
      </c>
      <c r="S25" s="1557">
        <f>F25</f>
        <v>100</v>
      </c>
      <c r="T25" s="1556" t="s">
        <v>8</v>
      </c>
      <c r="U25" s="1557">
        <f>H25</f>
        <v>100</v>
      </c>
      <c r="V25" s="1556" t="s">
        <v>8</v>
      </c>
      <c r="W25" s="1557">
        <f>J25</f>
        <v>100</v>
      </c>
      <c r="X25" s="1550"/>
      <c r="Y25" s="3576"/>
      <c r="Z25" s="1558">
        <f>Q25</f>
        <v>111</v>
      </c>
      <c r="AA25" s="1559">
        <f t="shared" si="3"/>
        <v>1</v>
      </c>
      <c r="AB25" s="1559">
        <f t="shared" si="4"/>
        <v>1</v>
      </c>
      <c r="AC25" s="155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76"/>
      <c r="Q26" s="1555">
        <f t="shared" ref="Q26:Q40" si="11">B26</f>
        <v>111</v>
      </c>
      <c r="R26" s="1556" t="s">
        <v>8</v>
      </c>
      <c r="S26" s="1557">
        <f>F26</f>
        <v>100</v>
      </c>
      <c r="T26" s="1556" t="s">
        <v>8</v>
      </c>
      <c r="U26" s="1557">
        <f>H26</f>
        <v>100</v>
      </c>
      <c r="V26" s="1556" t="s">
        <v>8</v>
      </c>
      <c r="W26" s="1557">
        <f>J26</f>
        <v>100</v>
      </c>
      <c r="X26" s="1550"/>
      <c r="Y26" s="3576"/>
      <c r="Z26" s="1558">
        <f>Q26</f>
        <v>111</v>
      </c>
      <c r="AA26" s="1559">
        <f t="shared" si="3"/>
        <v>1</v>
      </c>
      <c r="AB26" s="1559">
        <f t="shared" si="4"/>
        <v>1</v>
      </c>
      <c r="AC26" s="1559">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76"/>
      <c r="Q27" s="1146">
        <f t="shared" si="11"/>
        <v>111</v>
      </c>
      <c r="R27" s="1551" t="s">
        <v>8</v>
      </c>
      <c r="S27" s="1552">
        <f>F27</f>
        <v>100</v>
      </c>
      <c r="T27" s="1551" t="s">
        <v>8</v>
      </c>
      <c r="U27" s="1552">
        <f>H27</f>
        <v>100</v>
      </c>
      <c r="V27" s="1551" t="s">
        <v>8</v>
      </c>
      <c r="W27" s="1552">
        <f>J27</f>
        <v>100</v>
      </c>
      <c r="X27" s="1553"/>
      <c r="Y27" s="3576"/>
      <c r="Z27" s="1145">
        <f>Q27</f>
        <v>111</v>
      </c>
      <c r="AA27" s="1559">
        <f>D27/F27</f>
        <v>1</v>
      </c>
      <c r="AB27" s="1559">
        <f>D27/H27</f>
        <v>1</v>
      </c>
      <c r="AC27" s="1559">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4"/>
      <c r="M28" s="2116"/>
      <c r="N28" s="2116"/>
      <c r="O28" s="2123"/>
      <c r="P28" s="3576"/>
      <c r="Q28" s="1555">
        <f t="shared" si="11"/>
        <v>111</v>
      </c>
      <c r="R28" s="1556" t="s">
        <v>8</v>
      </c>
      <c r="S28" s="1557">
        <f t="shared" ref="S28:S40" si="12">F28</f>
        <v>100</v>
      </c>
      <c r="T28" s="1556" t="s">
        <v>8</v>
      </c>
      <c r="U28" s="1557">
        <f t="shared" ref="U28:U40" si="13">H28</f>
        <v>100</v>
      </c>
      <c r="V28" s="1556" t="s">
        <v>8</v>
      </c>
      <c r="W28" s="1557">
        <f t="shared" ref="W28:W40" si="14">J28</f>
        <v>100</v>
      </c>
      <c r="X28" s="1550"/>
      <c r="Y28" s="3576"/>
      <c r="Z28" s="1558">
        <f t="shared" ref="Z28:Z40" si="15">Q28</f>
        <v>111</v>
      </c>
      <c r="AA28" s="1559">
        <f t="shared" si="3"/>
        <v>1</v>
      </c>
      <c r="AB28" s="1559">
        <f t="shared" si="4"/>
        <v>1</v>
      </c>
      <c r="AC28" s="1559">
        <f t="shared" si="5"/>
        <v>1</v>
      </c>
    </row>
    <row r="29" spans="1:29" ht="15">
      <c r="A29" s="2859"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4"/>
      <c r="M29" s="2116"/>
      <c r="N29" s="2116"/>
      <c r="O29" s="2123"/>
      <c r="P29" s="3577" t="s">
        <v>550</v>
      </c>
      <c r="Q29" s="1555" t="str">
        <f t="shared" si="11"/>
        <v>建筑类型</v>
      </c>
      <c r="R29" s="1556" t="s">
        <v>8</v>
      </c>
      <c r="S29" s="1557">
        <f t="shared" si="12"/>
        <v>100</v>
      </c>
      <c r="T29" s="1556" t="s">
        <v>8</v>
      </c>
      <c r="U29" s="1557">
        <f t="shared" si="13"/>
        <v>100</v>
      </c>
      <c r="V29" s="1556" t="s">
        <v>8</v>
      </c>
      <c r="W29" s="1557">
        <f t="shared" si="14"/>
        <v>100</v>
      </c>
      <c r="X29" s="1550"/>
      <c r="Y29" s="3578" t="s">
        <v>550</v>
      </c>
      <c r="Z29" s="1558" t="str">
        <f t="shared" si="15"/>
        <v>建筑类型</v>
      </c>
      <c r="AA29" s="1559">
        <f t="shared" si="3"/>
        <v>1</v>
      </c>
      <c r="AB29" s="1559">
        <f t="shared" si="4"/>
        <v>1</v>
      </c>
      <c r="AC29" s="1559">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78"/>
      <c r="Q30" s="1587" t="str">
        <f t="shared" si="11"/>
        <v>项目建筑规模</v>
      </c>
      <c r="R30" s="1560" t="s">
        <v>8</v>
      </c>
      <c r="S30" s="1561" t="e">
        <f t="shared" si="12"/>
        <v>#N/A</v>
      </c>
      <c r="T30" s="1560" t="s">
        <v>8</v>
      </c>
      <c r="U30" s="1561" t="e">
        <f t="shared" si="13"/>
        <v>#N/A</v>
      </c>
      <c r="V30" s="1560" t="s">
        <v>8</v>
      </c>
      <c r="W30" s="1561" t="e">
        <f t="shared" si="14"/>
        <v>#N/A</v>
      </c>
      <c r="X30" s="1562"/>
      <c r="Y30" s="3578"/>
      <c r="Z30" s="1563" t="str">
        <f t="shared" si="15"/>
        <v>项目建筑规模</v>
      </c>
      <c r="AA30" s="1559" t="e">
        <f t="shared" si="3"/>
        <v>#N/A</v>
      </c>
      <c r="AB30" s="1559" t="e">
        <f t="shared" si="4"/>
        <v>#N/A</v>
      </c>
      <c r="AC30" s="1559"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78"/>
      <c r="Q31" s="1555" t="str">
        <f t="shared" si="11"/>
        <v>建筑结构</v>
      </c>
      <c r="R31" s="1556" t="s">
        <v>8</v>
      </c>
      <c r="S31" s="1557">
        <f t="shared" si="12"/>
        <v>100</v>
      </c>
      <c r="T31" s="1556" t="s">
        <v>8</v>
      </c>
      <c r="U31" s="1557">
        <f t="shared" si="13"/>
        <v>100</v>
      </c>
      <c r="V31" s="1556" t="s">
        <v>8</v>
      </c>
      <c r="W31" s="1557">
        <f t="shared" si="14"/>
        <v>100</v>
      </c>
      <c r="X31" s="1550"/>
      <c r="Y31" s="3578"/>
      <c r="Z31" s="1558" t="str">
        <f t="shared" si="15"/>
        <v>建筑结构</v>
      </c>
      <c r="AA31" s="1559">
        <f t="shared" si="3"/>
        <v>1</v>
      </c>
      <c r="AB31" s="1559">
        <f t="shared" si="4"/>
        <v>1</v>
      </c>
      <c r="AC31" s="1559">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78"/>
      <c r="Q32" s="1555" t="str">
        <f t="shared" si="11"/>
        <v>公共部分装修</v>
      </c>
      <c r="R32" s="1556" t="s">
        <v>8</v>
      </c>
      <c r="S32" s="1557">
        <f t="shared" si="12"/>
        <v>100</v>
      </c>
      <c r="T32" s="1556" t="s">
        <v>8</v>
      </c>
      <c r="U32" s="1557">
        <f t="shared" si="13"/>
        <v>100</v>
      </c>
      <c r="V32" s="1556" t="s">
        <v>8</v>
      </c>
      <c r="W32" s="1557">
        <f t="shared" si="14"/>
        <v>100</v>
      </c>
      <c r="X32" s="1550"/>
      <c r="Y32" s="3578"/>
      <c r="Z32" s="1558" t="str">
        <f t="shared" si="15"/>
        <v>公共部分装修</v>
      </c>
      <c r="AA32" s="1559">
        <f t="shared" si="3"/>
        <v>1</v>
      </c>
      <c r="AB32" s="1559">
        <f t="shared" si="4"/>
        <v>1</v>
      </c>
      <c r="AC32" s="1559">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4"/>
      <c r="M33" s="2116"/>
      <c r="N33" s="2116"/>
      <c r="O33" s="2123"/>
      <c r="P33" s="3578"/>
      <c r="Q33" s="1555" t="str">
        <f t="shared" si="11"/>
        <v>成新度</v>
      </c>
      <c r="R33" s="1556" t="s">
        <v>8</v>
      </c>
      <c r="S33" s="1557" t="e">
        <f t="shared" si="12"/>
        <v>#N/A</v>
      </c>
      <c r="T33" s="1556" t="s">
        <v>8</v>
      </c>
      <c r="U33" s="1557" t="e">
        <f t="shared" si="13"/>
        <v>#N/A</v>
      </c>
      <c r="V33" s="1556" t="s">
        <v>8</v>
      </c>
      <c r="W33" s="1557" t="e">
        <f t="shared" si="14"/>
        <v>#N/A</v>
      </c>
      <c r="X33" s="1550"/>
      <c r="Y33" s="3578"/>
      <c r="Z33" s="1558" t="str">
        <f t="shared" si="15"/>
        <v>成新度</v>
      </c>
      <c r="AA33" s="1559" t="e">
        <f t="shared" si="3"/>
        <v>#N/A</v>
      </c>
      <c r="AB33" s="1559" t="e">
        <f t="shared" si="4"/>
        <v>#N/A</v>
      </c>
      <c r="AC33" s="1559"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78"/>
      <c r="Q34" s="1146" t="str">
        <f t="shared" si="11"/>
        <v>物业管理</v>
      </c>
      <c r="R34" s="1551" t="s">
        <v>8</v>
      </c>
      <c r="S34" s="1552">
        <f t="shared" si="12"/>
        <v>100</v>
      </c>
      <c r="T34" s="1551" t="s">
        <v>8</v>
      </c>
      <c r="U34" s="1552">
        <f t="shared" si="13"/>
        <v>100</v>
      </c>
      <c r="V34" s="1551" t="s">
        <v>8</v>
      </c>
      <c r="W34" s="1552">
        <f t="shared" si="14"/>
        <v>100</v>
      </c>
      <c r="X34" s="1553"/>
      <c r="Y34" s="3578"/>
      <c r="Z34" s="1145" t="str">
        <f t="shared" si="15"/>
        <v>物业管理</v>
      </c>
      <c r="AA34" s="1554">
        <f t="shared" si="3"/>
        <v>1</v>
      </c>
      <c r="AB34" s="1554">
        <f t="shared" si="4"/>
        <v>1</v>
      </c>
      <c r="AC34" s="1554">
        <f t="shared" si="5"/>
        <v>1</v>
      </c>
    </row>
    <row r="35" spans="1:29" ht="15">
      <c r="A35" s="594"/>
      <c r="B35" s="187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78" t="s">
        <v>550</v>
      </c>
      <c r="Q35" s="1555" t="str">
        <f t="shared" si="11"/>
        <v>市政基础设施</v>
      </c>
      <c r="R35" s="1556" t="s">
        <v>8</v>
      </c>
      <c r="S35" s="1557">
        <f t="shared" si="12"/>
        <v>100</v>
      </c>
      <c r="T35" s="1556" t="s">
        <v>8</v>
      </c>
      <c r="U35" s="1557">
        <f t="shared" si="13"/>
        <v>100</v>
      </c>
      <c r="V35" s="1556" t="s">
        <v>8</v>
      </c>
      <c r="W35" s="1557">
        <f t="shared" si="14"/>
        <v>100</v>
      </c>
      <c r="X35" s="1550"/>
      <c r="Y35" s="3578" t="s">
        <v>550</v>
      </c>
      <c r="Z35" s="1558" t="str">
        <f t="shared" si="15"/>
        <v>市政基础设施</v>
      </c>
      <c r="AA35" s="1559">
        <f t="shared" si="3"/>
        <v>1</v>
      </c>
      <c r="AB35" s="1559">
        <f t="shared" si="4"/>
        <v>1</v>
      </c>
      <c r="AC35" s="1559">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78"/>
      <c r="Q36" s="1555" t="str">
        <f t="shared" si="11"/>
        <v>内部装修</v>
      </c>
      <c r="R36" s="1556" t="s">
        <v>8</v>
      </c>
      <c r="S36" s="1557">
        <f t="shared" si="12"/>
        <v>100</v>
      </c>
      <c r="T36" s="1556" t="s">
        <v>8</v>
      </c>
      <c r="U36" s="1557">
        <f t="shared" si="13"/>
        <v>100</v>
      </c>
      <c r="V36" s="1556" t="s">
        <v>8</v>
      </c>
      <c r="W36" s="1557">
        <f t="shared" si="14"/>
        <v>100</v>
      </c>
      <c r="X36" s="1550"/>
      <c r="Y36" s="3578"/>
      <c r="Z36" s="1558" t="str">
        <f t="shared" si="15"/>
        <v>内部装修</v>
      </c>
      <c r="AA36" s="1559">
        <f t="shared" si="3"/>
        <v>1</v>
      </c>
      <c r="AB36" s="1559">
        <f t="shared" si="4"/>
        <v>1</v>
      </c>
      <c r="AC36" s="1559">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78"/>
      <c r="Q37" s="1555" t="str">
        <f t="shared" si="11"/>
        <v>内部装修状况</v>
      </c>
      <c r="R37" s="1556" t="s">
        <v>8</v>
      </c>
      <c r="S37" s="1557">
        <f t="shared" si="12"/>
        <v>100</v>
      </c>
      <c r="T37" s="1556" t="s">
        <v>8</v>
      </c>
      <c r="U37" s="1557">
        <f t="shared" si="13"/>
        <v>100</v>
      </c>
      <c r="V37" s="1556" t="s">
        <v>8</v>
      </c>
      <c r="W37" s="1557">
        <f t="shared" si="14"/>
        <v>100</v>
      </c>
      <c r="X37" s="1550"/>
      <c r="Y37" s="3578"/>
      <c r="Z37" s="1558" t="str">
        <f t="shared" si="15"/>
        <v>内部装修状况</v>
      </c>
      <c r="AA37" s="1559">
        <f t="shared" si="3"/>
        <v>1</v>
      </c>
      <c r="AB37" s="1559">
        <f t="shared" si="4"/>
        <v>1</v>
      </c>
      <c r="AC37" s="1559">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2"/>
      <c r="M38" s="2153"/>
      <c r="N38" s="2153"/>
      <c r="O38" s="2125"/>
      <c r="P38" s="3578"/>
      <c r="Q38" s="1587">
        <f t="shared" si="11"/>
        <v>111</v>
      </c>
      <c r="R38" s="1560" t="s">
        <v>8</v>
      </c>
      <c r="S38" s="1561">
        <f t="shared" si="12"/>
        <v>100</v>
      </c>
      <c r="T38" s="1560" t="s">
        <v>8</v>
      </c>
      <c r="U38" s="1561">
        <f t="shared" si="13"/>
        <v>100</v>
      </c>
      <c r="V38" s="1560" t="s">
        <v>8</v>
      </c>
      <c r="W38" s="1561">
        <f t="shared" si="14"/>
        <v>100</v>
      </c>
      <c r="X38" s="1562"/>
      <c r="Y38" s="3578"/>
      <c r="Z38" s="1563">
        <f t="shared" si="15"/>
        <v>111</v>
      </c>
      <c r="AA38" s="1559">
        <f t="shared" si="3"/>
        <v>1</v>
      </c>
      <c r="AB38" s="1559">
        <f t="shared" si="4"/>
        <v>1</v>
      </c>
      <c r="AC38" s="1559">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4"/>
      <c r="M39" s="2116"/>
      <c r="N39" s="2116"/>
      <c r="O39" s="2123"/>
      <c r="P39" s="3578"/>
      <c r="Q39" s="1555">
        <f t="shared" si="11"/>
        <v>111</v>
      </c>
      <c r="R39" s="1556" t="s">
        <v>8</v>
      </c>
      <c r="S39" s="1557">
        <f t="shared" si="12"/>
        <v>100</v>
      </c>
      <c r="T39" s="1556" t="s">
        <v>8</v>
      </c>
      <c r="U39" s="1557">
        <f t="shared" si="13"/>
        <v>100</v>
      </c>
      <c r="V39" s="1556" t="s">
        <v>8</v>
      </c>
      <c r="W39" s="1557">
        <f t="shared" si="14"/>
        <v>100</v>
      </c>
      <c r="X39" s="1550"/>
      <c r="Y39" s="3578"/>
      <c r="Z39" s="1558">
        <f t="shared" si="15"/>
        <v>111</v>
      </c>
      <c r="AA39" s="1559">
        <f t="shared" si="3"/>
        <v>1</v>
      </c>
      <c r="AB39" s="1559">
        <f t="shared" si="4"/>
        <v>1</v>
      </c>
      <c r="AC39" s="1559">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4"/>
      <c r="M40" s="2116"/>
      <c r="N40" s="2116"/>
      <c r="O40" s="2123"/>
      <c r="P40" s="3680"/>
      <c r="Q40" s="1555">
        <f t="shared" si="11"/>
        <v>111</v>
      </c>
      <c r="R40" s="1556" t="s">
        <v>8</v>
      </c>
      <c r="S40" s="1557">
        <f t="shared" si="12"/>
        <v>100</v>
      </c>
      <c r="T40" s="1556" t="s">
        <v>8</v>
      </c>
      <c r="U40" s="1557">
        <f t="shared" si="13"/>
        <v>100</v>
      </c>
      <c r="V40" s="1556" t="s">
        <v>8</v>
      </c>
      <c r="W40" s="1557">
        <f t="shared" si="14"/>
        <v>100</v>
      </c>
      <c r="X40" s="1550"/>
      <c r="Y40" s="3680"/>
      <c r="Z40" s="1558">
        <f t="shared" si="15"/>
        <v>111</v>
      </c>
      <c r="AA40" s="1559">
        <f t="shared" si="3"/>
        <v>1</v>
      </c>
      <c r="AB40" s="1559">
        <f t="shared" si="4"/>
        <v>1</v>
      </c>
      <c r="AC40" s="1559">
        <f t="shared" si="5"/>
        <v>1</v>
      </c>
    </row>
    <row r="41" spans="1:29" ht="15">
      <c r="A41" s="607" t="s">
        <v>736</v>
      </c>
      <c r="B41" s="886"/>
      <c r="C41" s="2588" t="s">
        <v>1</v>
      </c>
      <c r="D41" s="2589"/>
      <c r="E41" s="2590"/>
      <c r="F41" s="2591"/>
      <c r="G41" s="2592"/>
      <c r="H41" s="2593"/>
      <c r="I41" s="2590"/>
      <c r="J41" s="2593"/>
      <c r="K41" s="1593"/>
      <c r="L41" s="2126"/>
      <c r="M41" s="2127"/>
      <c r="N41" s="2116"/>
      <c r="O41" s="2127"/>
      <c r="P41" s="3573" t="str">
        <f>A41</f>
        <v>成交单价（元/平方米）</v>
      </c>
      <c r="Q41" s="3573"/>
      <c r="R41" s="3679">
        <f>E41</f>
        <v>0</v>
      </c>
      <c r="S41" s="3679"/>
      <c r="T41" s="3679">
        <f>G41</f>
        <v>0</v>
      </c>
      <c r="U41" s="3679"/>
      <c r="V41" s="3679">
        <f>I41</f>
        <v>0</v>
      </c>
      <c r="W41" s="3679"/>
      <c r="X41" s="1542"/>
      <c r="Y41" s="1564"/>
      <c r="Z41" s="1542"/>
      <c r="AA41" s="1542"/>
      <c r="AB41" s="1542"/>
      <c r="AC41" s="1542"/>
    </row>
    <row r="42" spans="1:29" ht="15.75" thickBot="1">
      <c r="A42" s="615" t="s">
        <v>2756</v>
      </c>
      <c r="B42" s="887"/>
      <c r="C42" s="2594" t="e">
        <f>R43</f>
        <v>#DIV/0!</v>
      </c>
      <c r="D42" s="2595"/>
      <c r="E42" s="2596" t="e">
        <f>R42</f>
        <v>#DIV/0!</v>
      </c>
      <c r="F42" s="2596"/>
      <c r="G42" s="2594" t="e">
        <f>T42</f>
        <v>#DIV/0!</v>
      </c>
      <c r="H42" s="2595"/>
      <c r="I42" s="2596" t="e">
        <f>V42</f>
        <v>#DIV/0!</v>
      </c>
      <c r="J42" s="2595"/>
      <c r="K42" s="1594"/>
      <c r="L42" s="2126"/>
      <c r="M42" s="2127"/>
      <c r="N42" s="2116"/>
      <c r="O42" s="2127"/>
      <c r="P42" s="3573" t="str">
        <f>A42</f>
        <v>比较价格（元/平方米）</v>
      </c>
      <c r="Q42" s="3573"/>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542"/>
      <c r="Y42" s="1542"/>
      <c r="Z42" s="1542"/>
      <c r="AA42" s="1542"/>
      <c r="AB42" s="1542"/>
      <c r="AC42" s="1542"/>
    </row>
    <row r="43" spans="1:29" ht="15.75" thickBot="1">
      <c r="A43" s="621" t="s">
        <v>2929</v>
      </c>
      <c r="B43" s="622"/>
      <c r="C43" s="2597" t="e">
        <f>R43</f>
        <v>#DIV/0!</v>
      </c>
      <c r="D43" s="2597"/>
      <c r="E43" s="2597"/>
      <c r="F43" s="2597"/>
      <c r="G43" s="2597"/>
      <c r="H43" s="2597"/>
      <c r="I43" s="2597"/>
      <c r="J43" s="2597"/>
      <c r="K43" s="1595"/>
      <c r="L43" s="2126"/>
      <c r="M43" s="2127"/>
      <c r="N43" s="2127"/>
      <c r="O43" s="2127"/>
      <c r="P43" s="3594" t="str">
        <f>A43</f>
        <v>估价对象XX用房的比较价格（楼面单价，元/平方米）</v>
      </c>
      <c r="Q43" s="3595"/>
      <c r="R43" s="3678" t="e">
        <f>IF(F1="售价",ROUND(AVERAGE(R42:V42),0),ROUND(AVERAGE(R42:V42),1))</f>
        <v>#DIV/0!</v>
      </c>
      <c r="S43" s="3678"/>
      <c r="T43" s="3678"/>
      <c r="U43" s="3678"/>
      <c r="V43" s="3678"/>
      <c r="W43" s="3678"/>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2" customFormat="1" ht="15">
      <c r="A52" s="645" t="s">
        <v>529</v>
      </c>
      <c r="B52" s="646"/>
      <c r="C52" s="2754" t="str">
        <f>YEAR(C7)&amp;"-"&amp;MONTH(C7)</f>
        <v>2019-10</v>
      </c>
      <c r="D52" s="2756">
        <f>EDATE(C52,-1)</f>
        <v>43709</v>
      </c>
      <c r="E52" s="2756">
        <f t="shared" ref="E52:O52" si="16">EDATE(D52,-1)</f>
        <v>43678</v>
      </c>
      <c r="F52" s="2756">
        <f t="shared" si="16"/>
        <v>43647</v>
      </c>
      <c r="G52" s="2756">
        <f t="shared" si="16"/>
        <v>43617</v>
      </c>
      <c r="H52" s="2756">
        <f t="shared" si="16"/>
        <v>43586</v>
      </c>
      <c r="I52" s="2756">
        <f t="shared" si="16"/>
        <v>43556</v>
      </c>
      <c r="J52" s="2756">
        <f t="shared" si="16"/>
        <v>43525</v>
      </c>
      <c r="K52" s="2756">
        <f t="shared" si="16"/>
        <v>43497</v>
      </c>
      <c r="L52" s="2756">
        <f t="shared" si="16"/>
        <v>43466</v>
      </c>
      <c r="M52" s="2756">
        <f t="shared" si="16"/>
        <v>43435</v>
      </c>
      <c r="N52" s="2756">
        <f t="shared" si="16"/>
        <v>43405</v>
      </c>
      <c r="O52" s="2756">
        <f t="shared" si="16"/>
        <v>43374</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2554</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8" t="s">
        <v>2555</v>
      </c>
      <c r="C76" s="2559" t="s">
        <v>2556</v>
      </c>
      <c r="D76" s="2559" t="s">
        <v>2557</v>
      </c>
      <c r="E76" s="2559" t="s">
        <v>2558</v>
      </c>
      <c r="F76" s="2559" t="s">
        <v>2559</v>
      </c>
      <c r="G76" s="2559" t="s">
        <v>2560</v>
      </c>
      <c r="H76" s="934"/>
      <c r="I76" s="934"/>
      <c r="J76" s="934"/>
      <c r="K76" s="934"/>
      <c r="L76" s="934"/>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2"/>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795</v>
      </c>
      <c r="B3" s="510" t="e">
        <f>IF(B37="元/平方米",C39,ROUND(B2*10000/D3,0))</f>
        <v>#DIV/0!</v>
      </c>
      <c r="C3" s="852" t="s">
        <v>796</v>
      </c>
      <c r="D3" s="851">
        <f>SUMIF('数据-汇总表'!$C19:$C33,D1,'数据-汇总表'!$E19:$E33)</f>
        <v>0</v>
      </c>
      <c r="E3" s="1830" t="s">
        <v>2074</v>
      </c>
      <c r="F3" s="851">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579" t="s">
        <v>798</v>
      </c>
      <c r="D4" s="3580"/>
      <c r="E4" s="3579" t="s">
        <v>799</v>
      </c>
      <c r="F4" s="3580"/>
      <c r="G4" s="3579" t="s">
        <v>800</v>
      </c>
      <c r="H4" s="3580"/>
      <c r="I4" s="3579" t="s">
        <v>801</v>
      </c>
      <c r="J4" s="3580"/>
      <c r="K4" s="514" t="s">
        <v>802</v>
      </c>
      <c r="L4" s="2115"/>
      <c r="M4" s="2116"/>
      <c r="N4" s="2116"/>
      <c r="O4" s="2116"/>
      <c r="P4" s="3581" t="s">
        <v>803</v>
      </c>
      <c r="Q4" s="3582"/>
      <c r="R4" s="3567" t="s">
        <v>799</v>
      </c>
      <c r="S4" s="3568"/>
      <c r="T4" s="3567" t="s">
        <v>800</v>
      </c>
      <c r="U4" s="3568"/>
      <c r="V4" s="3587" t="s">
        <v>801</v>
      </c>
      <c r="W4" s="3587"/>
      <c r="X4" s="1550"/>
      <c r="Y4" s="3567" t="s">
        <v>803</v>
      </c>
      <c r="Z4" s="3568"/>
      <c r="AA4" s="3562" t="s">
        <v>799</v>
      </c>
      <c r="AB4" s="3563" t="s">
        <v>800</v>
      </c>
      <c r="AC4" s="3562" t="s">
        <v>801</v>
      </c>
    </row>
    <row r="5" spans="1:29" ht="15">
      <c r="A5" s="515"/>
      <c r="B5" s="516"/>
      <c r="C5" s="3590" t="s">
        <v>2923</v>
      </c>
      <c r="D5" s="3591"/>
      <c r="E5" s="3590" t="s">
        <v>2924</v>
      </c>
      <c r="F5" s="3591"/>
      <c r="G5" s="3590" t="s">
        <v>2925</v>
      </c>
      <c r="H5" s="3591"/>
      <c r="I5" s="3590" t="s">
        <v>2926</v>
      </c>
      <c r="J5" s="3591"/>
      <c r="K5" s="514"/>
      <c r="L5" s="2115"/>
      <c r="M5" s="2116"/>
      <c r="N5" s="2116"/>
      <c r="O5" s="2116"/>
      <c r="P5" s="3583"/>
      <c r="Q5" s="3584"/>
      <c r="R5" s="3569"/>
      <c r="S5" s="3570"/>
      <c r="T5" s="3569"/>
      <c r="U5" s="3570"/>
      <c r="V5" s="3587"/>
      <c r="W5" s="3587"/>
      <c r="X5" s="1550"/>
      <c r="Y5" s="3569"/>
      <c r="Z5" s="3570"/>
      <c r="AA5" s="3563"/>
      <c r="AB5" s="3563"/>
      <c r="AC5" s="3563"/>
    </row>
    <row r="6" spans="1:29" ht="15.75" thickBot="1">
      <c r="A6" s="517"/>
      <c r="B6" s="518"/>
      <c r="C6" s="3588" t="s">
        <v>2927</v>
      </c>
      <c r="D6" s="3589"/>
      <c r="E6" s="3592" t="s">
        <v>2927</v>
      </c>
      <c r="F6" s="3593"/>
      <c r="G6" s="3588" t="s">
        <v>2927</v>
      </c>
      <c r="H6" s="3589"/>
      <c r="I6" s="3588" t="s">
        <v>2927</v>
      </c>
      <c r="J6" s="3589"/>
      <c r="K6" s="514" t="s">
        <v>528</v>
      </c>
      <c r="L6" s="2115"/>
      <c r="M6" s="2116"/>
      <c r="N6" s="2116"/>
      <c r="O6" s="2116"/>
      <c r="P6" s="3585"/>
      <c r="Q6" s="3586"/>
      <c r="R6" s="3569"/>
      <c r="S6" s="3570"/>
      <c r="T6" s="3571"/>
      <c r="U6" s="3572"/>
      <c r="V6" s="3587"/>
      <c r="W6" s="3587"/>
      <c r="X6" s="1550"/>
      <c r="Y6" s="3571"/>
      <c r="Z6" s="3572"/>
      <c r="AA6" s="3564"/>
      <c r="AB6" s="3564"/>
      <c r="AC6" s="3564"/>
    </row>
    <row r="7" spans="1:29" s="1215" customFormat="1" ht="15.75" thickBot="1">
      <c r="A7" s="2864"/>
      <c r="B7" s="2871" t="s">
        <v>529</v>
      </c>
      <c r="C7" s="519">
        <f>'数据-取费表'!B2</f>
        <v>43763</v>
      </c>
      <c r="D7" s="520">
        <v>100</v>
      </c>
      <c r="E7" s="521"/>
      <c r="F7" s="522">
        <f>SUMIF(48:48,YEAR(E7)&amp;"-"&amp;MONTH(E7),49:49)</f>
        <v>0</v>
      </c>
      <c r="G7" s="523"/>
      <c r="H7" s="520">
        <f>SUMIF(48:48,YEAR(G7)&amp;"-"&amp;MONTH(G7),49:49)</f>
        <v>0</v>
      </c>
      <c r="I7" s="523"/>
      <c r="J7" s="520">
        <f>SUMIF(48:48,YEAR(I7)&amp;"-"&amp;MONTH(I7),49:49)</f>
        <v>0</v>
      </c>
      <c r="K7" s="524"/>
      <c r="L7" s="2117"/>
      <c r="M7" s="2118"/>
      <c r="N7" s="2118"/>
      <c r="O7" s="2118"/>
      <c r="P7" s="3565" t="s">
        <v>530</v>
      </c>
      <c r="Q7" s="3574"/>
      <c r="R7" s="1551" t="s">
        <v>8</v>
      </c>
      <c r="S7" s="1552">
        <f t="shared" ref="S7:S14" si="0">F7</f>
        <v>0</v>
      </c>
      <c r="T7" s="1551" t="s">
        <v>8</v>
      </c>
      <c r="U7" s="1552">
        <f t="shared" ref="U7:U14" si="1">H7</f>
        <v>0</v>
      </c>
      <c r="V7" s="1551" t="s">
        <v>8</v>
      </c>
      <c r="W7" s="1552">
        <f t="shared" ref="W7:W14" si="2">J7</f>
        <v>0</v>
      </c>
      <c r="X7" s="1553"/>
      <c r="Y7" s="3565" t="s">
        <v>530</v>
      </c>
      <c r="Z7" s="3566"/>
      <c r="AA7" s="1554" t="e">
        <f>D7/F7</f>
        <v>#DIV/0!</v>
      </c>
      <c r="AB7" s="1554" t="e">
        <f>D7/H7</f>
        <v>#DIV/0!</v>
      </c>
      <c r="AC7" s="1554"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565" t="s">
        <v>533</v>
      </c>
      <c r="Q8" s="3566"/>
      <c r="R8" s="1551" t="s">
        <v>8</v>
      </c>
      <c r="S8" s="1552">
        <f t="shared" si="0"/>
        <v>0</v>
      </c>
      <c r="T8" s="1551" t="s">
        <v>8</v>
      </c>
      <c r="U8" s="1552">
        <f t="shared" si="1"/>
        <v>0</v>
      </c>
      <c r="V8" s="1551" t="s">
        <v>8</v>
      </c>
      <c r="W8" s="1552">
        <f t="shared" si="2"/>
        <v>0</v>
      </c>
      <c r="X8" s="1553"/>
      <c r="Y8" s="3565" t="s">
        <v>533</v>
      </c>
      <c r="Z8" s="3566"/>
      <c r="AA8" s="1554" t="e">
        <f t="shared" ref="AA8:AA36" si="3">D8/F8</f>
        <v>#DIV/0!</v>
      </c>
      <c r="AB8" s="1554" t="e">
        <f t="shared" ref="AB8:AB36" si="4">D8/H8</f>
        <v>#DIV/0!</v>
      </c>
      <c r="AC8" s="1554" t="e">
        <f t="shared" ref="AC8:AC36" si="5">D8/J8</f>
        <v>#DIV/0!</v>
      </c>
    </row>
    <row r="9" spans="1:29" s="1215" customFormat="1" ht="15">
      <c r="A9" s="2866"/>
      <c r="B9" s="2873" t="s">
        <v>2752</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573" t="s">
        <v>535</v>
      </c>
      <c r="Q9" s="1146" t="str">
        <f t="shared" ref="Q9:Q14" si="6">B9</f>
        <v>用途</v>
      </c>
      <c r="R9" s="1551" t="s">
        <v>8</v>
      </c>
      <c r="S9" s="1552">
        <f t="shared" si="0"/>
        <v>100</v>
      </c>
      <c r="T9" s="1551" t="s">
        <v>8</v>
      </c>
      <c r="U9" s="1552">
        <f t="shared" si="1"/>
        <v>100</v>
      </c>
      <c r="V9" s="1551" t="s">
        <v>8</v>
      </c>
      <c r="W9" s="1552">
        <f t="shared" si="2"/>
        <v>100</v>
      </c>
      <c r="X9" s="1553"/>
      <c r="Y9" s="3530" t="s">
        <v>536</v>
      </c>
      <c r="Z9" s="1145" t="str">
        <f t="shared" ref="Z9:Z14" si="7">Q9</f>
        <v>用途</v>
      </c>
      <c r="AA9" s="1554">
        <f t="shared" si="3"/>
        <v>1</v>
      </c>
      <c r="AB9" s="1554">
        <f t="shared" si="4"/>
        <v>1</v>
      </c>
      <c r="AC9" s="1554">
        <f t="shared" si="5"/>
        <v>1</v>
      </c>
    </row>
    <row r="10" spans="1:29" s="1333" customFormat="1" ht="27">
      <c r="A10" s="2867"/>
      <c r="B10" s="2872" t="s">
        <v>2753</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573"/>
      <c r="Q10" s="1146" t="str">
        <f t="shared" si="6"/>
        <v>土地使用年限（年）</v>
      </c>
      <c r="R10" s="1551" t="s">
        <v>8</v>
      </c>
      <c r="S10" s="1552">
        <f t="shared" si="0"/>
        <v>100</v>
      </c>
      <c r="T10" s="1551" t="s">
        <v>8</v>
      </c>
      <c r="U10" s="1552">
        <f t="shared" si="1"/>
        <v>100</v>
      </c>
      <c r="V10" s="1551" t="s">
        <v>8</v>
      </c>
      <c r="W10" s="1552">
        <f t="shared" si="2"/>
        <v>100</v>
      </c>
      <c r="X10" s="1553"/>
      <c r="Y10" s="3530"/>
      <c r="Z10" s="1145" t="str">
        <f t="shared" si="7"/>
        <v>土地使用年限（年）</v>
      </c>
      <c r="AA10" s="1554">
        <f t="shared" si="3"/>
        <v>1</v>
      </c>
      <c r="AB10" s="1554">
        <f t="shared" si="4"/>
        <v>1</v>
      </c>
      <c r="AC10" s="1554">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573"/>
      <c r="Q11" s="1146">
        <f t="shared" si="6"/>
        <v>111</v>
      </c>
      <c r="R11" s="1551" t="s">
        <v>8</v>
      </c>
      <c r="S11" s="1552">
        <f t="shared" si="0"/>
        <v>100</v>
      </c>
      <c r="T11" s="1551" t="s">
        <v>8</v>
      </c>
      <c r="U11" s="1552">
        <f t="shared" si="1"/>
        <v>100</v>
      </c>
      <c r="V11" s="1551" t="s">
        <v>8</v>
      </c>
      <c r="W11" s="1552">
        <f t="shared" si="2"/>
        <v>100</v>
      </c>
      <c r="X11" s="1553"/>
      <c r="Y11" s="3530"/>
      <c r="Z11" s="1145">
        <f t="shared" si="7"/>
        <v>111</v>
      </c>
      <c r="AA11" s="1554">
        <f t="shared" si="3"/>
        <v>1</v>
      </c>
      <c r="AB11" s="1554">
        <f t="shared" si="4"/>
        <v>1</v>
      </c>
      <c r="AC11" s="1554">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573"/>
      <c r="Q12" s="1146">
        <f t="shared" si="6"/>
        <v>111</v>
      </c>
      <c r="R12" s="1551" t="s">
        <v>8</v>
      </c>
      <c r="S12" s="1552">
        <f t="shared" si="0"/>
        <v>100</v>
      </c>
      <c r="T12" s="1551" t="s">
        <v>8</v>
      </c>
      <c r="U12" s="1552">
        <f t="shared" si="1"/>
        <v>100</v>
      </c>
      <c r="V12" s="1551" t="s">
        <v>8</v>
      </c>
      <c r="W12" s="1552">
        <f t="shared" si="2"/>
        <v>100</v>
      </c>
      <c r="X12" s="1553"/>
      <c r="Y12" s="3530"/>
      <c r="Z12" s="1145">
        <f t="shared" si="7"/>
        <v>111</v>
      </c>
      <c r="AA12" s="1554">
        <f>D12/F12</f>
        <v>1</v>
      </c>
      <c r="AB12" s="1554">
        <f>D12/H12</f>
        <v>1</v>
      </c>
      <c r="AC12" s="1554">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573"/>
      <c r="Q13" s="1146">
        <f t="shared" si="6"/>
        <v>111</v>
      </c>
      <c r="R13" s="1551" t="s">
        <v>8</v>
      </c>
      <c r="S13" s="1552">
        <f t="shared" si="0"/>
        <v>100</v>
      </c>
      <c r="T13" s="1551" t="s">
        <v>8</v>
      </c>
      <c r="U13" s="1552">
        <f t="shared" si="1"/>
        <v>100</v>
      </c>
      <c r="V13" s="1551" t="s">
        <v>8</v>
      </c>
      <c r="W13" s="1552">
        <f t="shared" si="2"/>
        <v>100</v>
      </c>
      <c r="X13" s="1553"/>
      <c r="Y13" s="3530"/>
      <c r="Z13" s="1145">
        <f t="shared" si="7"/>
        <v>111</v>
      </c>
      <c r="AA13" s="1554">
        <f t="shared" si="3"/>
        <v>1</v>
      </c>
      <c r="AB13" s="1554">
        <f t="shared" si="4"/>
        <v>1</v>
      </c>
      <c r="AC13" s="1554">
        <f t="shared" si="5"/>
        <v>1</v>
      </c>
    </row>
    <row r="14" spans="1:29" ht="15">
      <c r="A14" s="2862" t="s">
        <v>2750</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4"/>
      <c r="M14" s="2116"/>
      <c r="N14" s="2116"/>
      <c r="O14" s="2123"/>
      <c r="P14" s="3575" t="s">
        <v>540</v>
      </c>
      <c r="Q14" s="1555" t="str">
        <f t="shared" si="6"/>
        <v>交通便捷度</v>
      </c>
      <c r="R14" s="1556" t="s">
        <v>8</v>
      </c>
      <c r="S14" s="1557">
        <f t="shared" si="0"/>
        <v>100</v>
      </c>
      <c r="T14" s="1556" t="s">
        <v>8</v>
      </c>
      <c r="U14" s="1557">
        <f t="shared" si="1"/>
        <v>100</v>
      </c>
      <c r="V14" s="1556" t="s">
        <v>8</v>
      </c>
      <c r="W14" s="1557">
        <f t="shared" si="2"/>
        <v>100</v>
      </c>
      <c r="X14" s="1550"/>
      <c r="Y14" s="3575" t="s">
        <v>540</v>
      </c>
      <c r="Z14" s="1558" t="str">
        <f t="shared" si="7"/>
        <v>交通便捷度</v>
      </c>
      <c r="AA14" s="1559">
        <f t="shared" si="3"/>
        <v>1</v>
      </c>
      <c r="AB14" s="1559">
        <f t="shared" si="4"/>
        <v>1</v>
      </c>
      <c r="AC14" s="1559">
        <f t="shared" si="5"/>
        <v>1</v>
      </c>
    </row>
    <row r="15" spans="1:29" ht="15">
      <c r="A15" s="515"/>
      <c r="B15" s="923"/>
      <c r="C15" s="576"/>
      <c r="D15" s="555"/>
      <c r="E15" s="576"/>
      <c r="F15" s="557"/>
      <c r="G15" s="576"/>
      <c r="H15" s="559"/>
      <c r="I15" s="576"/>
      <c r="J15" s="555"/>
      <c r="K15" s="898"/>
      <c r="L15" s="2124"/>
      <c r="M15" s="2116"/>
      <c r="N15" s="2116"/>
      <c r="O15" s="2123"/>
      <c r="P15" s="3576"/>
      <c r="Q15" s="1555"/>
      <c r="R15" s="1556"/>
      <c r="S15" s="1557"/>
      <c r="T15" s="1556"/>
      <c r="U15" s="1557"/>
      <c r="V15" s="1556"/>
      <c r="W15" s="1557"/>
      <c r="X15" s="1550"/>
      <c r="Y15" s="3576"/>
      <c r="Z15" s="1558"/>
      <c r="AA15" s="1559">
        <v>1</v>
      </c>
      <c r="AB15" s="1559">
        <v>1</v>
      </c>
      <c r="AC15" s="1559">
        <v>1</v>
      </c>
    </row>
    <row r="16" spans="1:29" ht="15">
      <c r="A16" s="515"/>
      <c r="B16" s="2564"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4"/>
      <c r="M16" s="2116"/>
      <c r="N16" s="2116"/>
      <c r="O16" s="2123"/>
      <c r="P16" s="3576"/>
      <c r="Q16" s="1555" t="str">
        <f>B16</f>
        <v>公共配套设施</v>
      </c>
      <c r="R16" s="1556" t="s">
        <v>8</v>
      </c>
      <c r="S16" s="1557">
        <f>F16</f>
        <v>100</v>
      </c>
      <c r="T16" s="1556" t="s">
        <v>8</v>
      </c>
      <c r="U16" s="1557">
        <f>H16</f>
        <v>100</v>
      </c>
      <c r="V16" s="1556" t="s">
        <v>8</v>
      </c>
      <c r="W16" s="1557">
        <f>J16</f>
        <v>100</v>
      </c>
      <c r="X16" s="1550"/>
      <c r="Y16" s="3576"/>
      <c r="Z16" s="1558" t="str">
        <f>Q16</f>
        <v>公共配套设施</v>
      </c>
      <c r="AA16" s="1559">
        <f t="shared" si="3"/>
        <v>1</v>
      </c>
      <c r="AB16" s="1559">
        <f t="shared" si="4"/>
        <v>1</v>
      </c>
      <c r="AC16" s="1559">
        <f t="shared" si="5"/>
        <v>1</v>
      </c>
    </row>
    <row r="17" spans="1:29" ht="15">
      <c r="A17" s="515"/>
      <c r="B17" s="566"/>
      <c r="C17" s="873"/>
      <c r="D17" s="555"/>
      <c r="E17" s="576"/>
      <c r="F17" s="557"/>
      <c r="G17" s="576"/>
      <c r="H17" s="555"/>
      <c r="I17" s="576"/>
      <c r="J17" s="555"/>
      <c r="K17" s="898"/>
      <c r="L17" s="2124"/>
      <c r="M17" s="2116"/>
      <c r="N17" s="2116"/>
      <c r="O17" s="2123"/>
      <c r="P17" s="3576"/>
      <c r="Q17" s="1555"/>
      <c r="R17" s="1556"/>
      <c r="S17" s="1557"/>
      <c r="T17" s="1556"/>
      <c r="U17" s="1557"/>
      <c r="V17" s="1556"/>
      <c r="W17" s="1557"/>
      <c r="X17" s="1550"/>
      <c r="Y17" s="3576"/>
      <c r="Z17" s="1558"/>
      <c r="AA17" s="1559">
        <v>1</v>
      </c>
      <c r="AB17" s="1559">
        <v>1</v>
      </c>
      <c r="AC17" s="1559">
        <v>1</v>
      </c>
    </row>
    <row r="18" spans="1:29" ht="15">
      <c r="A18" s="515"/>
      <c r="B18" s="2552"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4"/>
      <c r="M18" s="2116"/>
      <c r="N18" s="2116"/>
      <c r="O18" s="2123"/>
      <c r="P18" s="3576"/>
      <c r="Q18" s="2540" t="str">
        <f>B18</f>
        <v>基础设施水平</v>
      </c>
      <c r="R18" s="1556" t="s">
        <v>8</v>
      </c>
      <c r="S18" s="1557">
        <f>F18</f>
        <v>100</v>
      </c>
      <c r="T18" s="1556" t="s">
        <v>8</v>
      </c>
      <c r="U18" s="1557">
        <f>H18</f>
        <v>100</v>
      </c>
      <c r="V18" s="1556" t="s">
        <v>8</v>
      </c>
      <c r="W18" s="1557">
        <f>J18</f>
        <v>100</v>
      </c>
      <c r="X18" s="2542"/>
      <c r="Y18" s="3576"/>
      <c r="Z18" s="2541" t="str">
        <f>Q18</f>
        <v>基础设施水平</v>
      </c>
      <c r="AA18" s="1559">
        <f t="shared" ref="AA18" si="8">D18/F18</f>
        <v>1</v>
      </c>
      <c r="AB18" s="1559">
        <f t="shared" ref="AB18" si="9">D18/H18</f>
        <v>1</v>
      </c>
      <c r="AC18" s="1559">
        <f t="shared" ref="AC18" si="10">D18/J18</f>
        <v>1</v>
      </c>
    </row>
    <row r="19" spans="1:29" ht="15">
      <c r="A19" s="515"/>
      <c r="B19" s="578"/>
      <c r="C19" s="873"/>
      <c r="D19" s="559"/>
      <c r="E19" s="576"/>
      <c r="F19" s="557"/>
      <c r="G19" s="576"/>
      <c r="H19" s="555"/>
      <c r="I19" s="576"/>
      <c r="J19" s="555"/>
      <c r="K19" s="2563"/>
      <c r="L19" s="2124"/>
      <c r="M19" s="2116"/>
      <c r="N19" s="2116"/>
      <c r="O19" s="2123"/>
      <c r="P19" s="3576"/>
      <c r="Q19" s="2540"/>
      <c r="R19" s="1556"/>
      <c r="S19" s="1557"/>
      <c r="T19" s="1556"/>
      <c r="U19" s="1557"/>
      <c r="V19" s="1556"/>
      <c r="W19" s="1557"/>
      <c r="X19" s="2542"/>
      <c r="Y19" s="3576"/>
      <c r="Z19" s="2541"/>
      <c r="AA19" s="1559">
        <v>1</v>
      </c>
      <c r="AB19" s="1559">
        <v>1</v>
      </c>
      <c r="AC19" s="1559">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24"/>
      <c r="M20" s="2116"/>
      <c r="N20" s="2116"/>
      <c r="O20" s="2123"/>
      <c r="P20" s="3576"/>
      <c r="Q20" s="1555" t="str">
        <f>B20</f>
        <v>自然及人文环境</v>
      </c>
      <c r="R20" s="1556" t="s">
        <v>8</v>
      </c>
      <c r="S20" s="1557">
        <f>F20</f>
        <v>100</v>
      </c>
      <c r="T20" s="1556" t="s">
        <v>8</v>
      </c>
      <c r="U20" s="1557">
        <f>H20</f>
        <v>100</v>
      </c>
      <c r="V20" s="1556" t="s">
        <v>8</v>
      </c>
      <c r="W20" s="1557">
        <f>J20</f>
        <v>100</v>
      </c>
      <c r="X20" s="1550"/>
      <c r="Y20" s="3576"/>
      <c r="Z20" s="1558" t="str">
        <f>Q20</f>
        <v>自然及人文环境</v>
      </c>
      <c r="AA20" s="1559">
        <f t="shared" si="3"/>
        <v>1</v>
      </c>
      <c r="AB20" s="1559">
        <f t="shared" si="4"/>
        <v>1</v>
      </c>
      <c r="AC20" s="1559">
        <f t="shared" si="5"/>
        <v>1</v>
      </c>
    </row>
    <row r="21" spans="1:29" ht="15">
      <c r="A21" s="515"/>
      <c r="B21" s="566"/>
      <c r="C21" s="576"/>
      <c r="D21" s="555"/>
      <c r="E21" s="576"/>
      <c r="F21" s="557"/>
      <c r="G21" s="576"/>
      <c r="H21" s="555"/>
      <c r="I21" s="576"/>
      <c r="J21" s="555"/>
      <c r="K21" s="898"/>
      <c r="L21" s="2124"/>
      <c r="M21" s="2116"/>
      <c r="N21" s="2116"/>
      <c r="O21" s="2123"/>
      <c r="P21" s="3576"/>
      <c r="Q21" s="1555"/>
      <c r="R21" s="1556"/>
      <c r="S21" s="1557"/>
      <c r="T21" s="1556"/>
      <c r="U21" s="1557"/>
      <c r="V21" s="1556"/>
      <c r="W21" s="1557"/>
      <c r="X21" s="1550"/>
      <c r="Y21" s="3576"/>
      <c r="Z21" s="1558"/>
      <c r="AA21" s="1559">
        <v>1</v>
      </c>
      <c r="AB21" s="1559">
        <v>1</v>
      </c>
      <c r="AC21" s="1559">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576"/>
      <c r="Q22" s="1555" t="str">
        <f>B22</f>
        <v>楼层</v>
      </c>
      <c r="R22" s="1556" t="s">
        <v>8</v>
      </c>
      <c r="S22" s="1557">
        <f>F22</f>
        <v>100</v>
      </c>
      <c r="T22" s="1556" t="s">
        <v>8</v>
      </c>
      <c r="U22" s="1557">
        <f>H22</f>
        <v>100</v>
      </c>
      <c r="V22" s="1556" t="s">
        <v>8</v>
      </c>
      <c r="W22" s="1557">
        <f>J22</f>
        <v>100</v>
      </c>
      <c r="X22" s="1550"/>
      <c r="Y22" s="3576"/>
      <c r="Z22" s="1558" t="str">
        <f>Q22</f>
        <v>楼层</v>
      </c>
      <c r="AA22" s="1559">
        <f t="shared" si="3"/>
        <v>1</v>
      </c>
      <c r="AB22" s="1559">
        <f t="shared" si="4"/>
        <v>1</v>
      </c>
      <c r="AC22" s="1559">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76"/>
      <c r="Q23" s="1555">
        <f>B23</f>
        <v>111</v>
      </c>
      <c r="R23" s="1556" t="s">
        <v>8</v>
      </c>
      <c r="S23" s="1557">
        <f>F23</f>
        <v>100</v>
      </c>
      <c r="T23" s="1556" t="s">
        <v>8</v>
      </c>
      <c r="U23" s="1557">
        <f>H23</f>
        <v>100</v>
      </c>
      <c r="V23" s="1556" t="s">
        <v>8</v>
      </c>
      <c r="W23" s="1557">
        <f>J23</f>
        <v>100</v>
      </c>
      <c r="X23" s="1550"/>
      <c r="Y23" s="3576"/>
      <c r="Z23" s="1558">
        <f>Q23</f>
        <v>111</v>
      </c>
      <c r="AA23" s="1559">
        <f t="shared" si="3"/>
        <v>1</v>
      </c>
      <c r="AB23" s="1559">
        <f t="shared" si="4"/>
        <v>1</v>
      </c>
      <c r="AC23" s="1559">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76"/>
      <c r="Q24" s="1555">
        <f t="shared" ref="Q24:Q36" si="11">B24</f>
        <v>111</v>
      </c>
      <c r="R24" s="1556" t="s">
        <v>8</v>
      </c>
      <c r="S24" s="1557">
        <f>F24</f>
        <v>100</v>
      </c>
      <c r="T24" s="1556" t="s">
        <v>8</v>
      </c>
      <c r="U24" s="1557">
        <f>H24</f>
        <v>100</v>
      </c>
      <c r="V24" s="1556" t="s">
        <v>8</v>
      </c>
      <c r="W24" s="1557">
        <f>J24</f>
        <v>100</v>
      </c>
      <c r="X24" s="1550"/>
      <c r="Y24" s="3576"/>
      <c r="Z24" s="1558">
        <f>Q24</f>
        <v>111</v>
      </c>
      <c r="AA24" s="1559">
        <f t="shared" si="3"/>
        <v>1</v>
      </c>
      <c r="AB24" s="1559">
        <f t="shared" si="4"/>
        <v>1</v>
      </c>
      <c r="AC24" s="1559">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7"/>
      <c r="M25" s="2118"/>
      <c r="N25" s="2118"/>
      <c r="O25" s="2119"/>
      <c r="P25" s="3576"/>
      <c r="Q25" s="1146">
        <f t="shared" si="11"/>
        <v>111</v>
      </c>
      <c r="R25" s="1551" t="s">
        <v>8</v>
      </c>
      <c r="S25" s="1552">
        <f>F25</f>
        <v>100</v>
      </c>
      <c r="T25" s="1551" t="s">
        <v>8</v>
      </c>
      <c r="U25" s="1552">
        <f>H25</f>
        <v>100</v>
      </c>
      <c r="V25" s="1551" t="s">
        <v>8</v>
      </c>
      <c r="W25" s="1552">
        <f>J25</f>
        <v>100</v>
      </c>
      <c r="X25" s="1553"/>
      <c r="Y25" s="3576"/>
      <c r="Z25" s="1145">
        <f>Q25</f>
        <v>111</v>
      </c>
      <c r="AA25" s="1559">
        <f>D25/F25</f>
        <v>1</v>
      </c>
      <c r="AB25" s="1559">
        <f>D25/H25</f>
        <v>1</v>
      </c>
      <c r="AC25" s="1559">
        <f>D25/J25</f>
        <v>1</v>
      </c>
    </row>
    <row r="26" spans="1:29" ht="15">
      <c r="A26" s="2859"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57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78" t="s">
        <v>550</v>
      </c>
      <c r="Z26" s="1558" t="str">
        <f t="shared" ref="Z26:Z36" si="15">Q26</f>
        <v>配套类型</v>
      </c>
      <c r="AA26" s="1559">
        <f t="shared" si="3"/>
        <v>1</v>
      </c>
      <c r="AB26" s="1559">
        <f t="shared" si="4"/>
        <v>1</v>
      </c>
      <c r="AC26" s="1559">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2"/>
      <c r="M27" s="2153"/>
      <c r="N27" s="2153"/>
      <c r="O27" s="2125"/>
      <c r="P27" s="3578"/>
      <c r="Q27" s="1587" t="str">
        <f t="shared" si="11"/>
        <v>项目停车位配比</v>
      </c>
      <c r="R27" s="1560" t="s">
        <v>8</v>
      </c>
      <c r="S27" s="1561">
        <f t="shared" si="12"/>
        <v>100</v>
      </c>
      <c r="T27" s="1560" t="s">
        <v>8</v>
      </c>
      <c r="U27" s="1561">
        <f t="shared" si="13"/>
        <v>100</v>
      </c>
      <c r="V27" s="1560" t="s">
        <v>8</v>
      </c>
      <c r="W27" s="1561">
        <f t="shared" si="14"/>
        <v>100</v>
      </c>
      <c r="X27" s="1562"/>
      <c r="Y27" s="3578"/>
      <c r="Z27" s="1563" t="str">
        <f t="shared" si="15"/>
        <v>项目停车位配比</v>
      </c>
      <c r="AA27" s="1559">
        <f t="shared" si="3"/>
        <v>1</v>
      </c>
      <c r="AB27" s="1559">
        <f t="shared" si="4"/>
        <v>1</v>
      </c>
      <c r="AC27" s="1559">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578"/>
      <c r="Q28" s="1555" t="str">
        <f t="shared" si="11"/>
        <v>公共部分装修</v>
      </c>
      <c r="R28" s="1556" t="s">
        <v>8</v>
      </c>
      <c r="S28" s="1557">
        <f t="shared" si="12"/>
        <v>100</v>
      </c>
      <c r="T28" s="1556" t="s">
        <v>8</v>
      </c>
      <c r="U28" s="1557">
        <f t="shared" si="13"/>
        <v>100</v>
      </c>
      <c r="V28" s="1556" t="s">
        <v>8</v>
      </c>
      <c r="W28" s="1557">
        <f t="shared" si="14"/>
        <v>100</v>
      </c>
      <c r="X28" s="1550"/>
      <c r="Y28" s="3578"/>
      <c r="Z28" s="1558" t="str">
        <f t="shared" si="15"/>
        <v>公共部分装修</v>
      </c>
      <c r="AA28" s="1559">
        <f t="shared" si="3"/>
        <v>1</v>
      </c>
      <c r="AB28" s="1559">
        <f t="shared" si="4"/>
        <v>1</v>
      </c>
      <c r="AC28" s="1559">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4"/>
      <c r="M29" s="2116"/>
      <c r="N29" s="2116"/>
      <c r="O29" s="2123"/>
      <c r="P29" s="3578"/>
      <c r="Q29" s="1555" t="str">
        <f t="shared" si="11"/>
        <v>成新率</v>
      </c>
      <c r="R29" s="1556" t="s">
        <v>8</v>
      </c>
      <c r="S29" s="1557" t="e">
        <f t="shared" si="12"/>
        <v>#N/A</v>
      </c>
      <c r="T29" s="1556" t="s">
        <v>8</v>
      </c>
      <c r="U29" s="1557" t="e">
        <f t="shared" si="13"/>
        <v>#N/A</v>
      </c>
      <c r="V29" s="1556" t="s">
        <v>8</v>
      </c>
      <c r="W29" s="1557" t="e">
        <f t="shared" si="14"/>
        <v>#N/A</v>
      </c>
      <c r="X29" s="1550"/>
      <c r="Y29" s="3578"/>
      <c r="Z29" s="1558" t="str">
        <f t="shared" si="15"/>
        <v>成新率</v>
      </c>
      <c r="AA29" s="1559" t="e">
        <f t="shared" si="3"/>
        <v>#N/A</v>
      </c>
      <c r="AB29" s="1559" t="e">
        <f t="shared" si="4"/>
        <v>#N/A</v>
      </c>
      <c r="AC29" s="1559"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4"/>
      <c r="M30" s="2116"/>
      <c r="N30" s="2116"/>
      <c r="O30" s="2123"/>
      <c r="P30" s="3578"/>
      <c r="Q30" s="1555" t="str">
        <f t="shared" si="11"/>
        <v>物业等级</v>
      </c>
      <c r="R30" s="1556" t="s">
        <v>8</v>
      </c>
      <c r="S30" s="1557">
        <f t="shared" si="12"/>
        <v>100</v>
      </c>
      <c r="T30" s="1556" t="s">
        <v>8</v>
      </c>
      <c r="U30" s="1557">
        <f t="shared" si="13"/>
        <v>100</v>
      </c>
      <c r="V30" s="1556" t="s">
        <v>8</v>
      </c>
      <c r="W30" s="1557">
        <f t="shared" si="14"/>
        <v>100</v>
      </c>
      <c r="X30" s="1550"/>
      <c r="Y30" s="3578"/>
      <c r="Z30" s="1558" t="str">
        <f t="shared" si="15"/>
        <v>物业等级</v>
      </c>
      <c r="AA30" s="1559">
        <f t="shared" si="3"/>
        <v>1</v>
      </c>
      <c r="AB30" s="1559">
        <f t="shared" si="4"/>
        <v>1</v>
      </c>
      <c r="AC30" s="1559">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7"/>
      <c r="M31" s="2118"/>
      <c r="N31" s="2118"/>
      <c r="O31" s="2119"/>
      <c r="P31" s="3578"/>
      <c r="Q31" s="1146" t="str">
        <f t="shared" si="11"/>
        <v>停车位面积</v>
      </c>
      <c r="R31" s="1551" t="s">
        <v>8</v>
      </c>
      <c r="S31" s="1552" t="e">
        <f t="shared" si="12"/>
        <v>#N/A</v>
      </c>
      <c r="T31" s="1551" t="s">
        <v>8</v>
      </c>
      <c r="U31" s="1552" t="e">
        <f t="shared" si="13"/>
        <v>#N/A</v>
      </c>
      <c r="V31" s="1551" t="s">
        <v>8</v>
      </c>
      <c r="W31" s="1552" t="e">
        <f t="shared" si="14"/>
        <v>#N/A</v>
      </c>
      <c r="X31" s="1553"/>
      <c r="Y31" s="3578"/>
      <c r="Z31" s="1145" t="str">
        <f t="shared" si="15"/>
        <v>停车位面积</v>
      </c>
      <c r="AA31" s="1554" t="e">
        <f t="shared" si="3"/>
        <v>#N/A</v>
      </c>
      <c r="AB31" s="1554" t="e">
        <f t="shared" si="4"/>
        <v>#N/A</v>
      </c>
      <c r="AC31" s="1554"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578" t="s">
        <v>550</v>
      </c>
      <c r="Q32" s="1555" t="str">
        <f t="shared" si="11"/>
        <v>车位类型</v>
      </c>
      <c r="R32" s="1556" t="s">
        <v>8</v>
      </c>
      <c r="S32" s="1557">
        <f t="shared" si="12"/>
        <v>100</v>
      </c>
      <c r="T32" s="1556" t="s">
        <v>8</v>
      </c>
      <c r="U32" s="1557">
        <f t="shared" si="13"/>
        <v>100</v>
      </c>
      <c r="V32" s="1556" t="s">
        <v>8</v>
      </c>
      <c r="W32" s="1557">
        <f t="shared" si="14"/>
        <v>100</v>
      </c>
      <c r="X32" s="1550"/>
      <c r="Y32" s="3578" t="s">
        <v>550</v>
      </c>
      <c r="Z32" s="1558" t="str">
        <f t="shared" si="15"/>
        <v>车位类型</v>
      </c>
      <c r="AA32" s="1559">
        <f t="shared" si="3"/>
        <v>1</v>
      </c>
      <c r="AB32" s="1559">
        <f t="shared" si="4"/>
        <v>1</v>
      </c>
      <c r="AC32" s="1559">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578"/>
      <c r="Q33" s="1555" t="str">
        <f t="shared" si="11"/>
        <v>是否直接入户</v>
      </c>
      <c r="R33" s="1556" t="s">
        <v>8</v>
      </c>
      <c r="S33" s="1557">
        <f t="shared" si="12"/>
        <v>100</v>
      </c>
      <c r="T33" s="1556" t="s">
        <v>8</v>
      </c>
      <c r="U33" s="1557">
        <f t="shared" si="13"/>
        <v>100</v>
      </c>
      <c r="V33" s="1556" t="s">
        <v>8</v>
      </c>
      <c r="W33" s="1557">
        <f t="shared" si="14"/>
        <v>100</v>
      </c>
      <c r="X33" s="1550"/>
      <c r="Y33" s="3578"/>
      <c r="Z33" s="1558" t="str">
        <f t="shared" si="15"/>
        <v>是否直接入户</v>
      </c>
      <c r="AA33" s="1559">
        <f t="shared" si="3"/>
        <v>1</v>
      </c>
      <c r="AB33" s="1559">
        <f t="shared" si="4"/>
        <v>1</v>
      </c>
      <c r="AC33" s="1559">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78"/>
      <c r="Q34" s="1555">
        <f t="shared" si="11"/>
        <v>111</v>
      </c>
      <c r="R34" s="1556" t="s">
        <v>8</v>
      </c>
      <c r="S34" s="1557">
        <f t="shared" si="12"/>
        <v>100</v>
      </c>
      <c r="T34" s="1556" t="s">
        <v>8</v>
      </c>
      <c r="U34" s="1557">
        <f t="shared" si="13"/>
        <v>100</v>
      </c>
      <c r="V34" s="1556" t="s">
        <v>8</v>
      </c>
      <c r="W34" s="1557">
        <f t="shared" si="14"/>
        <v>100</v>
      </c>
      <c r="X34" s="1550"/>
      <c r="Y34" s="3578"/>
      <c r="Z34" s="1558">
        <f t="shared" si="15"/>
        <v>111</v>
      </c>
      <c r="AA34" s="1559">
        <f t="shared" si="3"/>
        <v>1</v>
      </c>
      <c r="AB34" s="1559">
        <f t="shared" si="4"/>
        <v>1</v>
      </c>
      <c r="AC34" s="1559">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78"/>
      <c r="Q35" s="1587">
        <f t="shared" si="11"/>
        <v>111</v>
      </c>
      <c r="R35" s="1560" t="s">
        <v>8</v>
      </c>
      <c r="S35" s="1561">
        <f t="shared" si="12"/>
        <v>100</v>
      </c>
      <c r="T35" s="1560" t="s">
        <v>8</v>
      </c>
      <c r="U35" s="1561">
        <f t="shared" si="13"/>
        <v>100</v>
      </c>
      <c r="V35" s="1560" t="s">
        <v>8</v>
      </c>
      <c r="W35" s="1561">
        <f t="shared" si="14"/>
        <v>100</v>
      </c>
      <c r="X35" s="1562"/>
      <c r="Y35" s="3578"/>
      <c r="Z35" s="1563">
        <f t="shared" si="15"/>
        <v>111</v>
      </c>
      <c r="AA35" s="1559">
        <f t="shared" si="3"/>
        <v>1</v>
      </c>
      <c r="AB35" s="1559">
        <f t="shared" si="4"/>
        <v>1</v>
      </c>
      <c r="AC35" s="1559">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78"/>
      <c r="Q36" s="1555">
        <f t="shared" si="11"/>
        <v>111</v>
      </c>
      <c r="R36" s="1556" t="s">
        <v>8</v>
      </c>
      <c r="S36" s="1557">
        <f t="shared" si="12"/>
        <v>100</v>
      </c>
      <c r="T36" s="1556" t="s">
        <v>8</v>
      </c>
      <c r="U36" s="1557">
        <f t="shared" si="13"/>
        <v>100</v>
      </c>
      <c r="V36" s="1556" t="s">
        <v>8</v>
      </c>
      <c r="W36" s="1557">
        <f t="shared" si="14"/>
        <v>100</v>
      </c>
      <c r="X36" s="1550"/>
      <c r="Y36" s="3578"/>
      <c r="Z36" s="1558">
        <f t="shared" si="15"/>
        <v>111</v>
      </c>
      <c r="AA36" s="1559">
        <f t="shared" si="3"/>
        <v>1</v>
      </c>
      <c r="AB36" s="1559">
        <f t="shared" si="4"/>
        <v>1</v>
      </c>
      <c r="AC36" s="1559">
        <f t="shared" si="5"/>
        <v>1</v>
      </c>
    </row>
    <row r="37" spans="1:29" ht="15">
      <c r="A37" s="1828" t="s">
        <v>2075</v>
      </c>
      <c r="B37" s="1829" t="s">
        <v>2076</v>
      </c>
      <c r="C37" s="2588" t="s">
        <v>1</v>
      </c>
      <c r="D37" s="2589"/>
      <c r="E37" s="2590"/>
      <c r="F37" s="2591"/>
      <c r="G37" s="2592"/>
      <c r="H37" s="2593"/>
      <c r="I37" s="2590"/>
      <c r="J37" s="2593"/>
      <c r="K37" s="1593"/>
      <c r="L37" s="2126"/>
      <c r="M37" s="2127"/>
      <c r="N37" s="2116"/>
      <c r="O37" s="2127"/>
      <c r="P37" s="3573" t="str">
        <f>A37</f>
        <v>成交单价</v>
      </c>
      <c r="Q37" s="3573"/>
      <c r="R37" s="3679">
        <f>E37</f>
        <v>0</v>
      </c>
      <c r="S37" s="3679"/>
      <c r="T37" s="3679">
        <f>G37</f>
        <v>0</v>
      </c>
      <c r="U37" s="3679"/>
      <c r="V37" s="3679">
        <f>I37</f>
        <v>0</v>
      </c>
      <c r="W37" s="3679"/>
      <c r="X37" s="1542"/>
      <c r="Y37" s="1564"/>
      <c r="Z37" s="1542"/>
      <c r="AA37" s="1542"/>
      <c r="AB37" s="1542"/>
      <c r="AC37" s="1542"/>
    </row>
    <row r="38" spans="1:29" ht="15.75" thickBot="1">
      <c r="A38" s="615" t="s">
        <v>2756</v>
      </c>
      <c r="B38" s="887"/>
      <c r="C38" s="2594" t="e">
        <f>R39</f>
        <v>#DIV/0!</v>
      </c>
      <c r="D38" s="2595"/>
      <c r="E38" s="2596" t="e">
        <f>R38</f>
        <v>#DIV/0!</v>
      </c>
      <c r="F38" s="2596"/>
      <c r="G38" s="2594" t="e">
        <f>T38</f>
        <v>#DIV/0!</v>
      </c>
      <c r="H38" s="2595"/>
      <c r="I38" s="2596" t="e">
        <f>V38</f>
        <v>#DIV/0!</v>
      </c>
      <c r="J38" s="2595"/>
      <c r="K38" s="1594"/>
      <c r="L38" s="2126"/>
      <c r="M38" s="2127"/>
      <c r="N38" s="2127"/>
      <c r="O38" s="2127"/>
      <c r="P38" s="3573" t="str">
        <f>A38</f>
        <v>比较价格（元/平方米）</v>
      </c>
      <c r="Q38" s="3573"/>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542"/>
      <c r="Y38" s="1542"/>
      <c r="Z38" s="1542"/>
      <c r="AA38" s="1542"/>
      <c r="AB38" s="1542"/>
      <c r="AC38" s="1542"/>
    </row>
    <row r="39" spans="1:29" ht="15.75" thickBot="1">
      <c r="A39" s="621" t="s">
        <v>2929</v>
      </c>
      <c r="B39" s="622"/>
      <c r="C39" s="2597" t="e">
        <f>R39</f>
        <v>#DIV/0!</v>
      </c>
      <c r="D39" s="2597"/>
      <c r="E39" s="2597"/>
      <c r="F39" s="2597"/>
      <c r="G39" s="2597"/>
      <c r="H39" s="2597"/>
      <c r="I39" s="2597"/>
      <c r="J39" s="2597"/>
      <c r="K39" s="1595"/>
      <c r="L39" s="2126"/>
      <c r="M39" s="2127"/>
      <c r="N39" s="2127"/>
      <c r="O39" s="2127"/>
      <c r="P39" s="3594" t="str">
        <f>A39</f>
        <v>估价对象XX用房的比较价格（楼面单价，元/平方米）</v>
      </c>
      <c r="Q39" s="3595"/>
      <c r="R39" s="3678" t="e">
        <f>IF(F1="售价",ROUND(AVERAGE(R38:V38),0),ROUND(AVERAGE(R38:V38),1))</f>
        <v>#DIV/0!</v>
      </c>
      <c r="S39" s="3678"/>
      <c r="T39" s="3678"/>
      <c r="U39" s="3678"/>
      <c r="V39" s="3678"/>
      <c r="W39" s="3678"/>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4" t="str">
        <f>YEAR(C7)&amp;"-"&amp;MONTH(C7)</f>
        <v>2019-10</v>
      </c>
      <c r="D48" s="2756">
        <f>EDATE(C48,-1)</f>
        <v>43709</v>
      </c>
      <c r="E48" s="2756">
        <f t="shared" ref="E48:O48" si="16">EDATE(D48,-1)</f>
        <v>43678</v>
      </c>
      <c r="F48" s="2756">
        <f t="shared" si="16"/>
        <v>43647</v>
      </c>
      <c r="G48" s="2756">
        <f t="shared" si="16"/>
        <v>43617</v>
      </c>
      <c r="H48" s="2756">
        <f t="shared" si="16"/>
        <v>43586</v>
      </c>
      <c r="I48" s="2756">
        <f t="shared" si="16"/>
        <v>43556</v>
      </c>
      <c r="J48" s="2756">
        <f t="shared" si="16"/>
        <v>43525</v>
      </c>
      <c r="K48" s="2756">
        <f t="shared" si="16"/>
        <v>43497</v>
      </c>
      <c r="L48" s="2756">
        <f t="shared" si="16"/>
        <v>43466</v>
      </c>
      <c r="M48" s="2756">
        <f t="shared" si="16"/>
        <v>43435</v>
      </c>
      <c r="N48" s="2756">
        <f t="shared" si="16"/>
        <v>43405</v>
      </c>
      <c r="O48" s="2756">
        <f t="shared" si="16"/>
        <v>43374</v>
      </c>
      <c r="P48" s="2142"/>
      <c r="Q48" s="2143"/>
      <c r="R48" s="2143"/>
      <c r="S48" s="2143"/>
      <c r="T48" s="2143"/>
      <c r="U48" s="2143"/>
      <c r="V48" s="2143"/>
      <c r="W48" s="2143"/>
      <c r="X48" s="2143"/>
      <c r="Y48" s="2143"/>
      <c r="Z48" s="2143"/>
      <c r="AA48" s="2143"/>
      <c r="AB48" s="2143"/>
      <c r="AC48" s="2143"/>
    </row>
    <row r="49" spans="1:29" s="1215" customFormat="1" ht="15">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4">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2554</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8" t="s">
        <v>2555</v>
      </c>
      <c r="C67" s="2559" t="s">
        <v>2556</v>
      </c>
      <c r="D67" s="2559" t="s">
        <v>2557</v>
      </c>
      <c r="E67" s="2559" t="s">
        <v>2558</v>
      </c>
      <c r="F67" s="2559" t="s">
        <v>2559</v>
      </c>
      <c r="G67" s="2559" t="s">
        <v>2560</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6">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579" t="s">
        <v>798</v>
      </c>
      <c r="D4" s="3580"/>
      <c r="E4" s="3603" t="s">
        <v>799</v>
      </c>
      <c r="F4" s="3604"/>
      <c r="G4" s="3579" t="s">
        <v>800</v>
      </c>
      <c r="H4" s="3580"/>
      <c r="I4" s="3579" t="s">
        <v>801</v>
      </c>
      <c r="J4" s="3580"/>
      <c r="K4" s="514" t="s">
        <v>802</v>
      </c>
      <c r="L4" s="2115"/>
      <c r="M4" s="2116"/>
      <c r="N4" s="2116"/>
      <c r="O4" s="2116"/>
      <c r="P4" s="3581" t="s">
        <v>803</v>
      </c>
      <c r="Q4" s="3582"/>
      <c r="R4" s="3567" t="s">
        <v>799</v>
      </c>
      <c r="S4" s="3568"/>
      <c r="T4" s="3567" t="s">
        <v>800</v>
      </c>
      <c r="U4" s="3568"/>
      <c r="V4" s="3587" t="s">
        <v>801</v>
      </c>
      <c r="W4" s="3587"/>
      <c r="X4" s="1550"/>
      <c r="Y4" s="3567" t="s">
        <v>803</v>
      </c>
      <c r="Z4" s="3568"/>
      <c r="AA4" s="3562" t="s">
        <v>799</v>
      </c>
      <c r="AB4" s="3563" t="s">
        <v>800</v>
      </c>
      <c r="AC4" s="3562" t="s">
        <v>801</v>
      </c>
    </row>
    <row r="5" spans="1:29" ht="15">
      <c r="A5" s="515"/>
      <c r="B5" s="516"/>
      <c r="C5" s="3590" t="s">
        <v>2923</v>
      </c>
      <c r="D5" s="3591"/>
      <c r="E5" s="3605" t="s">
        <v>2924</v>
      </c>
      <c r="F5" s="3606"/>
      <c r="G5" s="3590" t="s">
        <v>2925</v>
      </c>
      <c r="H5" s="3591"/>
      <c r="I5" s="3590" t="s">
        <v>2926</v>
      </c>
      <c r="J5" s="3591"/>
      <c r="K5" s="514"/>
      <c r="L5" s="2115"/>
      <c r="M5" s="2116"/>
      <c r="N5" s="2116"/>
      <c r="O5" s="2116"/>
      <c r="P5" s="3583"/>
      <c r="Q5" s="3584"/>
      <c r="R5" s="3569"/>
      <c r="S5" s="3570"/>
      <c r="T5" s="3569"/>
      <c r="U5" s="3570"/>
      <c r="V5" s="3587"/>
      <c r="W5" s="3587"/>
      <c r="X5" s="1550"/>
      <c r="Y5" s="3569"/>
      <c r="Z5" s="3570"/>
      <c r="AA5" s="3563"/>
      <c r="AB5" s="3563"/>
      <c r="AC5" s="3563"/>
    </row>
    <row r="6" spans="1:29" ht="15.75" thickBot="1">
      <c r="A6" s="517"/>
      <c r="B6" s="518"/>
      <c r="C6" s="3588" t="s">
        <v>2927</v>
      </c>
      <c r="D6" s="3589"/>
      <c r="E6" s="3607" t="s">
        <v>2927</v>
      </c>
      <c r="F6" s="3608"/>
      <c r="G6" s="3588" t="s">
        <v>2927</v>
      </c>
      <c r="H6" s="3589"/>
      <c r="I6" s="3588" t="s">
        <v>2927</v>
      </c>
      <c r="J6" s="3589"/>
      <c r="K6" s="514" t="s">
        <v>528</v>
      </c>
      <c r="L6" s="2115"/>
      <c r="M6" s="2116"/>
      <c r="N6" s="2116"/>
      <c r="O6" s="2116"/>
      <c r="P6" s="3585"/>
      <c r="Q6" s="3586"/>
      <c r="R6" s="3569"/>
      <c r="S6" s="3570"/>
      <c r="T6" s="3571"/>
      <c r="U6" s="3572"/>
      <c r="V6" s="3587"/>
      <c r="W6" s="3587"/>
      <c r="X6" s="1550"/>
      <c r="Y6" s="3571"/>
      <c r="Z6" s="3572"/>
      <c r="AA6" s="3564"/>
      <c r="AB6" s="3564"/>
      <c r="AC6" s="3564"/>
    </row>
    <row r="7" spans="1:29" s="1215" customFormat="1" ht="15.75" thickBot="1">
      <c r="A7" s="2864"/>
      <c r="B7" s="2871" t="s">
        <v>529</v>
      </c>
      <c r="C7" s="519">
        <f>'数据-取费表'!B2</f>
        <v>43763</v>
      </c>
      <c r="D7" s="520">
        <v>100</v>
      </c>
      <c r="E7" s="521"/>
      <c r="F7" s="522">
        <f>SUMIF(46:46,YEAR(E7)&amp;"-"&amp;MONTH(E7),47:47)</f>
        <v>0</v>
      </c>
      <c r="G7" s="523"/>
      <c r="H7" s="520">
        <f>SUMIF(46:46,YEAR(G7)&amp;"-"&amp;MONTH(G7),47:47)</f>
        <v>0</v>
      </c>
      <c r="I7" s="523"/>
      <c r="J7" s="520">
        <f>SUMIF(46:46,YEAR(I7)&amp;"-"&amp;MONTH(I7),47:47)</f>
        <v>0</v>
      </c>
      <c r="K7" s="524"/>
      <c r="L7" s="2117"/>
      <c r="M7" s="2118"/>
      <c r="N7" s="2118"/>
      <c r="O7" s="2118"/>
      <c r="P7" s="3565" t="s">
        <v>530</v>
      </c>
      <c r="Q7" s="3574"/>
      <c r="R7" s="1551" t="s">
        <v>8</v>
      </c>
      <c r="S7" s="1552">
        <f t="shared" ref="S7:S14" si="0">F7</f>
        <v>0</v>
      </c>
      <c r="T7" s="1551" t="s">
        <v>8</v>
      </c>
      <c r="U7" s="1552">
        <f t="shared" ref="U7:U14" si="1">H7</f>
        <v>0</v>
      </c>
      <c r="V7" s="1551" t="s">
        <v>8</v>
      </c>
      <c r="W7" s="1552">
        <f t="shared" ref="W7:W14" si="2">J7</f>
        <v>0</v>
      </c>
      <c r="X7" s="1553"/>
      <c r="Y7" s="3565" t="s">
        <v>530</v>
      </c>
      <c r="Z7" s="3566"/>
      <c r="AA7" s="1554" t="e">
        <f>D7/F7</f>
        <v>#DIV/0!</v>
      </c>
      <c r="AB7" s="1554" t="e">
        <f>D7/H7</f>
        <v>#DIV/0!</v>
      </c>
      <c r="AC7" s="1554"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565" t="s">
        <v>533</v>
      </c>
      <c r="Q8" s="3566"/>
      <c r="R8" s="1551" t="s">
        <v>8</v>
      </c>
      <c r="S8" s="1552">
        <f t="shared" si="0"/>
        <v>0</v>
      </c>
      <c r="T8" s="1551" t="s">
        <v>8</v>
      </c>
      <c r="U8" s="1552">
        <f t="shared" si="1"/>
        <v>0</v>
      </c>
      <c r="V8" s="1551" t="s">
        <v>8</v>
      </c>
      <c r="W8" s="1552">
        <f t="shared" si="2"/>
        <v>0</v>
      </c>
      <c r="X8" s="1553"/>
      <c r="Y8" s="3565" t="s">
        <v>533</v>
      </c>
      <c r="Z8" s="3566"/>
      <c r="AA8" s="1554" t="e">
        <f t="shared" ref="AA8:AA34" si="3">D8/F8</f>
        <v>#DIV/0!</v>
      </c>
      <c r="AB8" s="1554" t="e">
        <f t="shared" ref="AB8:AB34" si="4">D8/H8</f>
        <v>#DIV/0!</v>
      </c>
      <c r="AC8" s="1554" t="e">
        <f t="shared" ref="AC8:AC34" si="5">D8/J8</f>
        <v>#DIV/0!</v>
      </c>
    </row>
    <row r="9" spans="1:29" s="1215" customFormat="1" ht="15">
      <c r="A9" s="2866"/>
      <c r="B9" s="2873" t="s">
        <v>2752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573" t="s">
        <v>535</v>
      </c>
      <c r="Q9" s="1146" t="str">
        <f t="shared" ref="Q9:Q14" si="6">B9</f>
        <v>用途</v>
      </c>
      <c r="R9" s="1551" t="s">
        <v>8</v>
      </c>
      <c r="S9" s="1552">
        <f t="shared" si="0"/>
        <v>100</v>
      </c>
      <c r="T9" s="1551" t="s">
        <v>8</v>
      </c>
      <c r="U9" s="1552">
        <f t="shared" si="1"/>
        <v>100</v>
      </c>
      <c r="V9" s="1551" t="s">
        <v>8</v>
      </c>
      <c r="W9" s="1552">
        <f t="shared" si="2"/>
        <v>100</v>
      </c>
      <c r="X9" s="1553"/>
      <c r="Y9" s="3530" t="s">
        <v>536</v>
      </c>
      <c r="Z9" s="1145" t="str">
        <f t="shared" ref="Z9:Z14" si="7">Q9</f>
        <v>用途</v>
      </c>
      <c r="AA9" s="1554">
        <f t="shared" si="3"/>
        <v>1</v>
      </c>
      <c r="AB9" s="1554">
        <f t="shared" si="4"/>
        <v>1</v>
      </c>
      <c r="AC9" s="1554">
        <f t="shared" si="5"/>
        <v>1</v>
      </c>
    </row>
    <row r="10" spans="1:29" s="1333" customFormat="1" ht="27">
      <c r="A10" s="2867"/>
      <c r="B10" s="2872" t="s">
        <v>2753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573"/>
      <c r="Q10" s="1146" t="str">
        <f t="shared" si="6"/>
        <v>土地使用年限（年）</v>
      </c>
      <c r="R10" s="1551" t="s">
        <v>8</v>
      </c>
      <c r="S10" s="1552">
        <f t="shared" si="0"/>
        <v>100</v>
      </c>
      <c r="T10" s="1551" t="s">
        <v>8</v>
      </c>
      <c r="U10" s="1552">
        <f t="shared" si="1"/>
        <v>100</v>
      </c>
      <c r="V10" s="1551" t="s">
        <v>8</v>
      </c>
      <c r="W10" s="1552">
        <f t="shared" si="2"/>
        <v>100</v>
      </c>
      <c r="X10" s="1553"/>
      <c r="Y10" s="3530"/>
      <c r="Z10" s="1145" t="str">
        <f t="shared" si="7"/>
        <v>土地使用年限（年）</v>
      </c>
      <c r="AA10" s="1554">
        <f t="shared" si="3"/>
        <v>1</v>
      </c>
      <c r="AB10" s="1554">
        <f t="shared" si="4"/>
        <v>1</v>
      </c>
      <c r="AC10" s="1554">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2"/>
      <c r="M11" s="2116"/>
      <c r="N11" s="2116"/>
      <c r="O11" s="2123"/>
      <c r="P11" s="3573"/>
      <c r="Q11" s="1146">
        <f t="shared" si="6"/>
        <v>111</v>
      </c>
      <c r="R11" s="1551" t="s">
        <v>8</v>
      </c>
      <c r="S11" s="1552">
        <f t="shared" si="0"/>
        <v>100</v>
      </c>
      <c r="T11" s="1551" t="s">
        <v>8</v>
      </c>
      <c r="U11" s="1552">
        <f t="shared" si="1"/>
        <v>100</v>
      </c>
      <c r="V11" s="1551" t="s">
        <v>8</v>
      </c>
      <c r="W11" s="1552">
        <f t="shared" si="2"/>
        <v>100</v>
      </c>
      <c r="X11" s="1553"/>
      <c r="Y11" s="3530"/>
      <c r="Z11" s="1145">
        <f t="shared" si="7"/>
        <v>111</v>
      </c>
      <c r="AA11" s="1554">
        <f t="shared" si="3"/>
        <v>1</v>
      </c>
      <c r="AB11" s="1554">
        <f t="shared" si="4"/>
        <v>1</v>
      </c>
      <c r="AC11" s="1554">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7"/>
      <c r="M12" s="2118"/>
      <c r="N12" s="2118"/>
      <c r="O12" s="2119"/>
      <c r="P12" s="3573"/>
      <c r="Q12" s="1146">
        <f t="shared" si="6"/>
        <v>111</v>
      </c>
      <c r="R12" s="1551" t="s">
        <v>8</v>
      </c>
      <c r="S12" s="1552">
        <f t="shared" si="0"/>
        <v>100</v>
      </c>
      <c r="T12" s="1551" t="s">
        <v>8</v>
      </c>
      <c r="U12" s="1552">
        <f t="shared" si="1"/>
        <v>100</v>
      </c>
      <c r="V12" s="1551" t="s">
        <v>8</v>
      </c>
      <c r="W12" s="1552">
        <f t="shared" si="2"/>
        <v>100</v>
      </c>
      <c r="X12" s="1553"/>
      <c r="Y12" s="3530"/>
      <c r="Z12" s="1145">
        <f t="shared" si="7"/>
        <v>111</v>
      </c>
      <c r="AA12" s="1554">
        <f>D12/F12</f>
        <v>1</v>
      </c>
      <c r="AB12" s="1554">
        <f>D12/H12</f>
        <v>1</v>
      </c>
      <c r="AC12" s="1554">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4"/>
      <c r="M13" s="2116"/>
      <c r="N13" s="2116"/>
      <c r="O13" s="2123"/>
      <c r="P13" s="3573"/>
      <c r="Q13" s="1146">
        <f t="shared" si="6"/>
        <v>111</v>
      </c>
      <c r="R13" s="1551" t="s">
        <v>8</v>
      </c>
      <c r="S13" s="1552">
        <f t="shared" si="0"/>
        <v>100</v>
      </c>
      <c r="T13" s="1551" t="s">
        <v>8</v>
      </c>
      <c r="U13" s="1552">
        <f t="shared" si="1"/>
        <v>100</v>
      </c>
      <c r="V13" s="1551" t="s">
        <v>8</v>
      </c>
      <c r="W13" s="1552">
        <f t="shared" si="2"/>
        <v>100</v>
      </c>
      <c r="X13" s="1553"/>
      <c r="Y13" s="3530"/>
      <c r="Z13" s="1145">
        <f t="shared" si="7"/>
        <v>111</v>
      </c>
      <c r="AA13" s="1554">
        <f t="shared" si="3"/>
        <v>1</v>
      </c>
      <c r="AB13" s="1554">
        <f t="shared" si="4"/>
        <v>1</v>
      </c>
      <c r="AC13" s="1554">
        <f t="shared" si="5"/>
        <v>1</v>
      </c>
    </row>
    <row r="14" spans="1:29" ht="15">
      <c r="A14" s="2862" t="s">
        <v>2750</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4"/>
      <c r="M14" s="2116"/>
      <c r="N14" s="2116"/>
      <c r="O14" s="2123"/>
      <c r="P14" s="3575" t="s">
        <v>540</v>
      </c>
      <c r="Q14" s="1555" t="str">
        <f t="shared" si="6"/>
        <v>交通便捷度</v>
      </c>
      <c r="R14" s="1556" t="s">
        <v>8</v>
      </c>
      <c r="S14" s="1557">
        <f t="shared" si="0"/>
        <v>100</v>
      </c>
      <c r="T14" s="1556" t="s">
        <v>8</v>
      </c>
      <c r="U14" s="1557">
        <f t="shared" si="1"/>
        <v>100</v>
      </c>
      <c r="V14" s="1556" t="s">
        <v>8</v>
      </c>
      <c r="W14" s="1557">
        <f t="shared" si="2"/>
        <v>100</v>
      </c>
      <c r="X14" s="1550"/>
      <c r="Y14" s="3575" t="s">
        <v>540</v>
      </c>
      <c r="Z14" s="1558" t="str">
        <f t="shared" si="7"/>
        <v>交通便捷度</v>
      </c>
      <c r="AA14" s="1559">
        <f t="shared" si="3"/>
        <v>1</v>
      </c>
      <c r="AB14" s="1559">
        <f t="shared" si="4"/>
        <v>1</v>
      </c>
      <c r="AC14" s="1559">
        <f t="shared" si="5"/>
        <v>1</v>
      </c>
    </row>
    <row r="15" spans="1:29" ht="15">
      <c r="A15" s="532"/>
      <c r="B15" s="869"/>
      <c r="C15" s="576"/>
      <c r="D15" s="555"/>
      <c r="E15" s="576"/>
      <c r="F15" s="557"/>
      <c r="G15" s="576"/>
      <c r="H15" s="559"/>
      <c r="I15" s="576"/>
      <c r="J15" s="555"/>
      <c r="K15" s="898"/>
      <c r="L15" s="2124"/>
      <c r="M15" s="2116"/>
      <c r="N15" s="2116"/>
      <c r="O15" s="2123"/>
      <c r="P15" s="3576"/>
      <c r="Q15" s="1555"/>
      <c r="R15" s="1556"/>
      <c r="S15" s="1557"/>
      <c r="T15" s="1556"/>
      <c r="U15" s="1557"/>
      <c r="V15" s="1556"/>
      <c r="W15" s="1557"/>
      <c r="X15" s="1550"/>
      <c r="Y15" s="3576"/>
      <c r="Z15" s="1558"/>
      <c r="AA15" s="1559">
        <v>1</v>
      </c>
      <c r="AB15" s="1559">
        <v>1</v>
      </c>
      <c r="AC15" s="1559">
        <v>1</v>
      </c>
    </row>
    <row r="16" spans="1:29" ht="15">
      <c r="A16" s="532"/>
      <c r="B16" s="2564"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4"/>
      <c r="M16" s="2116"/>
      <c r="N16" s="2116"/>
      <c r="O16" s="2123"/>
      <c r="P16" s="3576"/>
      <c r="Q16" s="1555" t="str">
        <f>B16</f>
        <v>公共配套设施</v>
      </c>
      <c r="R16" s="1556" t="s">
        <v>8</v>
      </c>
      <c r="S16" s="1557">
        <f>F16</f>
        <v>100</v>
      </c>
      <c r="T16" s="1556" t="s">
        <v>8</v>
      </c>
      <c r="U16" s="1557">
        <f>H16</f>
        <v>100</v>
      </c>
      <c r="V16" s="1556" t="s">
        <v>8</v>
      </c>
      <c r="W16" s="1557">
        <f>J16</f>
        <v>100</v>
      </c>
      <c r="X16" s="1550"/>
      <c r="Y16" s="3576"/>
      <c r="Z16" s="1558" t="str">
        <f>Q16</f>
        <v>公共配套设施</v>
      </c>
      <c r="AA16" s="1559">
        <f t="shared" si="3"/>
        <v>1</v>
      </c>
      <c r="AB16" s="1559">
        <f t="shared" si="4"/>
        <v>1</v>
      </c>
      <c r="AC16" s="1559">
        <f t="shared" si="5"/>
        <v>1</v>
      </c>
    </row>
    <row r="17" spans="1:29" ht="15">
      <c r="A17" s="532"/>
      <c r="B17" s="566"/>
      <c r="C17" s="873"/>
      <c r="D17" s="555"/>
      <c r="E17" s="576"/>
      <c r="F17" s="557"/>
      <c r="G17" s="576"/>
      <c r="H17" s="555"/>
      <c r="I17" s="576"/>
      <c r="J17" s="555"/>
      <c r="K17" s="898"/>
      <c r="L17" s="2124"/>
      <c r="M17" s="2116"/>
      <c r="N17" s="2116"/>
      <c r="O17" s="2123"/>
      <c r="P17" s="3576"/>
      <c r="Q17" s="1555"/>
      <c r="R17" s="1556"/>
      <c r="S17" s="1557"/>
      <c r="T17" s="1556"/>
      <c r="U17" s="1557"/>
      <c r="V17" s="1556"/>
      <c r="W17" s="1557"/>
      <c r="X17" s="1550"/>
      <c r="Y17" s="3576"/>
      <c r="Z17" s="1558"/>
      <c r="AA17" s="1559">
        <v>1</v>
      </c>
      <c r="AB17" s="1559">
        <v>1</v>
      </c>
      <c r="AC17" s="1559">
        <v>1</v>
      </c>
    </row>
    <row r="18" spans="1:29" ht="15">
      <c r="A18" s="532"/>
      <c r="B18" s="2552"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4"/>
      <c r="M18" s="2116"/>
      <c r="N18" s="2116"/>
      <c r="O18" s="2123"/>
      <c r="P18" s="3576"/>
      <c r="Q18" s="2540" t="str">
        <f>B18</f>
        <v>基础设施水平</v>
      </c>
      <c r="R18" s="1556" t="s">
        <v>8</v>
      </c>
      <c r="S18" s="1557">
        <f>F18</f>
        <v>100</v>
      </c>
      <c r="T18" s="1556" t="s">
        <v>8</v>
      </c>
      <c r="U18" s="1557">
        <f>H18</f>
        <v>100</v>
      </c>
      <c r="V18" s="1556" t="s">
        <v>8</v>
      </c>
      <c r="W18" s="1557">
        <f>J18</f>
        <v>100</v>
      </c>
      <c r="X18" s="2542"/>
      <c r="Y18" s="3576"/>
      <c r="Z18" s="2541" t="str">
        <f>Q18</f>
        <v>基础设施水平</v>
      </c>
      <c r="AA18" s="1559">
        <f t="shared" ref="AA18" si="8">D18/F18</f>
        <v>1</v>
      </c>
      <c r="AB18" s="1559">
        <f t="shared" ref="AB18" si="9">D18/H18</f>
        <v>1</v>
      </c>
      <c r="AC18" s="1559">
        <f t="shared" ref="AC18" si="10">D18/J18</f>
        <v>1</v>
      </c>
    </row>
    <row r="19" spans="1:29" ht="15">
      <c r="A19" s="532"/>
      <c r="B19" s="578"/>
      <c r="C19" s="873"/>
      <c r="D19" s="559"/>
      <c r="E19" s="873"/>
      <c r="F19" s="563"/>
      <c r="G19" s="873"/>
      <c r="H19" s="555"/>
      <c r="I19" s="576"/>
      <c r="J19" s="555"/>
      <c r="K19" s="2563"/>
      <c r="L19" s="2124"/>
      <c r="M19" s="2116"/>
      <c r="N19" s="2116"/>
      <c r="O19" s="2123"/>
      <c r="P19" s="3576"/>
      <c r="Q19" s="2540"/>
      <c r="R19" s="1556"/>
      <c r="S19" s="1557"/>
      <c r="T19" s="1556"/>
      <c r="U19" s="1557"/>
      <c r="V19" s="1556"/>
      <c r="W19" s="1557"/>
      <c r="X19" s="2542"/>
      <c r="Y19" s="3576"/>
      <c r="Z19" s="2541"/>
      <c r="AA19" s="1559">
        <v>1</v>
      </c>
      <c r="AB19" s="1559">
        <v>1</v>
      </c>
      <c r="AC19" s="1559">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24"/>
      <c r="M20" s="2116"/>
      <c r="N20" s="2116"/>
      <c r="O20" s="2123"/>
      <c r="P20" s="3576"/>
      <c r="Q20" s="1555" t="str">
        <f>B20</f>
        <v>自然及人文环境</v>
      </c>
      <c r="R20" s="1556" t="s">
        <v>8</v>
      </c>
      <c r="S20" s="1557">
        <f>F20</f>
        <v>100</v>
      </c>
      <c r="T20" s="1556" t="s">
        <v>8</v>
      </c>
      <c r="U20" s="1557">
        <f>H20</f>
        <v>100</v>
      </c>
      <c r="V20" s="1556" t="s">
        <v>8</v>
      </c>
      <c r="W20" s="1557">
        <f>J20</f>
        <v>100</v>
      </c>
      <c r="X20" s="1550"/>
      <c r="Y20" s="3576"/>
      <c r="Z20" s="1558" t="str">
        <f>Q20</f>
        <v>自然及人文环境</v>
      </c>
      <c r="AA20" s="1559">
        <f t="shared" si="3"/>
        <v>1</v>
      </c>
      <c r="AB20" s="1559">
        <f t="shared" si="4"/>
        <v>1</v>
      </c>
      <c r="AC20" s="1559">
        <f t="shared" si="5"/>
        <v>1</v>
      </c>
    </row>
    <row r="21" spans="1:29" ht="15">
      <c r="A21" s="532"/>
      <c r="B21" s="595"/>
      <c r="C21" s="576"/>
      <c r="D21" s="555"/>
      <c r="E21" s="576"/>
      <c r="F21" s="557"/>
      <c r="G21" s="576"/>
      <c r="H21" s="555"/>
      <c r="I21" s="576"/>
      <c r="J21" s="555"/>
      <c r="K21" s="898"/>
      <c r="L21" s="2124"/>
      <c r="M21" s="2116"/>
      <c r="N21" s="2116"/>
      <c r="O21" s="2123"/>
      <c r="P21" s="3576"/>
      <c r="Q21" s="1555"/>
      <c r="R21" s="1556"/>
      <c r="S21" s="1557"/>
      <c r="T21" s="1556"/>
      <c r="U21" s="1557"/>
      <c r="V21" s="1556"/>
      <c r="W21" s="1557"/>
      <c r="X21" s="1550"/>
      <c r="Y21" s="3576"/>
      <c r="Z21" s="1558"/>
      <c r="AA21" s="1559">
        <v>1</v>
      </c>
      <c r="AB21" s="1559">
        <v>1</v>
      </c>
      <c r="AC21" s="1559">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76"/>
      <c r="Q22" s="1555" t="str">
        <f>B22</f>
        <v>楼层</v>
      </c>
      <c r="R22" s="1556" t="s">
        <v>8</v>
      </c>
      <c r="S22" s="1557">
        <f>F22</f>
        <v>100</v>
      </c>
      <c r="T22" s="1556" t="s">
        <v>8</v>
      </c>
      <c r="U22" s="1557">
        <f>H22</f>
        <v>100</v>
      </c>
      <c r="V22" s="1556" t="s">
        <v>8</v>
      </c>
      <c r="W22" s="1557">
        <f>J22</f>
        <v>100</v>
      </c>
      <c r="X22" s="1550"/>
      <c r="Y22" s="3576"/>
      <c r="Z22" s="1558" t="str">
        <f>Q22</f>
        <v>楼层</v>
      </c>
      <c r="AA22" s="1559">
        <f t="shared" si="3"/>
        <v>1</v>
      </c>
      <c r="AB22" s="1559">
        <f t="shared" si="4"/>
        <v>1</v>
      </c>
      <c r="AC22" s="155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76"/>
      <c r="Q23" s="1555">
        <f>B23</f>
        <v>111</v>
      </c>
      <c r="R23" s="1556" t="s">
        <v>8</v>
      </c>
      <c r="S23" s="1557">
        <f>F23</f>
        <v>100</v>
      </c>
      <c r="T23" s="1556" t="s">
        <v>8</v>
      </c>
      <c r="U23" s="1557">
        <f>H23</f>
        <v>100</v>
      </c>
      <c r="V23" s="1556" t="s">
        <v>8</v>
      </c>
      <c r="W23" s="1557">
        <f>J23</f>
        <v>100</v>
      </c>
      <c r="X23" s="1550"/>
      <c r="Y23" s="3576"/>
      <c r="Z23" s="1558">
        <f>Q23</f>
        <v>111</v>
      </c>
      <c r="AA23" s="1559">
        <f t="shared" si="3"/>
        <v>1</v>
      </c>
      <c r="AB23" s="1559">
        <f t="shared" si="4"/>
        <v>1</v>
      </c>
      <c r="AC23" s="155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76"/>
      <c r="Q24" s="1555">
        <f t="shared" ref="Q24:Q34" si="11">B24</f>
        <v>111</v>
      </c>
      <c r="R24" s="1556" t="s">
        <v>8</v>
      </c>
      <c r="S24" s="1557">
        <f>F24</f>
        <v>100</v>
      </c>
      <c r="T24" s="1556" t="s">
        <v>8</v>
      </c>
      <c r="U24" s="1557">
        <f>H24</f>
        <v>100</v>
      </c>
      <c r="V24" s="1556" t="s">
        <v>8</v>
      </c>
      <c r="W24" s="1557">
        <f>J24</f>
        <v>100</v>
      </c>
      <c r="X24" s="1550"/>
      <c r="Y24" s="3576"/>
      <c r="Z24" s="1558">
        <f>Q24</f>
        <v>111</v>
      </c>
      <c r="AA24" s="1559">
        <f t="shared" si="3"/>
        <v>1</v>
      </c>
      <c r="AB24" s="1559">
        <f t="shared" si="4"/>
        <v>1</v>
      </c>
      <c r="AC24" s="1559">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7"/>
      <c r="M25" s="2118"/>
      <c r="N25" s="2118"/>
      <c r="O25" s="2119"/>
      <c r="P25" s="3576"/>
      <c r="Q25" s="1146">
        <f t="shared" si="11"/>
        <v>111</v>
      </c>
      <c r="R25" s="1551" t="s">
        <v>8</v>
      </c>
      <c r="S25" s="1552">
        <f>F25</f>
        <v>100</v>
      </c>
      <c r="T25" s="1551" t="s">
        <v>8</v>
      </c>
      <c r="U25" s="1552">
        <f>H25</f>
        <v>100</v>
      </c>
      <c r="V25" s="1551" t="s">
        <v>8</v>
      </c>
      <c r="W25" s="1552">
        <f>J25</f>
        <v>100</v>
      </c>
      <c r="X25" s="1553"/>
      <c r="Y25" s="3576"/>
      <c r="Z25" s="1145">
        <f>Q25</f>
        <v>111</v>
      </c>
      <c r="AA25" s="1559">
        <f>D25/F25</f>
        <v>1</v>
      </c>
      <c r="AB25" s="1559">
        <f>D25/H25</f>
        <v>1</v>
      </c>
      <c r="AC25" s="1559">
        <f>D25/J25</f>
        <v>1</v>
      </c>
    </row>
    <row r="26" spans="1:29" ht="15">
      <c r="A26" s="2859"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4"/>
      <c r="M26" s="2116"/>
      <c r="N26" s="2116"/>
      <c r="O26" s="2123"/>
      <c r="P26" s="357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78" t="s">
        <v>821</v>
      </c>
      <c r="Z26" s="1558" t="str">
        <f t="shared" ref="Z26:Z34" si="15">Q26</f>
        <v>公共部分装修</v>
      </c>
      <c r="AA26" s="1559">
        <f t="shared" si="3"/>
        <v>1</v>
      </c>
      <c r="AB26" s="1559">
        <f t="shared" si="4"/>
        <v>1</v>
      </c>
      <c r="AC26" s="1559">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2"/>
      <c r="M27" s="2153"/>
      <c r="N27" s="2153"/>
      <c r="O27" s="2125"/>
      <c r="P27" s="3578"/>
      <c r="Q27" s="1587" t="str">
        <f t="shared" si="11"/>
        <v>成新率</v>
      </c>
      <c r="R27" s="1560" t="s">
        <v>8</v>
      </c>
      <c r="S27" s="1561" t="e">
        <f t="shared" si="12"/>
        <v>#N/A</v>
      </c>
      <c r="T27" s="1560" t="s">
        <v>8</v>
      </c>
      <c r="U27" s="1561" t="e">
        <f t="shared" si="13"/>
        <v>#N/A</v>
      </c>
      <c r="V27" s="1560" t="s">
        <v>8</v>
      </c>
      <c r="W27" s="1561" t="e">
        <f t="shared" si="14"/>
        <v>#N/A</v>
      </c>
      <c r="X27" s="1562"/>
      <c r="Y27" s="3578"/>
      <c r="Z27" s="1563" t="str">
        <f t="shared" si="15"/>
        <v>成新率</v>
      </c>
      <c r="AA27" s="1559" t="e">
        <f t="shared" si="3"/>
        <v>#N/A</v>
      </c>
      <c r="AB27" s="1559" t="e">
        <f t="shared" si="4"/>
        <v>#N/A</v>
      </c>
      <c r="AC27" s="1559"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78"/>
      <c r="Q28" s="1555" t="str">
        <f t="shared" si="11"/>
        <v>物业等级</v>
      </c>
      <c r="R28" s="1556" t="s">
        <v>8</v>
      </c>
      <c r="S28" s="1557">
        <f t="shared" si="12"/>
        <v>100</v>
      </c>
      <c r="T28" s="1556" t="s">
        <v>8</v>
      </c>
      <c r="U28" s="1557">
        <f t="shared" si="13"/>
        <v>100</v>
      </c>
      <c r="V28" s="1556" t="s">
        <v>8</v>
      </c>
      <c r="W28" s="1557">
        <f t="shared" si="14"/>
        <v>100</v>
      </c>
      <c r="X28" s="1550"/>
      <c r="Y28" s="3578"/>
      <c r="Z28" s="1558" t="str">
        <f t="shared" si="15"/>
        <v>物业等级</v>
      </c>
      <c r="AA28" s="1559">
        <f t="shared" si="3"/>
        <v>1</v>
      </c>
      <c r="AB28" s="1559">
        <f t="shared" si="4"/>
        <v>1</v>
      </c>
      <c r="AC28" s="1559">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4"/>
      <c r="M29" s="2116"/>
      <c r="N29" s="2116"/>
      <c r="O29" s="2123"/>
      <c r="P29" s="3578"/>
      <c r="Q29" s="1555" t="str">
        <f t="shared" si="11"/>
        <v>有无电梯</v>
      </c>
      <c r="R29" s="1556" t="s">
        <v>8</v>
      </c>
      <c r="S29" s="1557">
        <f t="shared" si="12"/>
        <v>100</v>
      </c>
      <c r="T29" s="1556" t="s">
        <v>8</v>
      </c>
      <c r="U29" s="1557">
        <f t="shared" si="13"/>
        <v>100</v>
      </c>
      <c r="V29" s="1556" t="s">
        <v>8</v>
      </c>
      <c r="W29" s="1557">
        <f t="shared" si="14"/>
        <v>100</v>
      </c>
      <c r="X29" s="1550"/>
      <c r="Y29" s="3578"/>
      <c r="Z29" s="1558" t="str">
        <f t="shared" si="15"/>
        <v>有无电梯</v>
      </c>
      <c r="AA29" s="1559">
        <f t="shared" si="3"/>
        <v>1</v>
      </c>
      <c r="AB29" s="1559">
        <f t="shared" si="4"/>
        <v>1</v>
      </c>
      <c r="AC29" s="1559">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4"/>
      <c r="M30" s="2116"/>
      <c r="N30" s="2116"/>
      <c r="O30" s="2123"/>
      <c r="P30" s="3578"/>
      <c r="Q30" s="1555" t="str">
        <f t="shared" si="11"/>
        <v>建筑面积</v>
      </c>
      <c r="R30" s="1556" t="s">
        <v>8</v>
      </c>
      <c r="S30" s="1557" t="e">
        <f t="shared" si="12"/>
        <v>#N/A</v>
      </c>
      <c r="T30" s="1556" t="s">
        <v>8</v>
      </c>
      <c r="U30" s="1557" t="e">
        <f t="shared" si="13"/>
        <v>#N/A</v>
      </c>
      <c r="V30" s="1556" t="s">
        <v>8</v>
      </c>
      <c r="W30" s="1557" t="e">
        <f t="shared" si="14"/>
        <v>#N/A</v>
      </c>
      <c r="X30" s="1550"/>
      <c r="Y30" s="3578"/>
      <c r="Z30" s="1558" t="str">
        <f t="shared" si="15"/>
        <v>建筑面积</v>
      </c>
      <c r="AA30" s="1559" t="e">
        <f t="shared" si="3"/>
        <v>#N/A</v>
      </c>
      <c r="AB30" s="1559" t="e">
        <f t="shared" si="4"/>
        <v>#N/A</v>
      </c>
      <c r="AC30" s="1559"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7"/>
      <c r="M31" s="2118"/>
      <c r="N31" s="2118"/>
      <c r="O31" s="2119"/>
      <c r="P31" s="3578"/>
      <c r="Q31" s="1146" t="str">
        <f t="shared" si="11"/>
        <v>是否封闭</v>
      </c>
      <c r="R31" s="1551" t="s">
        <v>8</v>
      </c>
      <c r="S31" s="1552">
        <f t="shared" si="12"/>
        <v>100</v>
      </c>
      <c r="T31" s="1551" t="s">
        <v>8</v>
      </c>
      <c r="U31" s="1552">
        <f t="shared" si="13"/>
        <v>100</v>
      </c>
      <c r="V31" s="1551" t="s">
        <v>8</v>
      </c>
      <c r="W31" s="1552">
        <f t="shared" si="14"/>
        <v>100</v>
      </c>
      <c r="X31" s="1553"/>
      <c r="Y31" s="3578"/>
      <c r="Z31" s="1145" t="str">
        <f t="shared" si="15"/>
        <v>是否封闭</v>
      </c>
      <c r="AA31" s="1554">
        <f t="shared" si="3"/>
        <v>1</v>
      </c>
      <c r="AB31" s="1554">
        <f t="shared" si="4"/>
        <v>1</v>
      </c>
      <c r="AC31" s="1554">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4"/>
      <c r="M32" s="2116"/>
      <c r="N32" s="2116"/>
      <c r="O32" s="2123"/>
      <c r="P32" s="3578" t="s">
        <v>550</v>
      </c>
      <c r="Q32" s="1555">
        <f t="shared" si="11"/>
        <v>111</v>
      </c>
      <c r="R32" s="1556" t="s">
        <v>8</v>
      </c>
      <c r="S32" s="1557">
        <f t="shared" si="12"/>
        <v>100</v>
      </c>
      <c r="T32" s="1556" t="s">
        <v>8</v>
      </c>
      <c r="U32" s="1557">
        <f t="shared" si="13"/>
        <v>100</v>
      </c>
      <c r="V32" s="1556" t="s">
        <v>8</v>
      </c>
      <c r="W32" s="1557">
        <f t="shared" si="14"/>
        <v>100</v>
      </c>
      <c r="X32" s="1550"/>
      <c r="Y32" s="3578" t="s">
        <v>550</v>
      </c>
      <c r="Z32" s="1558">
        <f t="shared" si="15"/>
        <v>111</v>
      </c>
      <c r="AA32" s="1559">
        <f t="shared" si="3"/>
        <v>1</v>
      </c>
      <c r="AB32" s="1559">
        <f t="shared" si="4"/>
        <v>1</v>
      </c>
      <c r="AC32" s="1559">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4"/>
      <c r="M33" s="2116"/>
      <c r="N33" s="2116"/>
      <c r="O33" s="2123"/>
      <c r="P33" s="3578"/>
      <c r="Q33" s="1555">
        <f t="shared" si="11"/>
        <v>111</v>
      </c>
      <c r="R33" s="1556" t="s">
        <v>8</v>
      </c>
      <c r="S33" s="1557">
        <f t="shared" si="12"/>
        <v>100</v>
      </c>
      <c r="T33" s="1556" t="s">
        <v>8</v>
      </c>
      <c r="U33" s="1557">
        <f t="shared" si="13"/>
        <v>100</v>
      </c>
      <c r="V33" s="1556" t="s">
        <v>8</v>
      </c>
      <c r="W33" s="1557">
        <f t="shared" si="14"/>
        <v>100</v>
      </c>
      <c r="X33" s="1550"/>
      <c r="Y33" s="3578"/>
      <c r="Z33" s="1558">
        <f t="shared" si="15"/>
        <v>111</v>
      </c>
      <c r="AA33" s="1559">
        <f t="shared" si="3"/>
        <v>1</v>
      </c>
      <c r="AB33" s="1559">
        <f t="shared" si="4"/>
        <v>1</v>
      </c>
      <c r="AC33" s="1559">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4"/>
      <c r="M34" s="2116"/>
      <c r="N34" s="2116"/>
      <c r="O34" s="2123"/>
      <c r="P34" s="3578"/>
      <c r="Q34" s="1555">
        <f t="shared" si="11"/>
        <v>111</v>
      </c>
      <c r="R34" s="1556" t="s">
        <v>8</v>
      </c>
      <c r="S34" s="1557">
        <f t="shared" si="12"/>
        <v>100</v>
      </c>
      <c r="T34" s="1556" t="s">
        <v>8</v>
      </c>
      <c r="U34" s="1557">
        <f t="shared" si="13"/>
        <v>100</v>
      </c>
      <c r="V34" s="1556" t="s">
        <v>8</v>
      </c>
      <c r="W34" s="1557">
        <f t="shared" si="14"/>
        <v>100</v>
      </c>
      <c r="X34" s="1550"/>
      <c r="Y34" s="3578"/>
      <c r="Z34" s="1558">
        <f t="shared" si="15"/>
        <v>111</v>
      </c>
      <c r="AA34" s="1559">
        <f t="shared" si="3"/>
        <v>1</v>
      </c>
      <c r="AB34" s="1559">
        <f t="shared" si="4"/>
        <v>1</v>
      </c>
      <c r="AC34" s="1559">
        <f t="shared" si="5"/>
        <v>1</v>
      </c>
    </row>
    <row r="35" spans="1:29" ht="15">
      <c r="A35" s="607" t="s">
        <v>736</v>
      </c>
      <c r="B35" s="886"/>
      <c r="C35" s="2588" t="s">
        <v>1</v>
      </c>
      <c r="D35" s="2589"/>
      <c r="E35" s="2590"/>
      <c r="F35" s="2591"/>
      <c r="G35" s="2592"/>
      <c r="H35" s="2593"/>
      <c r="I35" s="2590"/>
      <c r="J35" s="2593"/>
      <c r="K35" s="1593"/>
      <c r="L35" s="2126"/>
      <c r="M35" s="2127"/>
      <c r="N35" s="2116"/>
      <c r="O35" s="2127"/>
      <c r="P35" s="3573" t="str">
        <f>A35</f>
        <v>成交单价（元/平方米）</v>
      </c>
      <c r="Q35" s="3573"/>
      <c r="R35" s="3679">
        <f>E35</f>
        <v>0</v>
      </c>
      <c r="S35" s="3679"/>
      <c r="T35" s="3679">
        <f>G35</f>
        <v>0</v>
      </c>
      <c r="U35" s="3679"/>
      <c r="V35" s="3679">
        <f>I35</f>
        <v>0</v>
      </c>
      <c r="W35" s="3679"/>
      <c r="X35" s="1542"/>
      <c r="Y35" s="1564"/>
      <c r="Z35" s="1542"/>
      <c r="AA35" s="1542"/>
      <c r="AB35" s="1542"/>
      <c r="AC35" s="1542"/>
    </row>
    <row r="36" spans="1:29" ht="15.75" thickBot="1">
      <c r="A36" s="615" t="s">
        <v>2756</v>
      </c>
      <c r="B36" s="887"/>
      <c r="C36" s="2594" t="e">
        <f>R37</f>
        <v>#DIV/0!</v>
      </c>
      <c r="D36" s="2595"/>
      <c r="E36" s="2596" t="e">
        <f>R36</f>
        <v>#DIV/0!</v>
      </c>
      <c r="F36" s="2596"/>
      <c r="G36" s="2594" t="e">
        <f>T36</f>
        <v>#DIV/0!</v>
      </c>
      <c r="H36" s="2595"/>
      <c r="I36" s="2596" t="e">
        <f>V36</f>
        <v>#DIV/0!</v>
      </c>
      <c r="J36" s="2595"/>
      <c r="K36" s="1594"/>
      <c r="L36" s="2126"/>
      <c r="M36" s="2127"/>
      <c r="N36" s="2116"/>
      <c r="O36" s="2127"/>
      <c r="P36" s="3573" t="str">
        <f>A36</f>
        <v>比较价格（元/平方米）</v>
      </c>
      <c r="Q36" s="3573"/>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542"/>
      <c r="Y36" s="1542"/>
      <c r="Z36" s="1542"/>
      <c r="AA36" s="1542"/>
      <c r="AB36" s="1542"/>
      <c r="AC36" s="1542"/>
    </row>
    <row r="37" spans="1:29" ht="15.75" thickBot="1">
      <c r="A37" s="621" t="s">
        <v>2929</v>
      </c>
      <c r="B37" s="622"/>
      <c r="C37" s="2597" t="e">
        <f>R37</f>
        <v>#DIV/0!</v>
      </c>
      <c r="D37" s="2597"/>
      <c r="E37" s="2597"/>
      <c r="F37" s="2597"/>
      <c r="G37" s="2597"/>
      <c r="H37" s="2597"/>
      <c r="I37" s="2597"/>
      <c r="J37" s="2597"/>
      <c r="K37" s="1595"/>
      <c r="L37" s="2126"/>
      <c r="M37" s="2127"/>
      <c r="N37" s="2127"/>
      <c r="O37" s="2127"/>
      <c r="P37" s="3594" t="str">
        <f>A37</f>
        <v>估价对象XX用房的比较价格（楼面单价，元/平方米）</v>
      </c>
      <c r="Q37" s="3595"/>
      <c r="R37" s="3678" t="e">
        <f>IF(F1="售价",ROUND(AVERAGE(R36:V36),0),ROUND(AVERAGE(R36:V36),1))</f>
        <v>#DIV/0!</v>
      </c>
      <c r="S37" s="3678"/>
      <c r="T37" s="3678"/>
      <c r="U37" s="3678"/>
      <c r="V37" s="3678"/>
      <c r="W37" s="3678"/>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2" customFormat="1" ht="15">
      <c r="A46" s="645" t="s">
        <v>529</v>
      </c>
      <c r="B46" s="646"/>
      <c r="C46" s="2754" t="str">
        <f>YEAR(C7)&amp;"-"&amp;MONTH(C7)</f>
        <v>2019-10</v>
      </c>
      <c r="D46" s="2756">
        <f>EDATE(C46,-1)</f>
        <v>43709</v>
      </c>
      <c r="E46" s="2756">
        <f t="shared" ref="E46:O46" si="16">EDATE(D46,-1)</f>
        <v>43678</v>
      </c>
      <c r="F46" s="2756">
        <f t="shared" si="16"/>
        <v>43647</v>
      </c>
      <c r="G46" s="2756">
        <f t="shared" si="16"/>
        <v>43617</v>
      </c>
      <c r="H46" s="2756">
        <f t="shared" si="16"/>
        <v>43586</v>
      </c>
      <c r="I46" s="2756">
        <f t="shared" si="16"/>
        <v>43556</v>
      </c>
      <c r="J46" s="2756">
        <f t="shared" si="16"/>
        <v>43525</v>
      </c>
      <c r="K46" s="2756">
        <f t="shared" si="16"/>
        <v>43497</v>
      </c>
      <c r="L46" s="2756">
        <f t="shared" si="16"/>
        <v>43466</v>
      </c>
      <c r="M46" s="2756">
        <f t="shared" si="16"/>
        <v>43435</v>
      </c>
      <c r="N46" s="2756">
        <f t="shared" si="16"/>
        <v>43405</v>
      </c>
      <c r="O46" s="2756">
        <f t="shared" si="16"/>
        <v>43374</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4">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2554</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8" t="s">
        <v>2555</v>
      </c>
      <c r="C65" s="2559" t="s">
        <v>2556</v>
      </c>
      <c r="D65" s="2559" t="s">
        <v>2557</v>
      </c>
      <c r="E65" s="2559" t="s">
        <v>2558</v>
      </c>
      <c r="F65" s="2559" t="s">
        <v>2559</v>
      </c>
      <c r="G65" s="2559" t="s">
        <v>2560</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6">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8"/>
    <col min="19" max="19" width="9" style="1245"/>
    <col min="20" max="35" width="9" style="257"/>
    <col min="36" max="16384" width="9" style="1245"/>
  </cols>
  <sheetData>
    <row r="1" spans="1:45" s="257" customFormat="1" ht="14.25" customHeight="1" thickBot="1">
      <c r="A1" s="365"/>
      <c r="B1" s="2216" t="s">
        <v>2301</v>
      </c>
      <c r="C1" s="3688" t="s">
        <v>2302</v>
      </c>
      <c r="D1" s="3689"/>
      <c r="E1" s="3689"/>
      <c r="F1" s="3689"/>
      <c r="G1" s="3689"/>
      <c r="H1" s="3689"/>
      <c r="I1" s="3689"/>
      <c r="J1" s="3689"/>
      <c r="K1" s="3689"/>
      <c r="L1" s="3689"/>
      <c r="M1" s="3689"/>
      <c r="N1" s="3689"/>
      <c r="O1" s="3689"/>
      <c r="P1" s="3689"/>
      <c r="Q1" s="3689"/>
      <c r="R1" s="3689"/>
      <c r="S1" s="3690"/>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2921</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2920</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2919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2918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685" t="s">
        <v>20</v>
      </c>
      <c r="D22" s="3686"/>
      <c r="E22" s="3686"/>
      <c r="F22" s="3686"/>
      <c r="G22" s="3686"/>
      <c r="H22" s="3686"/>
      <c r="I22" s="3686"/>
      <c r="J22" s="3686"/>
      <c r="K22" s="3686"/>
      <c r="L22" s="3686"/>
      <c r="M22" s="3686"/>
      <c r="N22" s="3686"/>
      <c r="O22" s="3686"/>
      <c r="P22" s="3686"/>
      <c r="Q22" s="3687"/>
      <c r="R22" s="490"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7"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M47" sqref="M4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3689</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2708</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11260</v>
      </c>
      <c r="C3" s="852" t="s">
        <v>722</v>
      </c>
      <c r="D3" s="851">
        <f>SUMIF('数据-汇总表'!$C19:$C33,D1,'数据-汇总表'!$E19:$E33)</f>
        <v>2405.0100000000002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79" t="s">
        <v>522</v>
      </c>
      <c r="D4" s="3580"/>
      <c r="E4" s="3603" t="s">
        <v>523</v>
      </c>
      <c r="F4" s="3604"/>
      <c r="G4" s="3579" t="s">
        <v>524</v>
      </c>
      <c r="H4" s="3580"/>
      <c r="I4" s="3579" t="s">
        <v>525</v>
      </c>
      <c r="J4" s="3580"/>
      <c r="K4" s="853" t="s">
        <v>526</v>
      </c>
      <c r="L4" s="2115"/>
      <c r="M4" s="2116"/>
      <c r="N4" s="2116"/>
      <c r="O4" s="2116"/>
      <c r="P4" s="3581" t="s">
        <v>527</v>
      </c>
      <c r="Q4" s="3582"/>
      <c r="R4" s="3567" t="s">
        <v>523</v>
      </c>
      <c r="S4" s="3568"/>
      <c r="T4" s="3567" t="s">
        <v>524</v>
      </c>
      <c r="U4" s="3568"/>
      <c r="V4" s="3587" t="s">
        <v>525</v>
      </c>
      <c r="W4" s="3587"/>
      <c r="X4" s="3371"/>
      <c r="Y4" s="3567" t="s">
        <v>527</v>
      </c>
      <c r="Z4" s="3568"/>
      <c r="AA4" s="3562" t="s">
        <v>523</v>
      </c>
      <c r="AB4" s="3562" t="s">
        <v>524</v>
      </c>
      <c r="AC4" s="3562" t="s">
        <v>525</v>
      </c>
    </row>
    <row r="5" spans="1:29" ht="15">
      <c r="A5" s="515"/>
      <c r="B5" s="516"/>
      <c r="C5" s="3590" t="s">
        <v>2923</v>
      </c>
      <c r="D5" s="3591"/>
      <c r="E5" s="3674" t="str">
        <f>'不动产比较法-住宅高层'!E5:F5</f>
        <v>森林新都孔雀城</v>
      </c>
      <c r="F5" s="3606"/>
      <c r="G5" s="3675" t="s">
        <v>3680</v>
      </c>
      <c r="H5" s="3591"/>
      <c r="I5" s="3675" t="s">
        <v>3665</v>
      </c>
      <c r="J5" s="3591"/>
      <c r="K5" s="854"/>
      <c r="L5" s="2115"/>
      <c r="M5" s="2116"/>
      <c r="N5" s="2116"/>
      <c r="O5" s="2116"/>
      <c r="P5" s="3583"/>
      <c r="Q5" s="3584"/>
      <c r="R5" s="3569"/>
      <c r="S5" s="3570"/>
      <c r="T5" s="3569"/>
      <c r="U5" s="3570"/>
      <c r="V5" s="3587"/>
      <c r="W5" s="3587"/>
      <c r="X5" s="3371"/>
      <c r="Y5" s="3569"/>
      <c r="Z5" s="3570"/>
      <c r="AA5" s="3563"/>
      <c r="AB5" s="3563"/>
      <c r="AC5" s="3563"/>
    </row>
    <row r="6" spans="1:29" ht="15.75" thickBot="1">
      <c r="A6" s="517"/>
      <c r="B6" s="518"/>
      <c r="C6" s="3588" t="s">
        <v>2927</v>
      </c>
      <c r="D6" s="3589"/>
      <c r="E6" s="3676" t="str">
        <f>'不动产比较法-住宅高层'!E6:F6</f>
        <v>永清高新区京台高速出口</v>
      </c>
      <c r="F6" s="3608"/>
      <c r="G6" s="3677" t="s">
        <v>3681</v>
      </c>
      <c r="H6" s="3589"/>
      <c r="I6" s="3677" t="s">
        <v>3666</v>
      </c>
      <c r="J6" s="3589"/>
      <c r="K6" s="854" t="s">
        <v>528</v>
      </c>
      <c r="L6" s="2115"/>
      <c r="M6" s="2116"/>
      <c r="N6" s="2116"/>
      <c r="O6" s="2116"/>
      <c r="P6" s="3585"/>
      <c r="Q6" s="3586"/>
      <c r="R6" s="3569"/>
      <c r="S6" s="3570"/>
      <c r="T6" s="3571"/>
      <c r="U6" s="3572"/>
      <c r="V6" s="3587"/>
      <c r="W6" s="3587"/>
      <c r="X6" s="3371"/>
      <c r="Y6" s="3571"/>
      <c r="Z6" s="3572"/>
      <c r="AA6" s="3564"/>
      <c r="AB6" s="3564"/>
      <c r="AC6" s="3564"/>
    </row>
    <row r="7" spans="1:29" s="1215" customFormat="1" ht="15.75" thickBot="1">
      <c r="A7" s="2864"/>
      <c r="B7" s="2871" t="s">
        <v>529</v>
      </c>
      <c r="C7" s="519">
        <f>'数据-取费表'!B2</f>
        <v>43763</v>
      </c>
      <c r="D7" s="520">
        <v>100</v>
      </c>
      <c r="E7" s="521">
        <f>C7</f>
        <v>43763</v>
      </c>
      <c r="F7" s="522">
        <f>SUMIF(58:58,YEAR(E7)&amp;"-"&amp;MONTH(E7),59:59)</f>
        <v>100</v>
      </c>
      <c r="G7" s="523">
        <f>E7</f>
        <v>43763</v>
      </c>
      <c r="H7" s="520">
        <f>SUMIF(58:58,YEAR(G7)&amp;"-"&amp;MONTH(G7),59:59)</f>
        <v>100</v>
      </c>
      <c r="I7" s="523">
        <f>C7</f>
        <v>43763</v>
      </c>
      <c r="J7" s="520">
        <f>SUMIF(58:58,YEAR(I7)&amp;"-"&amp;MONTH(I7),59:59)</f>
        <v>100</v>
      </c>
      <c r="K7" s="855"/>
      <c r="L7" s="2117"/>
      <c r="M7" s="2118"/>
      <c r="N7" s="2118"/>
      <c r="O7" s="2118"/>
      <c r="P7" s="3565" t="s">
        <v>530</v>
      </c>
      <c r="Q7" s="3574"/>
      <c r="R7" s="1551" t="s">
        <v>8</v>
      </c>
      <c r="S7" s="1552">
        <f t="shared" ref="S7:S15" si="0">F7</f>
        <v>100</v>
      </c>
      <c r="T7" s="1551" t="s">
        <v>8</v>
      </c>
      <c r="U7" s="1552">
        <f t="shared" ref="U7:U15" si="1">H7</f>
        <v>100</v>
      </c>
      <c r="V7" s="1551" t="s">
        <v>8</v>
      </c>
      <c r="W7" s="1552">
        <f t="shared" ref="W7:W15" si="2">J7</f>
        <v>100</v>
      </c>
      <c r="X7" s="1553"/>
      <c r="Y7" s="3565" t="s">
        <v>530</v>
      </c>
      <c r="Z7" s="3566"/>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65" t="s">
        <v>533</v>
      </c>
      <c r="Q8" s="3566"/>
      <c r="R8" s="1551" t="s">
        <v>8</v>
      </c>
      <c r="S8" s="1552">
        <f t="shared" si="0"/>
        <v>100</v>
      </c>
      <c r="T8" s="1551" t="s">
        <v>8</v>
      </c>
      <c r="U8" s="1552">
        <f t="shared" si="1"/>
        <v>100</v>
      </c>
      <c r="V8" s="1551" t="s">
        <v>8</v>
      </c>
      <c r="W8" s="1552">
        <f t="shared" si="2"/>
        <v>100</v>
      </c>
      <c r="X8" s="1553"/>
      <c r="Y8" s="3565" t="s">
        <v>533</v>
      </c>
      <c r="Z8" s="3566"/>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73" t="s">
        <v>535</v>
      </c>
      <c r="Q9" s="3368" t="str">
        <f t="shared" ref="Q9:Q15" si="6">B9</f>
        <v>用途</v>
      </c>
      <c r="R9" s="1551" t="s">
        <v>8</v>
      </c>
      <c r="S9" s="1552">
        <f t="shared" si="0"/>
        <v>100</v>
      </c>
      <c r="T9" s="1551" t="s">
        <v>8</v>
      </c>
      <c r="U9" s="1552">
        <f t="shared" si="1"/>
        <v>100</v>
      </c>
      <c r="V9" s="1551" t="s">
        <v>8</v>
      </c>
      <c r="W9" s="1552">
        <f t="shared" si="2"/>
        <v>100</v>
      </c>
      <c r="X9" s="1553"/>
      <c r="Y9" s="3530" t="s">
        <v>536</v>
      </c>
      <c r="Z9" s="3367"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73"/>
      <c r="Q10" s="3368" t="str">
        <f t="shared" si="6"/>
        <v>土地使用年限（年）</v>
      </c>
      <c r="R10" s="1551" t="s">
        <v>8</v>
      </c>
      <c r="S10" s="1552">
        <f t="shared" si="0"/>
        <v>100</v>
      </c>
      <c r="T10" s="1551" t="s">
        <v>8</v>
      </c>
      <c r="U10" s="1552">
        <f t="shared" si="1"/>
        <v>100</v>
      </c>
      <c r="V10" s="1551" t="s">
        <v>8</v>
      </c>
      <c r="W10" s="1552">
        <f t="shared" si="2"/>
        <v>100</v>
      </c>
      <c r="X10" s="1553"/>
      <c r="Y10" s="3530"/>
      <c r="Z10" s="3367" t="str">
        <f t="shared" si="7"/>
        <v>土地使用年限（年）</v>
      </c>
      <c r="AA10" s="1554">
        <f t="shared" si="3"/>
        <v>1</v>
      </c>
      <c r="AB10" s="1554">
        <f t="shared" si="4"/>
        <v>1</v>
      </c>
      <c r="AC10" s="1554">
        <f t="shared" si="5"/>
        <v>1</v>
      </c>
    </row>
    <row r="11" spans="1:29" ht="15">
      <c r="A11" s="2868"/>
      <c r="B11" s="2872" t="s">
        <v>2754</v>
      </c>
      <c r="C11" s="3361">
        <f>'数据-汇总表'!I6</f>
        <v>1.4</v>
      </c>
      <c r="D11" s="255">
        <v>100</v>
      </c>
      <c r="E11" s="534">
        <v>1.02</v>
      </c>
      <c r="F11" s="863">
        <f>LOOKUP(E11,68:68,69:69)-LOOKUP(C11,68:68,69:69)+100</f>
        <v>100</v>
      </c>
      <c r="G11" s="533">
        <v>1.2</v>
      </c>
      <c r="H11" s="255">
        <f>LOOKUP(G11,68:68,69:69)-LOOKUP(C11,68:68,69:69)+100</f>
        <v>100</v>
      </c>
      <c r="I11" s="533">
        <v>1.2</v>
      </c>
      <c r="J11" s="255">
        <f>LOOKUP(I11,68:68,69:69)-LOOKUP(C11,68:68,69:69)+100</f>
        <v>100</v>
      </c>
      <c r="K11" s="864">
        <v>1</v>
      </c>
      <c r="L11" s="2122"/>
      <c r="M11" s="2116"/>
      <c r="N11" s="2116"/>
      <c r="O11" s="2123"/>
      <c r="P11" s="3573"/>
      <c r="Q11" s="3368" t="str">
        <f t="shared" si="6"/>
        <v>容积率</v>
      </c>
      <c r="R11" s="1551" t="s">
        <v>8</v>
      </c>
      <c r="S11" s="1552">
        <f t="shared" si="0"/>
        <v>100</v>
      </c>
      <c r="T11" s="1551" t="s">
        <v>8</v>
      </c>
      <c r="U11" s="1552">
        <f t="shared" si="1"/>
        <v>100</v>
      </c>
      <c r="V11" s="1551" t="s">
        <v>8</v>
      </c>
      <c r="W11" s="1552">
        <f t="shared" si="2"/>
        <v>100</v>
      </c>
      <c r="X11" s="1553"/>
      <c r="Y11" s="3530"/>
      <c r="Z11" s="3367" t="str">
        <f t="shared" si="7"/>
        <v>容积率</v>
      </c>
      <c r="AA11" s="1554">
        <f t="shared" si="3"/>
        <v>1</v>
      </c>
      <c r="AB11" s="1554">
        <f t="shared" si="4"/>
        <v>1</v>
      </c>
      <c r="AC11" s="1554">
        <f t="shared" si="5"/>
        <v>1</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73"/>
      <c r="Q12" s="3368">
        <f t="shared" si="6"/>
        <v>111</v>
      </c>
      <c r="R12" s="1551" t="s">
        <v>8</v>
      </c>
      <c r="S12" s="1552">
        <f t="shared" si="0"/>
        <v>100</v>
      </c>
      <c r="T12" s="1551" t="s">
        <v>8</v>
      </c>
      <c r="U12" s="1552">
        <f t="shared" si="1"/>
        <v>100</v>
      </c>
      <c r="V12" s="1551" t="s">
        <v>8</v>
      </c>
      <c r="W12" s="1552">
        <f t="shared" si="2"/>
        <v>100</v>
      </c>
      <c r="X12" s="1553"/>
      <c r="Y12" s="3530"/>
      <c r="Z12" s="3367">
        <f t="shared" si="7"/>
        <v>111</v>
      </c>
      <c r="AA12" s="1554">
        <f>D12/F12</f>
        <v>1</v>
      </c>
      <c r="AB12" s="1554">
        <f>D12/H12</f>
        <v>1</v>
      </c>
      <c r="AC12" s="1554">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73"/>
      <c r="Q13" s="3368">
        <f t="shared" si="6"/>
        <v>111</v>
      </c>
      <c r="R13" s="1551" t="s">
        <v>8</v>
      </c>
      <c r="S13" s="1552">
        <f t="shared" si="0"/>
        <v>100</v>
      </c>
      <c r="T13" s="1551" t="s">
        <v>8</v>
      </c>
      <c r="U13" s="1552">
        <f t="shared" si="1"/>
        <v>100</v>
      </c>
      <c r="V13" s="1551" t="s">
        <v>8</v>
      </c>
      <c r="W13" s="1552">
        <f t="shared" si="2"/>
        <v>100</v>
      </c>
      <c r="X13" s="1553"/>
      <c r="Y13" s="3530"/>
      <c r="Z13" s="3367">
        <f t="shared" si="7"/>
        <v>111</v>
      </c>
      <c r="AA13" s="1554">
        <f t="shared" si="3"/>
        <v>1</v>
      </c>
      <c r="AB13" s="1554">
        <f t="shared" si="4"/>
        <v>1</v>
      </c>
      <c r="AC13" s="1554">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73"/>
      <c r="Q14" s="3368">
        <f t="shared" si="6"/>
        <v>111</v>
      </c>
      <c r="R14" s="1551" t="s">
        <v>8</v>
      </c>
      <c r="S14" s="1552">
        <f t="shared" si="0"/>
        <v>100</v>
      </c>
      <c r="T14" s="1551" t="s">
        <v>8</v>
      </c>
      <c r="U14" s="1552">
        <f t="shared" si="1"/>
        <v>100</v>
      </c>
      <c r="V14" s="1551" t="s">
        <v>8</v>
      </c>
      <c r="W14" s="1552">
        <f t="shared" si="2"/>
        <v>100</v>
      </c>
      <c r="X14" s="1553"/>
      <c r="Y14" s="3530"/>
      <c r="Z14" s="3367">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75" t="s">
        <v>540</v>
      </c>
      <c r="Q15" s="3369" t="str">
        <f t="shared" si="6"/>
        <v>居住社区成熟度</v>
      </c>
      <c r="R15" s="1556" t="s">
        <v>8</v>
      </c>
      <c r="S15" s="1557">
        <f t="shared" si="0"/>
        <v>100</v>
      </c>
      <c r="T15" s="1556" t="s">
        <v>8</v>
      </c>
      <c r="U15" s="1557">
        <f t="shared" si="1"/>
        <v>100</v>
      </c>
      <c r="V15" s="1556" t="s">
        <v>8</v>
      </c>
      <c r="W15" s="1557">
        <f t="shared" si="2"/>
        <v>100</v>
      </c>
      <c r="X15" s="3371"/>
      <c r="Y15" s="3575" t="s">
        <v>540</v>
      </c>
      <c r="Z15" s="3370" t="str">
        <f t="shared" si="7"/>
        <v>居住社区成熟度</v>
      </c>
      <c r="AA15" s="3372">
        <f t="shared" si="3"/>
        <v>1</v>
      </c>
      <c r="AB15" s="3372">
        <f t="shared" si="4"/>
        <v>1</v>
      </c>
      <c r="AC15" s="3372">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76"/>
      <c r="Q16" s="3369"/>
      <c r="R16" s="1556"/>
      <c r="S16" s="1557"/>
      <c r="T16" s="1556"/>
      <c r="U16" s="1557"/>
      <c r="V16" s="1556"/>
      <c r="W16" s="1557"/>
      <c r="X16" s="3371"/>
      <c r="Y16" s="3576"/>
      <c r="Z16" s="3370"/>
      <c r="AA16" s="3372">
        <v>1</v>
      </c>
      <c r="AB16" s="3372">
        <v>1</v>
      </c>
      <c r="AC16" s="337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76"/>
      <c r="Q17" s="3369" t="str">
        <f>B17</f>
        <v>交通便捷度</v>
      </c>
      <c r="R17" s="1556" t="s">
        <v>8</v>
      </c>
      <c r="S17" s="1557">
        <f>F17</f>
        <v>100</v>
      </c>
      <c r="T17" s="1556" t="s">
        <v>8</v>
      </c>
      <c r="U17" s="1557">
        <f>H17</f>
        <v>100</v>
      </c>
      <c r="V17" s="1556" t="s">
        <v>8</v>
      </c>
      <c r="W17" s="1557">
        <f>J17</f>
        <v>100</v>
      </c>
      <c r="X17" s="3371"/>
      <c r="Y17" s="3576"/>
      <c r="Z17" s="3370" t="str">
        <f>Q17</f>
        <v>交通便捷度</v>
      </c>
      <c r="AA17" s="3372">
        <f t="shared" si="3"/>
        <v>1</v>
      </c>
      <c r="AB17" s="3372">
        <f t="shared" si="4"/>
        <v>1</v>
      </c>
      <c r="AC17" s="3372">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76"/>
      <c r="Q18" s="3369"/>
      <c r="R18" s="1556"/>
      <c r="S18" s="1557"/>
      <c r="T18" s="1556"/>
      <c r="U18" s="1557"/>
      <c r="V18" s="1556"/>
      <c r="W18" s="1557"/>
      <c r="X18" s="3371"/>
      <c r="Y18" s="3576"/>
      <c r="Z18" s="3370"/>
      <c r="AA18" s="3372">
        <v>1</v>
      </c>
      <c r="AB18" s="3372">
        <v>1</v>
      </c>
      <c r="AC18" s="3372">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76"/>
      <c r="Q19" s="3369" t="str">
        <f>B19</f>
        <v>公共配套设施</v>
      </c>
      <c r="R19" s="1556" t="s">
        <v>8</v>
      </c>
      <c r="S19" s="1557">
        <f>F19</f>
        <v>100</v>
      </c>
      <c r="T19" s="1556" t="s">
        <v>8</v>
      </c>
      <c r="U19" s="1557">
        <f>H19</f>
        <v>100</v>
      </c>
      <c r="V19" s="1556" t="s">
        <v>8</v>
      </c>
      <c r="W19" s="1557">
        <f>J19</f>
        <v>100</v>
      </c>
      <c r="X19" s="3371"/>
      <c r="Y19" s="3576"/>
      <c r="Z19" s="3370" t="str">
        <f>Q19</f>
        <v>公共配套设施</v>
      </c>
      <c r="AA19" s="3372">
        <f t="shared" si="3"/>
        <v>1</v>
      </c>
      <c r="AB19" s="3372">
        <f t="shared" si="4"/>
        <v>1</v>
      </c>
      <c r="AC19" s="3372">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76"/>
      <c r="Q20" s="3369"/>
      <c r="R20" s="1556"/>
      <c r="S20" s="1557"/>
      <c r="T20" s="1556"/>
      <c r="U20" s="1557"/>
      <c r="V20" s="1556"/>
      <c r="W20" s="1557"/>
      <c r="X20" s="3371"/>
      <c r="Y20" s="3576"/>
      <c r="Z20" s="3370"/>
      <c r="AA20" s="3372">
        <v>1</v>
      </c>
      <c r="AB20" s="3372">
        <v>1</v>
      </c>
      <c r="AC20" s="3372">
        <v>1</v>
      </c>
    </row>
    <row r="21" spans="1:29" ht="15">
      <c r="A21" s="532"/>
      <c r="B21" s="2554" t="s">
        <v>2544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76"/>
      <c r="Q21" s="3369" t="str">
        <f>B21</f>
        <v>基础设施水平</v>
      </c>
      <c r="R21" s="1556" t="s">
        <v>8</v>
      </c>
      <c r="S21" s="1557">
        <f>F21</f>
        <v>100</v>
      </c>
      <c r="T21" s="1556" t="s">
        <v>8</v>
      </c>
      <c r="U21" s="1557">
        <f>H21</f>
        <v>100</v>
      </c>
      <c r="V21" s="1556" t="s">
        <v>8</v>
      </c>
      <c r="W21" s="1557">
        <f>J21</f>
        <v>100</v>
      </c>
      <c r="X21" s="3371"/>
      <c r="Y21" s="3576"/>
      <c r="Z21" s="3370" t="str">
        <f>Q21</f>
        <v>基础设施水平</v>
      </c>
      <c r="AA21" s="3372">
        <f t="shared" ref="AA21" si="8">D21/F21</f>
        <v>1</v>
      </c>
      <c r="AB21" s="3372">
        <f t="shared" ref="AB21" si="9">D21/H21</f>
        <v>1</v>
      </c>
      <c r="AC21" s="3372">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76"/>
      <c r="Q22" s="3369"/>
      <c r="R22" s="1556"/>
      <c r="S22" s="1557"/>
      <c r="T22" s="1556"/>
      <c r="U22" s="1557"/>
      <c r="V22" s="1556"/>
      <c r="W22" s="1557"/>
      <c r="X22" s="3371"/>
      <c r="Y22" s="3576"/>
      <c r="Z22" s="3370"/>
      <c r="AA22" s="3372">
        <v>1</v>
      </c>
      <c r="AB22" s="3372">
        <v>1</v>
      </c>
      <c r="AC22" s="337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76"/>
      <c r="Q23" s="3369" t="str">
        <f>B23</f>
        <v>自然及人文环境</v>
      </c>
      <c r="R23" s="1556" t="s">
        <v>8</v>
      </c>
      <c r="S23" s="1557">
        <f>F23</f>
        <v>100</v>
      </c>
      <c r="T23" s="1556" t="s">
        <v>8</v>
      </c>
      <c r="U23" s="1557">
        <f>H23</f>
        <v>100</v>
      </c>
      <c r="V23" s="1556" t="s">
        <v>8</v>
      </c>
      <c r="W23" s="1557">
        <f>J23</f>
        <v>100</v>
      </c>
      <c r="X23" s="3371"/>
      <c r="Y23" s="3576"/>
      <c r="Z23" s="3370" t="str">
        <f>Q23</f>
        <v>自然及人文环境</v>
      </c>
      <c r="AA23" s="3372">
        <f t="shared" si="3"/>
        <v>1</v>
      </c>
      <c r="AB23" s="3372">
        <f t="shared" si="4"/>
        <v>1</v>
      </c>
      <c r="AC23" s="3372">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76"/>
      <c r="Q24" s="3369"/>
      <c r="R24" s="1556"/>
      <c r="S24" s="1557"/>
      <c r="T24" s="1556"/>
      <c r="U24" s="1557"/>
      <c r="V24" s="1556"/>
      <c r="W24" s="1557"/>
      <c r="X24" s="3371"/>
      <c r="Y24" s="3576"/>
      <c r="Z24" s="3370"/>
      <c r="AA24" s="3372">
        <v>1</v>
      </c>
      <c r="AB24" s="3372">
        <v>1</v>
      </c>
      <c r="AC24" s="3372">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76"/>
      <c r="Q25" s="3369" t="str">
        <f t="shared" ref="Q25:Q46" si="11">B25</f>
        <v>楼层-1</v>
      </c>
      <c r="R25" s="1556" t="s">
        <v>8</v>
      </c>
      <c r="S25" s="1557">
        <f>F25</f>
        <v>100</v>
      </c>
      <c r="T25" s="1556" t="s">
        <v>8</v>
      </c>
      <c r="U25" s="1557">
        <f>H25</f>
        <v>100</v>
      </c>
      <c r="V25" s="1556" t="s">
        <v>8</v>
      </c>
      <c r="W25" s="1557">
        <f>J25</f>
        <v>100</v>
      </c>
      <c r="X25" s="3371"/>
      <c r="Y25" s="3576"/>
      <c r="Z25" s="3370" t="str">
        <f>Q25</f>
        <v>楼层-1</v>
      </c>
      <c r="AA25" s="3372">
        <f t="shared" si="3"/>
        <v>1</v>
      </c>
      <c r="AB25" s="3372">
        <f t="shared" si="4"/>
        <v>1</v>
      </c>
      <c r="AC25" s="3372">
        <f t="shared" si="5"/>
        <v>1</v>
      </c>
    </row>
    <row r="26" spans="1:29" ht="15">
      <c r="A26" s="532"/>
      <c r="B26" s="527" t="s">
        <v>723</v>
      </c>
      <c r="C26" s="574" t="s">
        <v>3682</v>
      </c>
      <c r="D26" s="540">
        <v>100</v>
      </c>
      <c r="E26" s="574" t="s">
        <v>3682</v>
      </c>
      <c r="F26" s="575">
        <f>SUMIF(88:88,E26,89:89)-SUMIF(88:88,C26,89:89)+100</f>
        <v>100</v>
      </c>
      <c r="G26" s="574" t="s">
        <v>3682</v>
      </c>
      <c r="H26" s="540">
        <f>SUMIF(88:88,G26,89:89)-SUMIF(88:88,C26,89:89)+100</f>
        <v>100</v>
      </c>
      <c r="I26" s="574" t="s">
        <v>3682</v>
      </c>
      <c r="J26" s="540">
        <f>SUMIF(88:88,I26,89:89)-SUMIF(88:88,C26,89:89)+100</f>
        <v>100</v>
      </c>
      <c r="K26" s="864">
        <v>1</v>
      </c>
      <c r="L26" s="2124"/>
      <c r="M26" s="2116"/>
      <c r="N26" s="2116"/>
      <c r="O26" s="2123"/>
      <c r="P26" s="3576"/>
      <c r="Q26" s="3369" t="str">
        <f t="shared" si="11"/>
        <v>朝向</v>
      </c>
      <c r="R26" s="1556" t="s">
        <v>8</v>
      </c>
      <c r="S26" s="1557">
        <f>F26</f>
        <v>100</v>
      </c>
      <c r="T26" s="1556" t="s">
        <v>8</v>
      </c>
      <c r="U26" s="1557">
        <f>H26</f>
        <v>100</v>
      </c>
      <c r="V26" s="1556" t="s">
        <v>8</v>
      </c>
      <c r="W26" s="1557">
        <f>J26</f>
        <v>100</v>
      </c>
      <c r="X26" s="3371"/>
      <c r="Y26" s="3576"/>
      <c r="Z26" s="3370" t="str">
        <f>Q26</f>
        <v>朝向</v>
      </c>
      <c r="AA26" s="3372">
        <f t="shared" si="3"/>
        <v>1</v>
      </c>
      <c r="AB26" s="3372">
        <f t="shared" si="4"/>
        <v>1</v>
      </c>
      <c r="AC26" s="3372">
        <f t="shared" si="5"/>
        <v>1</v>
      </c>
    </row>
    <row r="27" spans="1:29" s="1215" customFormat="1" ht="15.75" thickBot="1">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76"/>
      <c r="Q27" s="3368" t="str">
        <f t="shared" si="11"/>
        <v>道路级别</v>
      </c>
      <c r="R27" s="1551" t="s">
        <v>8</v>
      </c>
      <c r="S27" s="1552">
        <f>F27</f>
        <v>100</v>
      </c>
      <c r="T27" s="1551" t="s">
        <v>8</v>
      </c>
      <c r="U27" s="1552">
        <f>H27</f>
        <v>100</v>
      </c>
      <c r="V27" s="1551" t="s">
        <v>8</v>
      </c>
      <c r="W27" s="1552">
        <f>J27</f>
        <v>100</v>
      </c>
      <c r="X27" s="1553"/>
      <c r="Y27" s="3576"/>
      <c r="Z27" s="3367" t="str">
        <f>Q27</f>
        <v>道路级别</v>
      </c>
      <c r="AA27" s="3372">
        <f>D27/F27</f>
        <v>1</v>
      </c>
      <c r="AB27" s="3372">
        <f>D27/H27</f>
        <v>1</v>
      </c>
      <c r="AC27" s="337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76"/>
      <c r="Q28" s="3369">
        <f t="shared" si="11"/>
        <v>111</v>
      </c>
      <c r="R28" s="1556" t="s">
        <v>8</v>
      </c>
      <c r="S28" s="1557">
        <f t="shared" ref="S28:S46" si="12">F28</f>
        <v>100</v>
      </c>
      <c r="T28" s="1556" t="s">
        <v>8</v>
      </c>
      <c r="U28" s="1557">
        <f t="shared" ref="U28:U46" si="13">H28</f>
        <v>100</v>
      </c>
      <c r="V28" s="1556" t="s">
        <v>8</v>
      </c>
      <c r="W28" s="1557">
        <f t="shared" ref="W28:W46" si="14">J28</f>
        <v>100</v>
      </c>
      <c r="X28" s="3371"/>
      <c r="Y28" s="3576"/>
      <c r="Z28" s="3370">
        <f t="shared" ref="Z28:Z46" si="15">Q28</f>
        <v>111</v>
      </c>
      <c r="AA28" s="3372">
        <f t="shared" si="3"/>
        <v>1</v>
      </c>
      <c r="AB28" s="3372">
        <f t="shared" si="4"/>
        <v>1</v>
      </c>
      <c r="AC28" s="337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76"/>
      <c r="Q29" s="3369">
        <f t="shared" si="11"/>
        <v>111</v>
      </c>
      <c r="R29" s="1556" t="s">
        <v>8</v>
      </c>
      <c r="S29" s="1557">
        <f t="shared" si="12"/>
        <v>100</v>
      </c>
      <c r="T29" s="1556" t="s">
        <v>8</v>
      </c>
      <c r="U29" s="1557">
        <f t="shared" si="13"/>
        <v>100</v>
      </c>
      <c r="V29" s="1556" t="s">
        <v>8</v>
      </c>
      <c r="W29" s="1557">
        <f t="shared" si="14"/>
        <v>100</v>
      </c>
      <c r="X29" s="3371"/>
      <c r="Y29" s="3576"/>
      <c r="Z29" s="3370">
        <f t="shared" si="15"/>
        <v>111</v>
      </c>
      <c r="AA29" s="3372">
        <f t="shared" si="3"/>
        <v>1</v>
      </c>
      <c r="AB29" s="3372">
        <f t="shared" si="4"/>
        <v>1</v>
      </c>
      <c r="AC29" s="337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76"/>
      <c r="Q30" s="3369">
        <f t="shared" si="11"/>
        <v>111</v>
      </c>
      <c r="R30" s="1556" t="s">
        <v>8</v>
      </c>
      <c r="S30" s="1557">
        <f t="shared" si="12"/>
        <v>100</v>
      </c>
      <c r="T30" s="1556" t="s">
        <v>8</v>
      </c>
      <c r="U30" s="1557">
        <f t="shared" si="13"/>
        <v>100</v>
      </c>
      <c r="V30" s="1556" t="s">
        <v>8</v>
      </c>
      <c r="W30" s="1557">
        <f t="shared" si="14"/>
        <v>100</v>
      </c>
      <c r="X30" s="3371"/>
      <c r="Y30" s="3576"/>
      <c r="Z30" s="3370">
        <f t="shared" si="15"/>
        <v>111</v>
      </c>
      <c r="AA30" s="3372">
        <f t="shared" si="3"/>
        <v>1</v>
      </c>
      <c r="AB30" s="3372">
        <f t="shared" si="4"/>
        <v>1</v>
      </c>
      <c r="AC30" s="337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76"/>
      <c r="Q31" s="3369">
        <f t="shared" si="11"/>
        <v>111</v>
      </c>
      <c r="R31" s="1556" t="s">
        <v>8</v>
      </c>
      <c r="S31" s="1557">
        <f t="shared" si="12"/>
        <v>100</v>
      </c>
      <c r="T31" s="1556" t="s">
        <v>8</v>
      </c>
      <c r="U31" s="1557">
        <f t="shared" si="13"/>
        <v>100</v>
      </c>
      <c r="V31" s="1556" t="s">
        <v>8</v>
      </c>
      <c r="W31" s="1557">
        <f t="shared" si="14"/>
        <v>100</v>
      </c>
      <c r="X31" s="3371"/>
      <c r="Y31" s="3576"/>
      <c r="Z31" s="3370">
        <f t="shared" si="15"/>
        <v>111</v>
      </c>
      <c r="AA31" s="3372">
        <f t="shared" si="3"/>
        <v>1</v>
      </c>
      <c r="AB31" s="3372">
        <f t="shared" si="4"/>
        <v>1</v>
      </c>
      <c r="AC31" s="3372">
        <f t="shared" si="5"/>
        <v>1</v>
      </c>
    </row>
    <row r="32" spans="1:29" ht="15">
      <c r="A32" s="2859" t="s">
        <v>2751</v>
      </c>
      <c r="B32" s="172" t="s">
        <v>725</v>
      </c>
      <c r="C32" s="878" t="s">
        <v>3689</v>
      </c>
      <c r="D32" s="597">
        <v>100</v>
      </c>
      <c r="E32" s="878" t="s">
        <v>3689</v>
      </c>
      <c r="F32" s="575">
        <f>SUMIF(100:100,E32,101:101)-SUMIF(100:100,C32,101:101)+100</f>
        <v>100</v>
      </c>
      <c r="G32" s="878" t="s">
        <v>3689</v>
      </c>
      <c r="H32" s="597">
        <f>SUMIF(100:100,G32,101:101)-SUMIF(100:100,C32,101:101)+100</f>
        <v>100</v>
      </c>
      <c r="I32" s="878" t="s">
        <v>3689</v>
      </c>
      <c r="J32" s="540">
        <f>SUMIF(100:100,I32,101:101)-SUMIF(100:100,C32,101:101)+100</f>
        <v>100</v>
      </c>
      <c r="K32" s="864">
        <v>2</v>
      </c>
      <c r="L32" s="2124"/>
      <c r="M32" s="2116"/>
      <c r="N32" s="2116"/>
      <c r="O32" s="2123"/>
      <c r="P32" s="3577" t="s">
        <v>550</v>
      </c>
      <c r="Q32" s="3369" t="str">
        <f t="shared" si="11"/>
        <v>建筑类型</v>
      </c>
      <c r="R32" s="1556" t="s">
        <v>8</v>
      </c>
      <c r="S32" s="1557">
        <f t="shared" si="12"/>
        <v>100</v>
      </c>
      <c r="T32" s="1556" t="s">
        <v>8</v>
      </c>
      <c r="U32" s="1557">
        <f t="shared" si="13"/>
        <v>100</v>
      </c>
      <c r="V32" s="1556" t="s">
        <v>8</v>
      </c>
      <c r="W32" s="1557">
        <f t="shared" si="14"/>
        <v>100</v>
      </c>
      <c r="X32" s="3371"/>
      <c r="Y32" s="3578" t="s">
        <v>550</v>
      </c>
      <c r="Z32" s="3370" t="str">
        <f t="shared" si="15"/>
        <v>建筑类型</v>
      </c>
      <c r="AA32" s="3372">
        <f t="shared" si="3"/>
        <v>1</v>
      </c>
      <c r="AB32" s="3372">
        <f t="shared" si="4"/>
        <v>1</v>
      </c>
      <c r="AC32" s="3372">
        <f t="shared" si="5"/>
        <v>1</v>
      </c>
    </row>
    <row r="33" spans="1:29" s="1334" customFormat="1" ht="15">
      <c r="A33" s="603"/>
      <c r="B33" s="527" t="s">
        <v>726</v>
      </c>
      <c r="C33" s="879">
        <f>'数据-基础表'!G5</f>
        <v>790993.2</v>
      </c>
      <c r="D33" s="255">
        <v>100</v>
      </c>
      <c r="E33" s="534">
        <v>73429</v>
      </c>
      <c r="F33" s="863">
        <f>LOOKUP(E33,103:103,104:104)-LOOKUP(C33,103:103,104:104)+100</f>
        <v>92</v>
      </c>
      <c r="G33" s="533">
        <v>131241.51</v>
      </c>
      <c r="H33" s="255">
        <f>LOOKUP(G33,103:103,104:104)-LOOKUP(C33,103:103,104:104)+100</f>
        <v>94</v>
      </c>
      <c r="I33" s="534">
        <v>262458</v>
      </c>
      <c r="J33" s="255">
        <f>LOOKUP(I33,103:103,104:104)-LOOKUP(C33,103:103,104:104)+100</f>
        <v>96</v>
      </c>
      <c r="K33" s="865"/>
      <c r="L33" s="2122"/>
      <c r="M33" s="2153"/>
      <c r="N33" s="2153"/>
      <c r="O33" s="2125"/>
      <c r="P33" s="3578"/>
      <c r="Q33" s="1587" t="str">
        <f t="shared" si="11"/>
        <v>项目建筑规模</v>
      </c>
      <c r="R33" s="1560" t="s">
        <v>8</v>
      </c>
      <c r="S33" s="1561">
        <f t="shared" si="12"/>
        <v>92</v>
      </c>
      <c r="T33" s="1560" t="s">
        <v>8</v>
      </c>
      <c r="U33" s="1561">
        <f t="shared" si="13"/>
        <v>94</v>
      </c>
      <c r="V33" s="1560" t="s">
        <v>8</v>
      </c>
      <c r="W33" s="1561">
        <f t="shared" si="14"/>
        <v>96</v>
      </c>
      <c r="X33" s="1562"/>
      <c r="Y33" s="3578"/>
      <c r="Z33" s="1563" t="str">
        <f t="shared" si="15"/>
        <v>项目建筑规模</v>
      </c>
      <c r="AA33" s="3372">
        <f t="shared" si="3"/>
        <v>1.0869565217391304</v>
      </c>
      <c r="AB33" s="3372">
        <f t="shared" si="4"/>
        <v>1.0638297872340425</v>
      </c>
      <c r="AC33" s="3372">
        <f t="shared" si="5"/>
        <v>1.0416666666666667</v>
      </c>
    </row>
    <row r="34" spans="1:29" ht="15">
      <c r="A34" s="594"/>
      <c r="B34" s="527" t="s">
        <v>727</v>
      </c>
      <c r="C34" s="880" t="s">
        <v>3135</v>
      </c>
      <c r="D34" s="540">
        <v>100</v>
      </c>
      <c r="E34" s="880" t="s">
        <v>3135</v>
      </c>
      <c r="F34" s="575">
        <f>SUMIF(105:105,E34,106:106)-SUMIF(105:105,C34,106:106)+100</f>
        <v>100</v>
      </c>
      <c r="G34" s="880" t="s">
        <v>3135</v>
      </c>
      <c r="H34" s="540">
        <f>SUMIF(105:105,G34,106:106)-SUMIF(105:105,C34,106:106)+100</f>
        <v>100</v>
      </c>
      <c r="I34" s="880" t="s">
        <v>3135</v>
      </c>
      <c r="J34" s="540">
        <f>SUMIF(105:105,I34,106:106)-SUMIF(105:105,C34,106:106)+100</f>
        <v>100</v>
      </c>
      <c r="K34" s="864">
        <v>1</v>
      </c>
      <c r="L34" s="2124"/>
      <c r="M34" s="2116"/>
      <c r="N34" s="2116"/>
      <c r="O34" s="2123"/>
      <c r="P34" s="3578"/>
      <c r="Q34" s="3369" t="str">
        <f t="shared" si="11"/>
        <v>建筑结构</v>
      </c>
      <c r="R34" s="1556" t="s">
        <v>8</v>
      </c>
      <c r="S34" s="1557">
        <f t="shared" si="12"/>
        <v>100</v>
      </c>
      <c r="T34" s="1556" t="s">
        <v>8</v>
      </c>
      <c r="U34" s="1557">
        <f t="shared" si="13"/>
        <v>100</v>
      </c>
      <c r="V34" s="1556" t="s">
        <v>8</v>
      </c>
      <c r="W34" s="1557">
        <f t="shared" si="14"/>
        <v>100</v>
      </c>
      <c r="X34" s="3371"/>
      <c r="Y34" s="3578"/>
      <c r="Z34" s="3370" t="str">
        <f t="shared" si="15"/>
        <v>建筑结构</v>
      </c>
      <c r="AA34" s="3372">
        <f t="shared" si="3"/>
        <v>1</v>
      </c>
      <c r="AB34" s="3372">
        <f t="shared" si="4"/>
        <v>1</v>
      </c>
      <c r="AC34" s="3372">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78"/>
      <c r="Q35" s="3369" t="str">
        <f t="shared" si="11"/>
        <v>建筑品质</v>
      </c>
      <c r="R35" s="1556" t="s">
        <v>8</v>
      </c>
      <c r="S35" s="1557">
        <f t="shared" si="12"/>
        <v>100</v>
      </c>
      <c r="T35" s="1556" t="s">
        <v>8</v>
      </c>
      <c r="U35" s="1557">
        <f t="shared" si="13"/>
        <v>100</v>
      </c>
      <c r="V35" s="1556" t="s">
        <v>8</v>
      </c>
      <c r="W35" s="1557">
        <f t="shared" si="14"/>
        <v>100</v>
      </c>
      <c r="X35" s="3371"/>
      <c r="Y35" s="3578"/>
      <c r="Z35" s="3370" t="str">
        <f t="shared" si="15"/>
        <v>建筑品质</v>
      </c>
      <c r="AA35" s="3372">
        <f t="shared" si="3"/>
        <v>1</v>
      </c>
      <c r="AB35" s="3372">
        <f t="shared" si="4"/>
        <v>1</v>
      </c>
      <c r="AC35" s="3372">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78"/>
      <c r="Q36" s="3369" t="str">
        <f t="shared" si="11"/>
        <v>公共部分装修</v>
      </c>
      <c r="R36" s="1556" t="s">
        <v>8</v>
      </c>
      <c r="S36" s="1557">
        <f t="shared" si="12"/>
        <v>100</v>
      </c>
      <c r="T36" s="1556" t="s">
        <v>8</v>
      </c>
      <c r="U36" s="1557">
        <f t="shared" si="13"/>
        <v>100</v>
      </c>
      <c r="V36" s="1556" t="s">
        <v>8</v>
      </c>
      <c r="W36" s="1557">
        <f t="shared" si="14"/>
        <v>100</v>
      </c>
      <c r="X36" s="3371"/>
      <c r="Y36" s="3578"/>
      <c r="Z36" s="3370" t="str">
        <f t="shared" si="15"/>
        <v>公共部分装修</v>
      </c>
      <c r="AA36" s="3372">
        <f t="shared" si="3"/>
        <v>1</v>
      </c>
      <c r="AB36" s="3372">
        <f t="shared" si="4"/>
        <v>1</v>
      </c>
      <c r="AC36" s="337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578"/>
      <c r="Q37" s="3368" t="str">
        <f t="shared" si="11"/>
        <v>成新度</v>
      </c>
      <c r="R37" s="1551" t="s">
        <v>8</v>
      </c>
      <c r="S37" s="1552">
        <f t="shared" si="12"/>
        <v>100</v>
      </c>
      <c r="T37" s="1551" t="s">
        <v>8</v>
      </c>
      <c r="U37" s="1552">
        <f t="shared" si="13"/>
        <v>100</v>
      </c>
      <c r="V37" s="1551" t="s">
        <v>8</v>
      </c>
      <c r="W37" s="1552">
        <f t="shared" si="14"/>
        <v>100</v>
      </c>
      <c r="X37" s="1553"/>
      <c r="Y37" s="3578"/>
      <c r="Z37" s="3367"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78" t="s">
        <v>550</v>
      </c>
      <c r="Q38" s="3369" t="str">
        <f t="shared" si="11"/>
        <v>物业管理</v>
      </c>
      <c r="R38" s="1556" t="s">
        <v>8</v>
      </c>
      <c r="S38" s="1557">
        <f t="shared" si="12"/>
        <v>100</v>
      </c>
      <c r="T38" s="1556" t="s">
        <v>8</v>
      </c>
      <c r="U38" s="1557">
        <f t="shared" si="13"/>
        <v>100</v>
      </c>
      <c r="V38" s="1556" t="s">
        <v>8</v>
      </c>
      <c r="W38" s="1557">
        <f t="shared" si="14"/>
        <v>100</v>
      </c>
      <c r="X38" s="3371"/>
      <c r="Y38" s="3578" t="s">
        <v>550</v>
      </c>
      <c r="Z38" s="3370" t="str">
        <f t="shared" si="15"/>
        <v>物业管理</v>
      </c>
      <c r="AA38" s="3372">
        <f t="shared" si="3"/>
        <v>1</v>
      </c>
      <c r="AB38" s="3372">
        <f t="shared" si="4"/>
        <v>1</v>
      </c>
      <c r="AC38" s="3372">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78"/>
      <c r="Q39" s="3369" t="str">
        <f t="shared" si="11"/>
        <v>市政基础设施</v>
      </c>
      <c r="R39" s="1556" t="s">
        <v>8</v>
      </c>
      <c r="S39" s="1557">
        <f t="shared" si="12"/>
        <v>100</v>
      </c>
      <c r="T39" s="1556" t="s">
        <v>8</v>
      </c>
      <c r="U39" s="1557">
        <f t="shared" si="13"/>
        <v>100</v>
      </c>
      <c r="V39" s="1556" t="s">
        <v>8</v>
      </c>
      <c r="W39" s="1557">
        <f t="shared" si="14"/>
        <v>100</v>
      </c>
      <c r="X39" s="3371"/>
      <c r="Y39" s="3578"/>
      <c r="Z39" s="3370" t="str">
        <f t="shared" si="15"/>
        <v>市政基础设施</v>
      </c>
      <c r="AA39" s="3372">
        <f t="shared" si="3"/>
        <v>1</v>
      </c>
      <c r="AB39" s="3372">
        <f t="shared" si="4"/>
        <v>1</v>
      </c>
      <c r="AC39" s="33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78"/>
      <c r="Q40" s="3369" t="str">
        <f t="shared" si="11"/>
        <v>房型</v>
      </c>
      <c r="R40" s="1556" t="s">
        <v>8</v>
      </c>
      <c r="S40" s="1557">
        <f t="shared" si="12"/>
        <v>100</v>
      </c>
      <c r="T40" s="1556" t="s">
        <v>8</v>
      </c>
      <c r="U40" s="1557">
        <f t="shared" si="13"/>
        <v>100</v>
      </c>
      <c r="V40" s="1556" t="s">
        <v>8</v>
      </c>
      <c r="W40" s="1557">
        <f t="shared" si="14"/>
        <v>100</v>
      </c>
      <c r="X40" s="3371"/>
      <c r="Y40" s="3578"/>
      <c r="Z40" s="3370" t="str">
        <f t="shared" si="15"/>
        <v>房型</v>
      </c>
      <c r="AA40" s="3372">
        <f t="shared" si="3"/>
        <v>1</v>
      </c>
      <c r="AB40" s="3372">
        <f t="shared" si="4"/>
        <v>1</v>
      </c>
      <c r="AC40" s="337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78"/>
      <c r="Q41" s="1587" t="str">
        <f t="shared" si="11"/>
        <v>单套/主力户型建筑面积</v>
      </c>
      <c r="R41" s="1560" t="s">
        <v>8</v>
      </c>
      <c r="S41" s="1561">
        <f t="shared" si="12"/>
        <v>100</v>
      </c>
      <c r="T41" s="1560" t="s">
        <v>8</v>
      </c>
      <c r="U41" s="1561">
        <f t="shared" si="13"/>
        <v>100</v>
      </c>
      <c r="V41" s="1560" t="s">
        <v>8</v>
      </c>
      <c r="W41" s="1561">
        <f t="shared" si="14"/>
        <v>100</v>
      </c>
      <c r="X41" s="1562"/>
      <c r="Y41" s="3578"/>
      <c r="Z41" s="1563" t="str">
        <f t="shared" si="15"/>
        <v>单套/主力户型建筑面积</v>
      </c>
      <c r="AA41" s="3372">
        <f t="shared" si="3"/>
        <v>1</v>
      </c>
      <c r="AB41" s="3372">
        <f t="shared" si="4"/>
        <v>1</v>
      </c>
      <c r="AC41" s="3372">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78"/>
      <c r="Q42" s="3369" t="str">
        <f t="shared" si="11"/>
        <v>内部装修</v>
      </c>
      <c r="R42" s="1556" t="s">
        <v>8</v>
      </c>
      <c r="S42" s="1557">
        <f t="shared" si="12"/>
        <v>100</v>
      </c>
      <c r="T42" s="1556" t="s">
        <v>8</v>
      </c>
      <c r="U42" s="1557">
        <f t="shared" si="13"/>
        <v>100</v>
      </c>
      <c r="V42" s="1556" t="s">
        <v>8</v>
      </c>
      <c r="W42" s="1557">
        <f t="shared" si="14"/>
        <v>100</v>
      </c>
      <c r="X42" s="3371"/>
      <c r="Y42" s="3578"/>
      <c r="Z42" s="3370" t="str">
        <f t="shared" si="15"/>
        <v>内部装修</v>
      </c>
      <c r="AA42" s="3372">
        <f t="shared" si="3"/>
        <v>1</v>
      </c>
      <c r="AB42" s="3372">
        <f t="shared" si="4"/>
        <v>1</v>
      </c>
      <c r="AC42" s="337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4"/>
      <c r="M43" s="2116"/>
      <c r="N43" s="2116"/>
      <c r="O43" s="2123"/>
      <c r="P43" s="3578"/>
      <c r="Q43" s="3369" t="str">
        <f t="shared" si="11"/>
        <v>内部装修维护情况</v>
      </c>
      <c r="R43" s="1556" t="s">
        <v>8</v>
      </c>
      <c r="S43" s="1557">
        <f t="shared" si="12"/>
        <v>100</v>
      </c>
      <c r="T43" s="1556" t="s">
        <v>8</v>
      </c>
      <c r="U43" s="1557">
        <f t="shared" si="13"/>
        <v>100</v>
      </c>
      <c r="V43" s="1556" t="s">
        <v>8</v>
      </c>
      <c r="W43" s="1557">
        <f t="shared" si="14"/>
        <v>100</v>
      </c>
      <c r="X43" s="3371"/>
      <c r="Y43" s="3578"/>
      <c r="Z43" s="3370" t="str">
        <f t="shared" si="15"/>
        <v>内部装修维护情况</v>
      </c>
      <c r="AA43" s="3372">
        <f t="shared" si="3"/>
        <v>1</v>
      </c>
      <c r="AB43" s="3372">
        <f t="shared" si="4"/>
        <v>1</v>
      </c>
      <c r="AC43" s="3372">
        <f t="shared" si="5"/>
        <v>1</v>
      </c>
    </row>
    <row r="44" spans="1:29" s="1215" customFormat="1" ht="15">
      <c r="A44" s="600"/>
      <c r="B44" s="3389" t="s">
        <v>3733</v>
      </c>
      <c r="C44" s="3390" t="s">
        <v>3734</v>
      </c>
      <c r="D44" s="255">
        <v>100</v>
      </c>
      <c r="E44" s="3390" t="s">
        <v>3734</v>
      </c>
      <c r="F44" s="863">
        <f>SUMIF(126:126,E44,127:127)-SUMIF(126:126,C44,127:127)+100</f>
        <v>100</v>
      </c>
      <c r="G44" s="3390" t="s">
        <v>3734</v>
      </c>
      <c r="H44" s="255">
        <f>SUMIF(126:126,G44,127:127)-SUMIF(126:126,C44,127:127)+100</f>
        <v>100</v>
      </c>
      <c r="I44" s="3390" t="s">
        <v>3735</v>
      </c>
      <c r="J44" s="255">
        <f>SUMIF(126:126,I44,127:127)-SUMIF(126:126,C44,127:127)+100</f>
        <v>95</v>
      </c>
      <c r="K44" s="865"/>
      <c r="L44" s="2117"/>
      <c r="M44" s="2118"/>
      <c r="N44" s="2118"/>
      <c r="O44" s="2119"/>
      <c r="P44" s="3578"/>
      <c r="Q44" s="3368" t="str">
        <f t="shared" si="11"/>
        <v>项目尾盘</v>
      </c>
      <c r="R44" s="1551" t="s">
        <v>8</v>
      </c>
      <c r="S44" s="1552">
        <f t="shared" si="12"/>
        <v>100</v>
      </c>
      <c r="T44" s="1551" t="s">
        <v>8</v>
      </c>
      <c r="U44" s="1552">
        <f t="shared" si="13"/>
        <v>100</v>
      </c>
      <c r="V44" s="1551" t="s">
        <v>8</v>
      </c>
      <c r="W44" s="1552">
        <f t="shared" si="14"/>
        <v>95</v>
      </c>
      <c r="X44" s="1553"/>
      <c r="Y44" s="3578"/>
      <c r="Z44" s="3367" t="str">
        <f t="shared" si="15"/>
        <v>项目尾盘</v>
      </c>
      <c r="AA44" s="1554">
        <f t="shared" si="3"/>
        <v>1</v>
      </c>
      <c r="AB44" s="1554">
        <f t="shared" si="4"/>
        <v>1</v>
      </c>
      <c r="AC44" s="1554">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78"/>
      <c r="Q45" s="3369">
        <f t="shared" si="11"/>
        <v>111</v>
      </c>
      <c r="R45" s="1556" t="s">
        <v>8</v>
      </c>
      <c r="S45" s="1557">
        <f t="shared" si="12"/>
        <v>100</v>
      </c>
      <c r="T45" s="1556" t="s">
        <v>8</v>
      </c>
      <c r="U45" s="1557">
        <f t="shared" si="13"/>
        <v>100</v>
      </c>
      <c r="V45" s="1556" t="s">
        <v>8</v>
      </c>
      <c r="W45" s="1557">
        <f t="shared" si="14"/>
        <v>100</v>
      </c>
      <c r="X45" s="3371"/>
      <c r="Y45" s="3578"/>
      <c r="Z45" s="3370">
        <f t="shared" si="15"/>
        <v>111</v>
      </c>
      <c r="AA45" s="3372">
        <f t="shared" si="3"/>
        <v>1</v>
      </c>
      <c r="AB45" s="3372">
        <f t="shared" si="4"/>
        <v>1</v>
      </c>
      <c r="AC45" s="337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80"/>
      <c r="Q46" s="3369">
        <f t="shared" si="11"/>
        <v>111</v>
      </c>
      <c r="R46" s="1556" t="s">
        <v>8</v>
      </c>
      <c r="S46" s="1557">
        <f t="shared" si="12"/>
        <v>100</v>
      </c>
      <c r="T46" s="1556" t="s">
        <v>8</v>
      </c>
      <c r="U46" s="1557">
        <f t="shared" si="13"/>
        <v>100</v>
      </c>
      <c r="V46" s="1556" t="s">
        <v>8</v>
      </c>
      <c r="W46" s="1557">
        <f t="shared" si="14"/>
        <v>100</v>
      </c>
      <c r="X46" s="3371"/>
      <c r="Y46" s="3680"/>
      <c r="Z46" s="3370">
        <f t="shared" si="15"/>
        <v>111</v>
      </c>
      <c r="AA46" s="3372">
        <f t="shared" si="3"/>
        <v>1</v>
      </c>
      <c r="AB46" s="3372">
        <f t="shared" si="4"/>
        <v>1</v>
      </c>
      <c r="AC46" s="3372">
        <f t="shared" si="5"/>
        <v>1</v>
      </c>
    </row>
    <row r="47" spans="1:29" ht="15">
      <c r="A47" s="607" t="s">
        <v>736</v>
      </c>
      <c r="B47" s="886"/>
      <c r="C47" s="2588" t="s">
        <v>9</v>
      </c>
      <c r="D47" s="2589"/>
      <c r="E47" s="2590">
        <v>11600</v>
      </c>
      <c r="F47" s="2591"/>
      <c r="G47" s="2592">
        <v>9800</v>
      </c>
      <c r="H47" s="2593"/>
      <c r="I47" s="2590">
        <v>9800</v>
      </c>
      <c r="J47" s="2593"/>
      <c r="K47" s="1588"/>
      <c r="L47" s="2126"/>
      <c r="M47" s="2127"/>
      <c r="N47" s="2116"/>
      <c r="O47" s="2127"/>
      <c r="P47" s="3573" t="str">
        <f>A47</f>
        <v>成交单价（元/平方米）</v>
      </c>
      <c r="Q47" s="3573"/>
      <c r="R47" s="3679">
        <f>E47</f>
        <v>11600</v>
      </c>
      <c r="S47" s="3679"/>
      <c r="T47" s="3679">
        <f>G47</f>
        <v>9800</v>
      </c>
      <c r="U47" s="3679"/>
      <c r="V47" s="3679">
        <f>I47</f>
        <v>9800</v>
      </c>
      <c r="W47" s="3679"/>
      <c r="X47" s="1542"/>
      <c r="Y47" s="1564"/>
      <c r="Z47" s="1542"/>
      <c r="AA47" s="1542"/>
      <c r="AB47" s="1542"/>
      <c r="AC47" s="1542"/>
    </row>
    <row r="48" spans="1:29" ht="15.75" thickBot="1">
      <c r="A48" s="615" t="s">
        <v>2689</v>
      </c>
      <c r="B48" s="887"/>
      <c r="C48" s="2594">
        <f>R49</f>
        <v>11260</v>
      </c>
      <c r="D48" s="2595"/>
      <c r="E48" s="2596">
        <f>R48</f>
        <v>12609</v>
      </c>
      <c r="F48" s="2596"/>
      <c r="G48" s="2594">
        <f>T48</f>
        <v>10426</v>
      </c>
      <c r="H48" s="2595"/>
      <c r="I48" s="2596">
        <f>V48</f>
        <v>10746</v>
      </c>
      <c r="J48" s="2595"/>
      <c r="K48" s="1589"/>
      <c r="L48" s="2126"/>
      <c r="M48" s="2127"/>
      <c r="N48" s="2127"/>
      <c r="O48" s="2127"/>
      <c r="P48" s="3573" t="str">
        <f>A48</f>
        <v>比较价格（元/平方米）</v>
      </c>
      <c r="Q48" s="3573"/>
      <c r="R48" s="3679">
        <f>IF(F1="售价",ROUND(PRODUCT(R47,AA7:AA46),0),ROUND(PRODUCT(R47,AA7:AA46),1))</f>
        <v>12609</v>
      </c>
      <c r="S48" s="3679"/>
      <c r="T48" s="3679">
        <f>IF(F1="售价",ROUND(PRODUCT(T47,AB7:AB46),0),ROUND(PRODUCT(T47,AB7:AB46),1))</f>
        <v>10426</v>
      </c>
      <c r="U48" s="3679"/>
      <c r="V48" s="3679">
        <f>IF(F1="售价",ROUND(PRODUCT(V47,AC7:AC46),0),ROUND(PRODUCT(V47,AC7:AC46),1))</f>
        <v>10746</v>
      </c>
      <c r="W48" s="3679"/>
      <c r="X48" s="1542"/>
      <c r="Y48" s="1542"/>
      <c r="Z48" s="1542"/>
      <c r="AA48" s="1542"/>
      <c r="AB48" s="1542"/>
      <c r="AC48" s="1542"/>
    </row>
    <row r="49" spans="1:29" ht="15.75" thickBot="1">
      <c r="A49" s="621" t="s">
        <v>2929</v>
      </c>
      <c r="B49" s="622"/>
      <c r="C49" s="2597">
        <f>R49</f>
        <v>11260</v>
      </c>
      <c r="D49" s="2597"/>
      <c r="E49" s="2597"/>
      <c r="F49" s="2597"/>
      <c r="G49" s="2597"/>
      <c r="H49" s="2597"/>
      <c r="I49" s="2597"/>
      <c r="J49" s="2597"/>
      <c r="K49" s="1590"/>
      <c r="L49" s="2126"/>
      <c r="M49" s="2127"/>
      <c r="N49" s="2127"/>
      <c r="O49" s="2127"/>
      <c r="P49" s="3594" t="str">
        <f>A49</f>
        <v>估价对象XX用房的比较价格（楼面单价，元/平方米）</v>
      </c>
      <c r="Q49" s="3595"/>
      <c r="R49" s="3678">
        <f>IF(F1="售价",ROUND(AVERAGE(R48:V48),0),ROUND(AVERAGE(R48:V48),1))</f>
        <v>11260</v>
      </c>
      <c r="S49" s="3678"/>
      <c r="T49" s="3678"/>
      <c r="U49" s="3678"/>
      <c r="V49" s="3678"/>
      <c r="W49" s="367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8.6982758620689715E-2</v>
      </c>
      <c r="F52" s="627" t="str">
        <f>IF(OR(E52&gt;=0.3,E52&lt;=-0.3),"超过30%","")</f>
        <v/>
      </c>
      <c r="G52" s="626">
        <f>IF(G47&lt;G48,G48/G47-1,G47/G48-1)</f>
        <v>6.3877551020408152E-2</v>
      </c>
      <c r="H52" s="627" t="str">
        <f>IF(OR(G52&gt;=0.3,G52&lt;=-0.3),"超过30%","")</f>
        <v/>
      </c>
      <c r="I52" s="626">
        <f>IF(I47&lt;I48,I48/I47-1,I47/I48-1)</f>
        <v>9.6530612244897895E-2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0.20938039516593143</v>
      </c>
      <c r="F53" s="627" t="str">
        <f>IF(OR(E53&gt;=0.2,E53&lt;=-0.2),"超过20%","")</f>
        <v>超过20%</v>
      </c>
      <c r="G53" s="626">
        <f>IF(G48&lt;I48,I48/G48-1,G48/I48-1)</f>
        <v>3.0692499520429628E-2</v>
      </c>
      <c r="H53" s="627" t="str">
        <f>IF(OR(G53&gt;=0.2,G53&lt;=-0.2),"超过20%","")</f>
        <v/>
      </c>
      <c r="I53" s="626">
        <f>IF(I48&lt;E48,E48/I48-1,I48/E48-1)</f>
        <v>0.1733668341708543</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0.18367346938775508</v>
      </c>
      <c r="F54" s="627" t="str">
        <f>IF(OR(E54&gt;=0.3,E54&lt;=-0.3),"超过30%","")</f>
        <v/>
      </c>
      <c r="G54" s="626">
        <f>IF(G47&lt;I47,I47/G47-1,G47/I47-1)</f>
        <v>0</v>
      </c>
      <c r="H54" s="627" t="str">
        <f>IF(OR(G54&gt;=0.3,G54&lt;=-0.3),"超过30%","")</f>
        <v/>
      </c>
      <c r="I54" s="626">
        <f>IF(I47&lt;E47,E47/I47-1,I47/E47-1)</f>
        <v>0.18367346938775508</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2315</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2544</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3647</v>
      </c>
      <c r="D100" s="3182" t="s">
        <v>3657</v>
      </c>
      <c r="E100" s="3182" t="s">
        <v>3658</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2556</v>
      </c>
      <c r="D116" s="3184" t="s">
        <v>2557</v>
      </c>
      <c r="E116" s="3184" t="s">
        <v>2558</v>
      </c>
      <c r="F116" s="3184" t="s">
        <v>2559</v>
      </c>
      <c r="G116" s="3184" t="s">
        <v>2560</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t="str">
        <f>B44</f>
        <v>项目尾盘</v>
      </c>
      <c r="C126" s="3184" t="s">
        <v>3734</v>
      </c>
      <c r="D126" s="3184" t="s">
        <v>3736</v>
      </c>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v>100</v>
      </c>
      <c r="D127" s="671">
        <v>95</v>
      </c>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2260</v>
      </c>
      <c r="H138" s="1910" t="s">
        <v>2261</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2267</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廊坊国瑞房地产开发有限公司：</v>
      </c>
    </row>
    <row r="4" spans="1:4" ht="37.5">
      <c r="A4" s="1773"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7" spans="1:4" ht="93.75">
      <c r="A7" s="2825" t="s">
        <v>2744</v>
      </c>
    </row>
    <row r="8" spans="1:4" ht="18.75">
      <c r="A8" s="1776" t="s">
        <v>1906</v>
      </c>
    </row>
    <row r="9" spans="1:4" ht="56.25">
      <c r="A9" s="1778"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2019年10月25日</v>
      </c>
    </row>
    <row r="12" spans="1:4" ht="18.75">
      <c r="A12" s="1779" t="s">
        <v>2023</v>
      </c>
    </row>
    <row r="13" spans="1:4" ht="18.75">
      <c r="A13" s="1773" t="s">
        <v>2069</v>
      </c>
    </row>
    <row r="14" spans="1:4" ht="37.5">
      <c r="A14" s="1773" t="str">
        <f>"根据"&amp;项目基本情况!F12&amp;"，本次评估估价对象证载（地类）用途为"&amp;项目基本情况!B12&amp;"。"</f>
        <v>根据《国有土地使用证》[永国用（2011）第018号]等8套，本次评估估价对象证载（地类）用途为城镇住宅用地。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根据《国有土地使用证》[]，估价对象（分摊）出让国有建设用地使用权面积为350568.67平方米。根据《建设工程规划许可证》[]、《出让合同》[]，估价对象规划建筑面积为790993.2平方米。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F105" sqref="F10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3157</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380450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16212</v>
      </c>
      <c r="C3" s="852" t="s">
        <v>722</v>
      </c>
      <c r="D3" s="851">
        <f>SUMIF('数据-汇总表'!$C19:$C33,D1,'数据-汇总表'!$E19:$E33)</f>
        <v>234671.93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79" t="s">
        <v>522</v>
      </c>
      <c r="D4" s="3580"/>
      <c r="E4" s="3603" t="s">
        <v>523</v>
      </c>
      <c r="F4" s="3604"/>
      <c r="G4" s="3579" t="s">
        <v>524</v>
      </c>
      <c r="H4" s="3580"/>
      <c r="I4" s="3579" t="s">
        <v>525</v>
      </c>
      <c r="J4" s="3580"/>
      <c r="K4" s="853" t="s">
        <v>526</v>
      </c>
      <c r="L4" s="2115"/>
      <c r="M4" s="2116"/>
      <c r="N4" s="2116"/>
      <c r="O4" s="2116"/>
      <c r="P4" s="3581" t="s">
        <v>527</v>
      </c>
      <c r="Q4" s="3582"/>
      <c r="R4" s="3567" t="s">
        <v>523</v>
      </c>
      <c r="S4" s="3568"/>
      <c r="T4" s="3567" t="s">
        <v>524</v>
      </c>
      <c r="U4" s="3568"/>
      <c r="V4" s="3587" t="s">
        <v>525</v>
      </c>
      <c r="W4" s="3587"/>
      <c r="X4" s="3356"/>
      <c r="Y4" s="3567" t="s">
        <v>527</v>
      </c>
      <c r="Z4" s="3568"/>
      <c r="AA4" s="3562" t="s">
        <v>523</v>
      </c>
      <c r="AB4" s="3562" t="s">
        <v>524</v>
      </c>
      <c r="AC4" s="3562" t="s">
        <v>525</v>
      </c>
    </row>
    <row r="5" spans="1:29" ht="15">
      <c r="A5" s="515"/>
      <c r="B5" s="516"/>
      <c r="C5" s="3590" t="s">
        <v>2923</v>
      </c>
      <c r="D5" s="3591"/>
      <c r="E5" s="3674" t="s">
        <v>3616</v>
      </c>
      <c r="F5" s="3606"/>
      <c r="G5" s="3675" t="s">
        <v>3667</v>
      </c>
      <c r="H5" s="3591"/>
      <c r="I5" s="3675" t="s">
        <v>3670</v>
      </c>
      <c r="J5" s="3591"/>
      <c r="K5" s="854"/>
      <c r="L5" s="2115"/>
      <c r="M5" s="2116"/>
      <c r="N5" s="2116"/>
      <c r="O5" s="2116"/>
      <c r="P5" s="3583"/>
      <c r="Q5" s="3584"/>
      <c r="R5" s="3569"/>
      <c r="S5" s="3570"/>
      <c r="T5" s="3569"/>
      <c r="U5" s="3570"/>
      <c r="V5" s="3587"/>
      <c r="W5" s="3587"/>
      <c r="X5" s="3356"/>
      <c r="Y5" s="3569"/>
      <c r="Z5" s="3570"/>
      <c r="AA5" s="3563"/>
      <c r="AB5" s="3563"/>
      <c r="AC5" s="3563"/>
    </row>
    <row r="6" spans="1:29" ht="15.75" thickBot="1">
      <c r="A6" s="517"/>
      <c r="B6" s="518"/>
      <c r="C6" s="3588" t="s">
        <v>2927</v>
      </c>
      <c r="D6" s="3589"/>
      <c r="E6" s="3676" t="s">
        <v>3618</v>
      </c>
      <c r="F6" s="3608"/>
      <c r="G6" s="3677" t="s">
        <v>3668</v>
      </c>
      <c r="H6" s="3589"/>
      <c r="I6" s="3677" t="s">
        <v>3669</v>
      </c>
      <c r="J6" s="3589"/>
      <c r="K6" s="854" t="s">
        <v>528</v>
      </c>
      <c r="L6" s="2115"/>
      <c r="M6" s="2116"/>
      <c r="N6" s="2116"/>
      <c r="O6" s="2116"/>
      <c r="P6" s="3585"/>
      <c r="Q6" s="3586"/>
      <c r="R6" s="3569"/>
      <c r="S6" s="3570"/>
      <c r="T6" s="3571"/>
      <c r="U6" s="3572"/>
      <c r="V6" s="3587"/>
      <c r="W6" s="3587"/>
      <c r="X6" s="3356"/>
      <c r="Y6" s="3571"/>
      <c r="Z6" s="3572"/>
      <c r="AA6" s="3564"/>
      <c r="AB6" s="3564"/>
      <c r="AC6" s="3564"/>
    </row>
    <row r="7" spans="1:29" s="1215" customFormat="1" ht="15.75" thickBot="1">
      <c r="A7" s="2864"/>
      <c r="B7" s="2871" t="s">
        <v>529</v>
      </c>
      <c r="C7" s="519">
        <f>'数据-取费表'!B2</f>
        <v>43763</v>
      </c>
      <c r="D7" s="520">
        <v>100</v>
      </c>
      <c r="E7" s="521">
        <f>C7</f>
        <v>43763</v>
      </c>
      <c r="F7" s="522">
        <f>SUMIF(58:58,YEAR(E7)&amp;"-"&amp;MONTH(E7),59:59)</f>
        <v>100</v>
      </c>
      <c r="G7" s="523">
        <f>E7</f>
        <v>43763</v>
      </c>
      <c r="H7" s="520">
        <f>SUMIF(58:58,YEAR(G7)&amp;"-"&amp;MONTH(G7),59:59)</f>
        <v>100</v>
      </c>
      <c r="I7" s="523">
        <f>C7</f>
        <v>43763</v>
      </c>
      <c r="J7" s="520">
        <f>SUMIF(58:58,YEAR(I7)&amp;"-"&amp;MONTH(I7),59:59)</f>
        <v>100</v>
      </c>
      <c r="K7" s="855"/>
      <c r="L7" s="2117"/>
      <c r="M7" s="2118"/>
      <c r="N7" s="2118"/>
      <c r="O7" s="2118"/>
      <c r="P7" s="3565" t="s">
        <v>530</v>
      </c>
      <c r="Q7" s="3574"/>
      <c r="R7" s="1551" t="s">
        <v>8</v>
      </c>
      <c r="S7" s="1552">
        <f t="shared" ref="S7:S15" si="0">F7</f>
        <v>100</v>
      </c>
      <c r="T7" s="1551" t="s">
        <v>8</v>
      </c>
      <c r="U7" s="1552">
        <f t="shared" ref="U7:U15" si="1">H7</f>
        <v>100</v>
      </c>
      <c r="V7" s="1551" t="s">
        <v>8</v>
      </c>
      <c r="W7" s="1552">
        <f t="shared" ref="W7:W15" si="2">J7</f>
        <v>100</v>
      </c>
      <c r="X7" s="1553"/>
      <c r="Y7" s="3565" t="s">
        <v>530</v>
      </c>
      <c r="Z7" s="3566"/>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65" t="s">
        <v>533</v>
      </c>
      <c r="Q8" s="3566"/>
      <c r="R8" s="1551" t="s">
        <v>8</v>
      </c>
      <c r="S8" s="1552">
        <f t="shared" si="0"/>
        <v>100</v>
      </c>
      <c r="T8" s="1551" t="s">
        <v>8</v>
      </c>
      <c r="U8" s="1552">
        <f t="shared" si="1"/>
        <v>100</v>
      </c>
      <c r="V8" s="1551" t="s">
        <v>8</v>
      </c>
      <c r="W8" s="1552">
        <f t="shared" si="2"/>
        <v>100</v>
      </c>
      <c r="X8" s="1553"/>
      <c r="Y8" s="3565" t="s">
        <v>533</v>
      </c>
      <c r="Z8" s="3566"/>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73" t="s">
        <v>535</v>
      </c>
      <c r="Q9" s="3355" t="str">
        <f t="shared" ref="Q9:Q15" si="6">B9</f>
        <v>用途</v>
      </c>
      <c r="R9" s="1551" t="s">
        <v>8</v>
      </c>
      <c r="S9" s="1552">
        <f t="shared" si="0"/>
        <v>100</v>
      </c>
      <c r="T9" s="1551" t="s">
        <v>8</v>
      </c>
      <c r="U9" s="1552">
        <f t="shared" si="1"/>
        <v>100</v>
      </c>
      <c r="V9" s="1551" t="s">
        <v>8</v>
      </c>
      <c r="W9" s="1552">
        <f t="shared" si="2"/>
        <v>100</v>
      </c>
      <c r="X9" s="1553"/>
      <c r="Y9" s="3530" t="s">
        <v>536</v>
      </c>
      <c r="Z9" s="3354"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73"/>
      <c r="Q10" s="3355" t="str">
        <f t="shared" si="6"/>
        <v>土地使用年限（年）</v>
      </c>
      <c r="R10" s="1551" t="s">
        <v>8</v>
      </c>
      <c r="S10" s="1552">
        <f t="shared" si="0"/>
        <v>100</v>
      </c>
      <c r="T10" s="1551" t="s">
        <v>8</v>
      </c>
      <c r="U10" s="1552">
        <f t="shared" si="1"/>
        <v>100</v>
      </c>
      <c r="V10" s="1551" t="s">
        <v>8</v>
      </c>
      <c r="W10" s="1552">
        <f t="shared" si="2"/>
        <v>100</v>
      </c>
      <c r="X10" s="1553"/>
      <c r="Y10" s="3530"/>
      <c r="Z10" s="3354" t="str">
        <f t="shared" si="7"/>
        <v>土地使用年限（年）</v>
      </c>
      <c r="AA10" s="1554">
        <f t="shared" si="3"/>
        <v>1</v>
      </c>
      <c r="AB10" s="1554">
        <f t="shared" si="4"/>
        <v>1</v>
      </c>
      <c r="AC10" s="1554">
        <f t="shared" si="5"/>
        <v>1</v>
      </c>
    </row>
    <row r="11" spans="1:29" ht="15">
      <c r="A11" s="2868"/>
      <c r="B11" s="2872" t="s">
        <v>2754</v>
      </c>
      <c r="C11" s="3361">
        <f>'数据-汇总表'!I6</f>
        <v>1.4</v>
      </c>
      <c r="D11" s="255">
        <v>100</v>
      </c>
      <c r="E11" s="534">
        <v>1.02</v>
      </c>
      <c r="F11" s="863">
        <f>LOOKUP(E11,68:68,69:69)-LOOKUP(C11,68:68,69:69)+100</f>
        <v>100</v>
      </c>
      <c r="G11" s="533">
        <v>1.54</v>
      </c>
      <c r="H11" s="255">
        <f>LOOKUP(G11,68:68,69:69)-LOOKUP(C11,68:68,69:69)+100</f>
        <v>100</v>
      </c>
      <c r="I11" s="533">
        <v>1.04</v>
      </c>
      <c r="J11" s="255">
        <f>LOOKUP(I11,68:68,69:69)-LOOKUP(C11,68:68,69:69)+100</f>
        <v>100</v>
      </c>
      <c r="K11" s="864">
        <v>1</v>
      </c>
      <c r="L11" s="2122"/>
      <c r="M11" s="2116"/>
      <c r="N11" s="2116"/>
      <c r="O11" s="2123"/>
      <c r="P11" s="3573"/>
      <c r="Q11" s="3355" t="str">
        <f t="shared" si="6"/>
        <v>容积率</v>
      </c>
      <c r="R11" s="1551" t="s">
        <v>8</v>
      </c>
      <c r="S11" s="1552">
        <f t="shared" si="0"/>
        <v>100</v>
      </c>
      <c r="T11" s="1551" t="s">
        <v>8</v>
      </c>
      <c r="U11" s="1552">
        <f t="shared" si="1"/>
        <v>100</v>
      </c>
      <c r="V11" s="1551" t="s">
        <v>8</v>
      </c>
      <c r="W11" s="1552">
        <f t="shared" si="2"/>
        <v>100</v>
      </c>
      <c r="X11" s="1553"/>
      <c r="Y11" s="3530"/>
      <c r="Z11" s="3354" t="str">
        <f t="shared" si="7"/>
        <v>容积率</v>
      </c>
      <c r="AA11" s="1554">
        <f t="shared" si="3"/>
        <v>1</v>
      </c>
      <c r="AB11" s="1554">
        <f t="shared" si="4"/>
        <v>1</v>
      </c>
      <c r="AC11" s="1554">
        <f t="shared" si="5"/>
        <v>1</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73"/>
      <c r="Q12" s="3355">
        <f t="shared" si="6"/>
        <v>111</v>
      </c>
      <c r="R12" s="1551" t="s">
        <v>8</v>
      </c>
      <c r="S12" s="1552">
        <f t="shared" si="0"/>
        <v>100</v>
      </c>
      <c r="T12" s="1551" t="s">
        <v>8</v>
      </c>
      <c r="U12" s="1552">
        <f t="shared" si="1"/>
        <v>100</v>
      </c>
      <c r="V12" s="1551" t="s">
        <v>8</v>
      </c>
      <c r="W12" s="1552">
        <f t="shared" si="2"/>
        <v>100</v>
      </c>
      <c r="X12" s="1553"/>
      <c r="Y12" s="3530"/>
      <c r="Z12" s="3354">
        <f t="shared" si="7"/>
        <v>111</v>
      </c>
      <c r="AA12" s="1554">
        <f>D12/F12</f>
        <v>1</v>
      </c>
      <c r="AB12" s="1554">
        <f>D12/H12</f>
        <v>1</v>
      </c>
      <c r="AC12" s="1554">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73"/>
      <c r="Q13" s="3355">
        <f t="shared" si="6"/>
        <v>111</v>
      </c>
      <c r="R13" s="1551" t="s">
        <v>8</v>
      </c>
      <c r="S13" s="1552">
        <f t="shared" si="0"/>
        <v>100</v>
      </c>
      <c r="T13" s="1551" t="s">
        <v>8</v>
      </c>
      <c r="U13" s="1552">
        <f t="shared" si="1"/>
        <v>100</v>
      </c>
      <c r="V13" s="1551" t="s">
        <v>8</v>
      </c>
      <c r="W13" s="1552">
        <f t="shared" si="2"/>
        <v>100</v>
      </c>
      <c r="X13" s="1553"/>
      <c r="Y13" s="3530"/>
      <c r="Z13" s="3354">
        <f t="shared" si="7"/>
        <v>111</v>
      </c>
      <c r="AA13" s="1554">
        <f t="shared" si="3"/>
        <v>1</v>
      </c>
      <c r="AB13" s="1554">
        <f t="shared" si="4"/>
        <v>1</v>
      </c>
      <c r="AC13" s="1554">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73"/>
      <c r="Q14" s="3355">
        <f t="shared" si="6"/>
        <v>111</v>
      </c>
      <c r="R14" s="1551" t="s">
        <v>8</v>
      </c>
      <c r="S14" s="1552">
        <f t="shared" si="0"/>
        <v>100</v>
      </c>
      <c r="T14" s="1551" t="s">
        <v>8</v>
      </c>
      <c r="U14" s="1552">
        <f t="shared" si="1"/>
        <v>100</v>
      </c>
      <c r="V14" s="1551" t="s">
        <v>8</v>
      </c>
      <c r="W14" s="1552">
        <f t="shared" si="2"/>
        <v>100</v>
      </c>
      <c r="X14" s="1553"/>
      <c r="Y14" s="3530"/>
      <c r="Z14" s="3354">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75" t="s">
        <v>540</v>
      </c>
      <c r="Q15" s="3357" t="str">
        <f t="shared" si="6"/>
        <v>居住社区成熟度</v>
      </c>
      <c r="R15" s="1556" t="s">
        <v>8</v>
      </c>
      <c r="S15" s="1557">
        <f t="shared" si="0"/>
        <v>100</v>
      </c>
      <c r="T15" s="1556" t="s">
        <v>8</v>
      </c>
      <c r="U15" s="1557">
        <f t="shared" si="1"/>
        <v>100</v>
      </c>
      <c r="V15" s="1556" t="s">
        <v>8</v>
      </c>
      <c r="W15" s="1557">
        <f t="shared" si="2"/>
        <v>100</v>
      </c>
      <c r="X15" s="3356"/>
      <c r="Y15" s="3575" t="s">
        <v>540</v>
      </c>
      <c r="Z15" s="3358" t="str">
        <f t="shared" si="7"/>
        <v>居住社区成熟度</v>
      </c>
      <c r="AA15" s="3359">
        <f t="shared" si="3"/>
        <v>1</v>
      </c>
      <c r="AB15" s="3359">
        <f t="shared" si="4"/>
        <v>1</v>
      </c>
      <c r="AC15" s="3359">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76"/>
      <c r="Q16" s="3357"/>
      <c r="R16" s="1556"/>
      <c r="S16" s="1557"/>
      <c r="T16" s="1556"/>
      <c r="U16" s="1557"/>
      <c r="V16" s="1556"/>
      <c r="W16" s="1557"/>
      <c r="X16" s="3356"/>
      <c r="Y16" s="3576"/>
      <c r="Z16" s="3358"/>
      <c r="AA16" s="3359">
        <v>1</v>
      </c>
      <c r="AB16" s="3359">
        <v>1</v>
      </c>
      <c r="AC16" s="33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76"/>
      <c r="Q17" s="3357" t="str">
        <f>B17</f>
        <v>交通便捷度</v>
      </c>
      <c r="R17" s="1556" t="s">
        <v>8</v>
      </c>
      <c r="S17" s="1557">
        <f>F17</f>
        <v>100</v>
      </c>
      <c r="T17" s="1556" t="s">
        <v>8</v>
      </c>
      <c r="U17" s="1557">
        <f>H17</f>
        <v>100</v>
      </c>
      <c r="V17" s="1556" t="s">
        <v>8</v>
      </c>
      <c r="W17" s="1557">
        <f>J17</f>
        <v>100</v>
      </c>
      <c r="X17" s="3356"/>
      <c r="Y17" s="3576"/>
      <c r="Z17" s="3358" t="str">
        <f>Q17</f>
        <v>交通便捷度</v>
      </c>
      <c r="AA17" s="3359">
        <f t="shared" si="3"/>
        <v>1</v>
      </c>
      <c r="AB17" s="3359">
        <f t="shared" si="4"/>
        <v>1</v>
      </c>
      <c r="AC17" s="3359">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76"/>
      <c r="Q18" s="3357"/>
      <c r="R18" s="1556"/>
      <c r="S18" s="1557"/>
      <c r="T18" s="1556"/>
      <c r="U18" s="1557"/>
      <c r="V18" s="1556"/>
      <c r="W18" s="1557"/>
      <c r="X18" s="3356"/>
      <c r="Y18" s="3576"/>
      <c r="Z18" s="3358"/>
      <c r="AA18" s="3359">
        <v>1</v>
      </c>
      <c r="AB18" s="3359">
        <v>1</v>
      </c>
      <c r="AC18" s="33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76"/>
      <c r="Q19" s="3357" t="str">
        <f>B19</f>
        <v>公共配套设施</v>
      </c>
      <c r="R19" s="1556" t="s">
        <v>8</v>
      </c>
      <c r="S19" s="1557">
        <f>F19</f>
        <v>100</v>
      </c>
      <c r="T19" s="1556" t="s">
        <v>8</v>
      </c>
      <c r="U19" s="1557">
        <f>H19</f>
        <v>100</v>
      </c>
      <c r="V19" s="1556" t="s">
        <v>8</v>
      </c>
      <c r="W19" s="1557">
        <f>J19</f>
        <v>100</v>
      </c>
      <c r="X19" s="3356"/>
      <c r="Y19" s="3576"/>
      <c r="Z19" s="3358" t="str">
        <f>Q19</f>
        <v>公共配套设施</v>
      </c>
      <c r="AA19" s="3359">
        <f t="shared" si="3"/>
        <v>1</v>
      </c>
      <c r="AB19" s="3359">
        <f t="shared" si="4"/>
        <v>1</v>
      </c>
      <c r="AC19" s="3359">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76"/>
      <c r="Q20" s="3357"/>
      <c r="R20" s="1556"/>
      <c r="S20" s="1557"/>
      <c r="T20" s="1556"/>
      <c r="U20" s="1557"/>
      <c r="V20" s="1556"/>
      <c r="W20" s="1557"/>
      <c r="X20" s="3356"/>
      <c r="Y20" s="3576"/>
      <c r="Z20" s="3358"/>
      <c r="AA20" s="3359">
        <v>1</v>
      </c>
      <c r="AB20" s="3359">
        <v>1</v>
      </c>
      <c r="AC20" s="3359">
        <v>1</v>
      </c>
    </row>
    <row r="21" spans="1:29" ht="15">
      <c r="A21" s="532"/>
      <c r="B21" s="2554" t="s">
        <v>2544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76"/>
      <c r="Q21" s="3357" t="str">
        <f>B21</f>
        <v>基础设施水平</v>
      </c>
      <c r="R21" s="1556" t="s">
        <v>8</v>
      </c>
      <c r="S21" s="1557">
        <f>F21</f>
        <v>100</v>
      </c>
      <c r="T21" s="1556" t="s">
        <v>8</v>
      </c>
      <c r="U21" s="1557">
        <f>H21</f>
        <v>100</v>
      </c>
      <c r="V21" s="1556" t="s">
        <v>8</v>
      </c>
      <c r="W21" s="1557">
        <f>J21</f>
        <v>100</v>
      </c>
      <c r="X21" s="3356"/>
      <c r="Y21" s="3576"/>
      <c r="Z21" s="3358" t="str">
        <f>Q21</f>
        <v>基础设施水平</v>
      </c>
      <c r="AA21" s="3359">
        <f t="shared" ref="AA21" si="8">D21/F21</f>
        <v>1</v>
      </c>
      <c r="AB21" s="3359">
        <f t="shared" ref="AB21" si="9">D21/H21</f>
        <v>1</v>
      </c>
      <c r="AC21" s="3359">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76"/>
      <c r="Q22" s="3357"/>
      <c r="R22" s="1556"/>
      <c r="S22" s="1557"/>
      <c r="T22" s="1556"/>
      <c r="U22" s="1557"/>
      <c r="V22" s="1556"/>
      <c r="W22" s="1557"/>
      <c r="X22" s="3356"/>
      <c r="Y22" s="3576"/>
      <c r="Z22" s="3358"/>
      <c r="AA22" s="3359">
        <v>1</v>
      </c>
      <c r="AB22" s="3359">
        <v>1</v>
      </c>
      <c r="AC22" s="3359">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76"/>
      <c r="Q23" s="3357" t="str">
        <f>B23</f>
        <v>自然及人文环境</v>
      </c>
      <c r="R23" s="1556" t="s">
        <v>8</v>
      </c>
      <c r="S23" s="1557">
        <f>F23</f>
        <v>100</v>
      </c>
      <c r="T23" s="1556" t="s">
        <v>8</v>
      </c>
      <c r="U23" s="1557">
        <f>H23</f>
        <v>100</v>
      </c>
      <c r="V23" s="1556" t="s">
        <v>8</v>
      </c>
      <c r="W23" s="1557">
        <f>J23</f>
        <v>100</v>
      </c>
      <c r="X23" s="3356"/>
      <c r="Y23" s="3576"/>
      <c r="Z23" s="3358" t="str">
        <f>Q23</f>
        <v>自然及人文环境</v>
      </c>
      <c r="AA23" s="3359">
        <f t="shared" si="3"/>
        <v>1</v>
      </c>
      <c r="AB23" s="3359">
        <f t="shared" si="4"/>
        <v>1</v>
      </c>
      <c r="AC23" s="3359">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76"/>
      <c r="Q24" s="3357"/>
      <c r="R24" s="1556"/>
      <c r="S24" s="1557"/>
      <c r="T24" s="1556"/>
      <c r="U24" s="1557"/>
      <c r="V24" s="1556"/>
      <c r="W24" s="1557"/>
      <c r="X24" s="3356"/>
      <c r="Y24" s="3576"/>
      <c r="Z24" s="3358"/>
      <c r="AA24" s="3359">
        <v>1</v>
      </c>
      <c r="AB24" s="3359">
        <v>1</v>
      </c>
      <c r="AC24" s="3359">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76"/>
      <c r="Q25" s="3357" t="str">
        <f t="shared" ref="Q25:Q46" si="11">B25</f>
        <v>楼层-1</v>
      </c>
      <c r="R25" s="1556" t="s">
        <v>8</v>
      </c>
      <c r="S25" s="1557">
        <f>F25</f>
        <v>100</v>
      </c>
      <c r="T25" s="1556" t="s">
        <v>8</v>
      </c>
      <c r="U25" s="1557">
        <f>H25</f>
        <v>100</v>
      </c>
      <c r="V25" s="1556" t="s">
        <v>8</v>
      </c>
      <c r="W25" s="1557">
        <f>J25</f>
        <v>100</v>
      </c>
      <c r="X25" s="3356"/>
      <c r="Y25" s="3576"/>
      <c r="Z25" s="3358" t="str">
        <f>Q25</f>
        <v>楼层-1</v>
      </c>
      <c r="AA25" s="3359">
        <f t="shared" si="3"/>
        <v>1</v>
      </c>
      <c r="AB25" s="3359">
        <f t="shared" si="4"/>
        <v>1</v>
      </c>
      <c r="AC25" s="3359">
        <f t="shared" si="5"/>
        <v>1</v>
      </c>
    </row>
    <row r="26" spans="1:29" ht="15">
      <c r="A26" s="532"/>
      <c r="B26" s="527" t="s">
        <v>723</v>
      </c>
      <c r="C26" s="574"/>
      <c r="D26" s="540">
        <v>100</v>
      </c>
      <c r="E26" s="574"/>
      <c r="F26" s="575">
        <f>SUMIF(88:88,E26,89:89)-SUMIF(88:88,C26,89:89)+100</f>
        <v>100</v>
      </c>
      <c r="G26" s="574"/>
      <c r="H26" s="540">
        <f>SUMIF(88:88,G26,89:89)-SUMIF(88:88,C26,89:89)+100</f>
        <v>100</v>
      </c>
      <c r="I26" s="574"/>
      <c r="J26" s="540">
        <f>SUMIF(88:88,I26,89:89)-SUMIF(88:88,C26,89:89)+100</f>
        <v>100</v>
      </c>
      <c r="K26" s="864">
        <v>1</v>
      </c>
      <c r="L26" s="2124"/>
      <c r="M26" s="2116"/>
      <c r="N26" s="2116"/>
      <c r="O26" s="2123"/>
      <c r="P26" s="3576"/>
      <c r="Q26" s="3357" t="str">
        <f t="shared" si="11"/>
        <v>朝向</v>
      </c>
      <c r="R26" s="1556" t="s">
        <v>8</v>
      </c>
      <c r="S26" s="1557">
        <f>F26</f>
        <v>100</v>
      </c>
      <c r="T26" s="1556" t="s">
        <v>8</v>
      </c>
      <c r="U26" s="1557">
        <f>H26</f>
        <v>100</v>
      </c>
      <c r="V26" s="1556" t="s">
        <v>8</v>
      </c>
      <c r="W26" s="1557">
        <f>J26</f>
        <v>100</v>
      </c>
      <c r="X26" s="3356"/>
      <c r="Y26" s="3576"/>
      <c r="Z26" s="3358" t="str">
        <f>Q26</f>
        <v>朝向</v>
      </c>
      <c r="AA26" s="3359">
        <f t="shared" si="3"/>
        <v>1</v>
      </c>
      <c r="AB26" s="3359">
        <f t="shared" si="4"/>
        <v>1</v>
      </c>
      <c r="AC26" s="3359">
        <f t="shared" si="5"/>
        <v>1</v>
      </c>
    </row>
    <row r="27" spans="1:29" s="1215" customFormat="1" ht="15">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76"/>
      <c r="Q27" s="3355" t="str">
        <f t="shared" si="11"/>
        <v>道路级别</v>
      </c>
      <c r="R27" s="1551" t="s">
        <v>8</v>
      </c>
      <c r="S27" s="1552">
        <f>F27</f>
        <v>100</v>
      </c>
      <c r="T27" s="1551" t="s">
        <v>8</v>
      </c>
      <c r="U27" s="1552">
        <f>H27</f>
        <v>100</v>
      </c>
      <c r="V27" s="1551" t="s">
        <v>8</v>
      </c>
      <c r="W27" s="1552">
        <f>J27</f>
        <v>100</v>
      </c>
      <c r="X27" s="1553"/>
      <c r="Y27" s="3576"/>
      <c r="Z27" s="3354" t="str">
        <f>Q27</f>
        <v>道路级别</v>
      </c>
      <c r="AA27" s="3359">
        <f>D27/F27</f>
        <v>1</v>
      </c>
      <c r="AB27" s="3359">
        <f>D27/H27</f>
        <v>1</v>
      </c>
      <c r="AC27" s="3359">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76"/>
      <c r="Q28" s="3357">
        <f t="shared" si="11"/>
        <v>111</v>
      </c>
      <c r="R28" s="1556" t="s">
        <v>8</v>
      </c>
      <c r="S28" s="1557">
        <f t="shared" ref="S28:S46" si="12">F28</f>
        <v>100</v>
      </c>
      <c r="T28" s="1556" t="s">
        <v>8</v>
      </c>
      <c r="U28" s="1557">
        <f t="shared" ref="U28:U46" si="13">H28</f>
        <v>100</v>
      </c>
      <c r="V28" s="1556" t="s">
        <v>8</v>
      </c>
      <c r="W28" s="1557">
        <f t="shared" ref="W28:W46" si="14">J28</f>
        <v>100</v>
      </c>
      <c r="X28" s="3356"/>
      <c r="Y28" s="3576"/>
      <c r="Z28" s="3358">
        <f t="shared" ref="Z28:Z46" si="15">Q28</f>
        <v>111</v>
      </c>
      <c r="AA28" s="3359">
        <f t="shared" si="3"/>
        <v>1</v>
      </c>
      <c r="AB28" s="3359">
        <f t="shared" si="4"/>
        <v>1</v>
      </c>
      <c r="AC28" s="33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76"/>
      <c r="Q29" s="3357">
        <f t="shared" si="11"/>
        <v>111</v>
      </c>
      <c r="R29" s="1556" t="s">
        <v>8</v>
      </c>
      <c r="S29" s="1557">
        <f t="shared" si="12"/>
        <v>100</v>
      </c>
      <c r="T29" s="1556" t="s">
        <v>8</v>
      </c>
      <c r="U29" s="1557">
        <f t="shared" si="13"/>
        <v>100</v>
      </c>
      <c r="V29" s="1556" t="s">
        <v>8</v>
      </c>
      <c r="W29" s="1557">
        <f t="shared" si="14"/>
        <v>100</v>
      </c>
      <c r="X29" s="3356"/>
      <c r="Y29" s="3576"/>
      <c r="Z29" s="3358">
        <f t="shared" si="15"/>
        <v>111</v>
      </c>
      <c r="AA29" s="3359">
        <f t="shared" si="3"/>
        <v>1</v>
      </c>
      <c r="AB29" s="3359">
        <f t="shared" si="4"/>
        <v>1</v>
      </c>
      <c r="AC29" s="33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76"/>
      <c r="Q30" s="3357">
        <f t="shared" si="11"/>
        <v>111</v>
      </c>
      <c r="R30" s="1556" t="s">
        <v>8</v>
      </c>
      <c r="S30" s="1557">
        <f t="shared" si="12"/>
        <v>100</v>
      </c>
      <c r="T30" s="1556" t="s">
        <v>8</v>
      </c>
      <c r="U30" s="1557">
        <f t="shared" si="13"/>
        <v>100</v>
      </c>
      <c r="V30" s="1556" t="s">
        <v>8</v>
      </c>
      <c r="W30" s="1557">
        <f t="shared" si="14"/>
        <v>100</v>
      </c>
      <c r="X30" s="3356"/>
      <c r="Y30" s="3576"/>
      <c r="Z30" s="3358">
        <f t="shared" si="15"/>
        <v>111</v>
      </c>
      <c r="AA30" s="3359">
        <f t="shared" si="3"/>
        <v>1</v>
      </c>
      <c r="AB30" s="3359">
        <f t="shared" si="4"/>
        <v>1</v>
      </c>
      <c r="AC30" s="3359">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76"/>
      <c r="Q31" s="3357">
        <f t="shared" si="11"/>
        <v>111</v>
      </c>
      <c r="R31" s="1556" t="s">
        <v>8</v>
      </c>
      <c r="S31" s="1557">
        <f t="shared" si="12"/>
        <v>100</v>
      </c>
      <c r="T31" s="1556" t="s">
        <v>8</v>
      </c>
      <c r="U31" s="1557">
        <f t="shared" si="13"/>
        <v>100</v>
      </c>
      <c r="V31" s="1556" t="s">
        <v>8</v>
      </c>
      <c r="W31" s="1557">
        <f t="shared" si="14"/>
        <v>100</v>
      </c>
      <c r="X31" s="3356"/>
      <c r="Y31" s="3576"/>
      <c r="Z31" s="3358">
        <f t="shared" si="15"/>
        <v>111</v>
      </c>
      <c r="AA31" s="3359">
        <f t="shared" si="3"/>
        <v>1</v>
      </c>
      <c r="AB31" s="3359">
        <f t="shared" si="4"/>
        <v>1</v>
      </c>
      <c r="AC31" s="3359">
        <f t="shared" si="5"/>
        <v>1</v>
      </c>
    </row>
    <row r="32" spans="1:29" ht="15">
      <c r="A32" s="2859" t="s">
        <v>2751</v>
      </c>
      <c r="B32" s="172" t="s">
        <v>725</v>
      </c>
      <c r="C32" s="878" t="s">
        <v>3198</v>
      </c>
      <c r="D32" s="597">
        <v>100</v>
      </c>
      <c r="E32" s="878" t="s">
        <v>3198</v>
      </c>
      <c r="F32" s="575">
        <f>SUMIF(100:100,E32,101:101)-SUMIF(100:100,C32,101:101)+100</f>
        <v>100</v>
      </c>
      <c r="G32" s="878" t="s">
        <v>3198</v>
      </c>
      <c r="H32" s="597">
        <f>SUMIF(100:100,G32,101:101)-SUMIF(100:100,C32,101:101)+100</f>
        <v>100</v>
      </c>
      <c r="I32" s="878" t="s">
        <v>3198</v>
      </c>
      <c r="J32" s="540">
        <f>SUMIF(100:100,I32,101:101)-SUMIF(100:100,C32,101:101)+100</f>
        <v>100</v>
      </c>
      <c r="K32" s="864">
        <v>2</v>
      </c>
      <c r="L32" s="2124"/>
      <c r="M32" s="2116"/>
      <c r="N32" s="2116"/>
      <c r="O32" s="2123"/>
      <c r="P32" s="3577" t="s">
        <v>550</v>
      </c>
      <c r="Q32" s="3357" t="str">
        <f t="shared" si="11"/>
        <v>建筑类型</v>
      </c>
      <c r="R32" s="1556" t="s">
        <v>8</v>
      </c>
      <c r="S32" s="1557">
        <f t="shared" si="12"/>
        <v>100</v>
      </c>
      <c r="T32" s="1556" t="s">
        <v>8</v>
      </c>
      <c r="U32" s="1557">
        <f t="shared" si="13"/>
        <v>100</v>
      </c>
      <c r="V32" s="1556" t="s">
        <v>8</v>
      </c>
      <c r="W32" s="1557">
        <f t="shared" si="14"/>
        <v>100</v>
      </c>
      <c r="X32" s="3356"/>
      <c r="Y32" s="3578" t="s">
        <v>550</v>
      </c>
      <c r="Z32" s="3358" t="str">
        <f t="shared" si="15"/>
        <v>建筑类型</v>
      </c>
      <c r="AA32" s="3359">
        <f t="shared" si="3"/>
        <v>1</v>
      </c>
      <c r="AB32" s="3359">
        <f t="shared" si="4"/>
        <v>1</v>
      </c>
      <c r="AC32" s="3359">
        <f t="shared" si="5"/>
        <v>1</v>
      </c>
    </row>
    <row r="33" spans="1:29" s="1334" customFormat="1" ht="15">
      <c r="A33" s="603"/>
      <c r="B33" s="527" t="s">
        <v>726</v>
      </c>
      <c r="C33" s="879">
        <f>'数据-基础表'!G5</f>
        <v>790993.2</v>
      </c>
      <c r="D33" s="255">
        <v>100</v>
      </c>
      <c r="E33" s="534">
        <v>73429</v>
      </c>
      <c r="F33" s="863">
        <f>LOOKUP(E33,103:103,104:104)-LOOKUP(C33,103:103,104:104)+100</f>
        <v>92</v>
      </c>
      <c r="G33" s="533">
        <v>39916</v>
      </c>
      <c r="H33" s="255">
        <f>LOOKUP(G33,103:103,104:104)-LOOKUP(C33,103:103,104:104)+100</f>
        <v>92</v>
      </c>
      <c r="I33" s="534">
        <v>173242</v>
      </c>
      <c r="J33" s="255">
        <f>LOOKUP(I33,103:103,104:104)-LOOKUP(C33,103:103,104:104)+100</f>
        <v>94</v>
      </c>
      <c r="K33" s="865"/>
      <c r="L33" s="2122"/>
      <c r="M33" s="2153"/>
      <c r="N33" s="2153"/>
      <c r="O33" s="2125"/>
      <c r="P33" s="3578"/>
      <c r="Q33" s="1587" t="str">
        <f t="shared" si="11"/>
        <v>项目建筑规模</v>
      </c>
      <c r="R33" s="1560" t="s">
        <v>8</v>
      </c>
      <c r="S33" s="1561">
        <f t="shared" si="12"/>
        <v>92</v>
      </c>
      <c r="T33" s="1560" t="s">
        <v>8</v>
      </c>
      <c r="U33" s="1561">
        <f t="shared" si="13"/>
        <v>92</v>
      </c>
      <c r="V33" s="1560" t="s">
        <v>8</v>
      </c>
      <c r="W33" s="1561">
        <f t="shared" si="14"/>
        <v>94</v>
      </c>
      <c r="X33" s="1562"/>
      <c r="Y33" s="3578"/>
      <c r="Z33" s="1563" t="str">
        <f t="shared" si="15"/>
        <v>项目建筑规模</v>
      </c>
      <c r="AA33" s="3359">
        <f t="shared" si="3"/>
        <v>1.0869565217391304</v>
      </c>
      <c r="AB33" s="3359">
        <f t="shared" si="4"/>
        <v>1.0869565217391304</v>
      </c>
      <c r="AC33" s="3359">
        <f t="shared" si="5"/>
        <v>1.0638297872340425</v>
      </c>
    </row>
    <row r="34" spans="1:29" ht="15">
      <c r="A34" s="594"/>
      <c r="B34" s="527" t="s">
        <v>727</v>
      </c>
      <c r="C34" s="880"/>
      <c r="D34" s="540">
        <v>100</v>
      </c>
      <c r="E34" s="880"/>
      <c r="F34" s="575">
        <f>SUMIF(105:105,E34,106:106)-SUMIF(105:105,C34,106:106)+100</f>
        <v>100</v>
      </c>
      <c r="G34" s="880"/>
      <c r="H34" s="540">
        <f>SUMIF(105:105,G34,106:106)-SUMIF(105:105,C34,106:106)+100</f>
        <v>100</v>
      </c>
      <c r="I34" s="880"/>
      <c r="J34" s="540">
        <f>SUMIF(105:105,I34,106:106)-SUMIF(105:105,C34,106:106)+100</f>
        <v>100</v>
      </c>
      <c r="K34" s="864">
        <v>1</v>
      </c>
      <c r="L34" s="2124"/>
      <c r="M34" s="2116"/>
      <c r="N34" s="2116"/>
      <c r="O34" s="2123"/>
      <c r="P34" s="3578"/>
      <c r="Q34" s="3357" t="str">
        <f t="shared" si="11"/>
        <v>建筑结构</v>
      </c>
      <c r="R34" s="1556" t="s">
        <v>8</v>
      </c>
      <c r="S34" s="1557">
        <f t="shared" si="12"/>
        <v>100</v>
      </c>
      <c r="T34" s="1556" t="s">
        <v>8</v>
      </c>
      <c r="U34" s="1557">
        <f t="shared" si="13"/>
        <v>100</v>
      </c>
      <c r="V34" s="1556" t="s">
        <v>8</v>
      </c>
      <c r="W34" s="1557">
        <f t="shared" si="14"/>
        <v>100</v>
      </c>
      <c r="X34" s="3356"/>
      <c r="Y34" s="3578"/>
      <c r="Z34" s="3358" t="str">
        <f t="shared" si="15"/>
        <v>建筑结构</v>
      </c>
      <c r="AA34" s="3359">
        <f t="shared" si="3"/>
        <v>1</v>
      </c>
      <c r="AB34" s="3359">
        <f t="shared" si="4"/>
        <v>1</v>
      </c>
      <c r="AC34" s="3359">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78"/>
      <c r="Q35" s="3357" t="str">
        <f t="shared" si="11"/>
        <v>建筑品质</v>
      </c>
      <c r="R35" s="1556" t="s">
        <v>8</v>
      </c>
      <c r="S35" s="1557">
        <f t="shared" si="12"/>
        <v>100</v>
      </c>
      <c r="T35" s="1556" t="s">
        <v>8</v>
      </c>
      <c r="U35" s="1557">
        <f t="shared" si="13"/>
        <v>100</v>
      </c>
      <c r="V35" s="1556" t="s">
        <v>8</v>
      </c>
      <c r="W35" s="1557">
        <f t="shared" si="14"/>
        <v>100</v>
      </c>
      <c r="X35" s="3356"/>
      <c r="Y35" s="3578"/>
      <c r="Z35" s="3358" t="str">
        <f t="shared" si="15"/>
        <v>建筑品质</v>
      </c>
      <c r="AA35" s="3359">
        <f t="shared" si="3"/>
        <v>1</v>
      </c>
      <c r="AB35" s="3359">
        <f t="shared" si="4"/>
        <v>1</v>
      </c>
      <c r="AC35" s="3359">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78"/>
      <c r="Q36" s="3357" t="str">
        <f t="shared" si="11"/>
        <v>公共部分装修</v>
      </c>
      <c r="R36" s="1556" t="s">
        <v>8</v>
      </c>
      <c r="S36" s="1557">
        <f t="shared" si="12"/>
        <v>100</v>
      </c>
      <c r="T36" s="1556" t="s">
        <v>8</v>
      </c>
      <c r="U36" s="1557">
        <f t="shared" si="13"/>
        <v>100</v>
      </c>
      <c r="V36" s="1556" t="s">
        <v>8</v>
      </c>
      <c r="W36" s="1557">
        <f t="shared" si="14"/>
        <v>100</v>
      </c>
      <c r="X36" s="3356"/>
      <c r="Y36" s="3578"/>
      <c r="Z36" s="3358" t="str">
        <f t="shared" si="15"/>
        <v>公共部分装修</v>
      </c>
      <c r="AA36" s="3359">
        <f t="shared" si="3"/>
        <v>1</v>
      </c>
      <c r="AB36" s="3359">
        <f t="shared" si="4"/>
        <v>1</v>
      </c>
      <c r="AC36" s="3359">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f>M37</f>
        <v>0.95</v>
      </c>
      <c r="J37" s="255">
        <f>LOOKUP(I37,112:112,113:113)-LOOKUP(C37,112:112,113:113)+100</f>
        <v>100</v>
      </c>
      <c r="K37" s="864">
        <v>2</v>
      </c>
      <c r="L37" s="2117"/>
      <c r="M37" s="2118">
        <f>1-(2019-2016)/60</f>
        <v>0.95</v>
      </c>
      <c r="N37" s="2118"/>
      <c r="O37" s="2119"/>
      <c r="P37" s="3578"/>
      <c r="Q37" s="3355" t="str">
        <f t="shared" si="11"/>
        <v>成新度</v>
      </c>
      <c r="R37" s="1551" t="s">
        <v>8</v>
      </c>
      <c r="S37" s="1552">
        <f t="shared" si="12"/>
        <v>100</v>
      </c>
      <c r="T37" s="1551" t="s">
        <v>8</v>
      </c>
      <c r="U37" s="1552">
        <f t="shared" si="13"/>
        <v>100</v>
      </c>
      <c r="V37" s="1551" t="s">
        <v>8</v>
      </c>
      <c r="W37" s="1552">
        <f t="shared" si="14"/>
        <v>100</v>
      </c>
      <c r="X37" s="1553"/>
      <c r="Y37" s="3578"/>
      <c r="Z37" s="3354"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78" t="s">
        <v>550</v>
      </c>
      <c r="Q38" s="3357" t="str">
        <f t="shared" si="11"/>
        <v>物业管理</v>
      </c>
      <c r="R38" s="1556" t="s">
        <v>8</v>
      </c>
      <c r="S38" s="1557">
        <f t="shared" si="12"/>
        <v>100</v>
      </c>
      <c r="T38" s="1556" t="s">
        <v>8</v>
      </c>
      <c r="U38" s="1557">
        <f t="shared" si="13"/>
        <v>100</v>
      </c>
      <c r="V38" s="1556" t="s">
        <v>8</v>
      </c>
      <c r="W38" s="1557">
        <f t="shared" si="14"/>
        <v>100</v>
      </c>
      <c r="X38" s="3356"/>
      <c r="Y38" s="3578" t="s">
        <v>550</v>
      </c>
      <c r="Z38" s="3358" t="str">
        <f t="shared" si="15"/>
        <v>物业管理</v>
      </c>
      <c r="AA38" s="3359">
        <f t="shared" si="3"/>
        <v>1</v>
      </c>
      <c r="AB38" s="3359">
        <f t="shared" si="4"/>
        <v>1</v>
      </c>
      <c r="AC38" s="3359">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78"/>
      <c r="Q39" s="3357" t="str">
        <f t="shared" si="11"/>
        <v>市政基础设施</v>
      </c>
      <c r="R39" s="1556" t="s">
        <v>8</v>
      </c>
      <c r="S39" s="1557">
        <f t="shared" si="12"/>
        <v>100</v>
      </c>
      <c r="T39" s="1556" t="s">
        <v>8</v>
      </c>
      <c r="U39" s="1557">
        <f t="shared" si="13"/>
        <v>100</v>
      </c>
      <c r="V39" s="1556" t="s">
        <v>8</v>
      </c>
      <c r="W39" s="1557">
        <f t="shared" si="14"/>
        <v>100</v>
      </c>
      <c r="X39" s="3356"/>
      <c r="Y39" s="3578"/>
      <c r="Z39" s="3358" t="str">
        <f t="shared" si="15"/>
        <v>市政基础设施</v>
      </c>
      <c r="AA39" s="3359">
        <f t="shared" si="3"/>
        <v>1</v>
      </c>
      <c r="AB39" s="3359">
        <f t="shared" si="4"/>
        <v>1</v>
      </c>
      <c r="AC39" s="33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78"/>
      <c r="Q40" s="3357" t="str">
        <f t="shared" si="11"/>
        <v>房型</v>
      </c>
      <c r="R40" s="1556" t="s">
        <v>8</v>
      </c>
      <c r="S40" s="1557">
        <f t="shared" si="12"/>
        <v>100</v>
      </c>
      <c r="T40" s="1556" t="s">
        <v>8</v>
      </c>
      <c r="U40" s="1557">
        <f t="shared" si="13"/>
        <v>100</v>
      </c>
      <c r="V40" s="1556" t="s">
        <v>8</v>
      </c>
      <c r="W40" s="1557">
        <f t="shared" si="14"/>
        <v>100</v>
      </c>
      <c r="X40" s="3356"/>
      <c r="Y40" s="3578"/>
      <c r="Z40" s="3358" t="str">
        <f t="shared" si="15"/>
        <v>房型</v>
      </c>
      <c r="AA40" s="3359">
        <f t="shared" si="3"/>
        <v>1</v>
      </c>
      <c r="AB40" s="3359">
        <f t="shared" si="4"/>
        <v>1</v>
      </c>
      <c r="AC40" s="3359">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78"/>
      <c r="Q41" s="1587" t="str">
        <f t="shared" si="11"/>
        <v>单套/主力户型建筑面积</v>
      </c>
      <c r="R41" s="1560" t="s">
        <v>8</v>
      </c>
      <c r="S41" s="1561">
        <f t="shared" si="12"/>
        <v>100</v>
      </c>
      <c r="T41" s="1560" t="s">
        <v>8</v>
      </c>
      <c r="U41" s="1561">
        <f t="shared" si="13"/>
        <v>100</v>
      </c>
      <c r="V41" s="1560" t="s">
        <v>8</v>
      </c>
      <c r="W41" s="1561">
        <f t="shared" si="14"/>
        <v>100</v>
      </c>
      <c r="X41" s="1562"/>
      <c r="Y41" s="3578"/>
      <c r="Z41" s="1563" t="str">
        <f t="shared" si="15"/>
        <v>单套/主力户型建筑面积</v>
      </c>
      <c r="AA41" s="3359">
        <f t="shared" si="3"/>
        <v>1</v>
      </c>
      <c r="AB41" s="3359">
        <f t="shared" si="4"/>
        <v>1</v>
      </c>
      <c r="AC41" s="3359">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78"/>
      <c r="Q42" s="3357" t="str">
        <f t="shared" si="11"/>
        <v>内部装修</v>
      </c>
      <c r="R42" s="1556" t="s">
        <v>8</v>
      </c>
      <c r="S42" s="1557">
        <f t="shared" si="12"/>
        <v>100</v>
      </c>
      <c r="T42" s="1556" t="s">
        <v>8</v>
      </c>
      <c r="U42" s="1557">
        <f t="shared" si="13"/>
        <v>100</v>
      </c>
      <c r="V42" s="1556" t="s">
        <v>8</v>
      </c>
      <c r="W42" s="1557">
        <f t="shared" si="14"/>
        <v>100</v>
      </c>
      <c r="X42" s="3356"/>
      <c r="Y42" s="3578"/>
      <c r="Z42" s="3358" t="str">
        <f t="shared" si="15"/>
        <v>内部装修</v>
      </c>
      <c r="AA42" s="3359">
        <f t="shared" si="3"/>
        <v>1</v>
      </c>
      <c r="AB42" s="3359">
        <f t="shared" si="4"/>
        <v>1</v>
      </c>
      <c r="AC42" s="33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24"/>
      <c r="M43" s="2116"/>
      <c r="N43" s="2116"/>
      <c r="O43" s="2123"/>
      <c r="P43" s="3578"/>
      <c r="Q43" s="3357" t="str">
        <f t="shared" si="11"/>
        <v>内部装修维护情况</v>
      </c>
      <c r="R43" s="1556" t="s">
        <v>8</v>
      </c>
      <c r="S43" s="1557">
        <f t="shared" si="12"/>
        <v>100</v>
      </c>
      <c r="T43" s="1556" t="s">
        <v>8</v>
      </c>
      <c r="U43" s="1557">
        <f t="shared" si="13"/>
        <v>100</v>
      </c>
      <c r="V43" s="1556" t="s">
        <v>8</v>
      </c>
      <c r="W43" s="1557">
        <f t="shared" si="14"/>
        <v>100</v>
      </c>
      <c r="X43" s="3356"/>
      <c r="Y43" s="3578"/>
      <c r="Z43" s="3358" t="str">
        <f t="shared" si="15"/>
        <v>内部装修维护情况</v>
      </c>
      <c r="AA43" s="3359">
        <f t="shared" si="3"/>
        <v>1</v>
      </c>
      <c r="AB43" s="3359">
        <f t="shared" si="4"/>
        <v>1</v>
      </c>
      <c r="AC43" s="3359">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7"/>
      <c r="M44" s="2118"/>
      <c r="N44" s="2118"/>
      <c r="O44" s="2119"/>
      <c r="P44" s="3578"/>
      <c r="Q44" s="3355">
        <f t="shared" si="11"/>
        <v>111</v>
      </c>
      <c r="R44" s="1551" t="s">
        <v>8</v>
      </c>
      <c r="S44" s="1552">
        <f t="shared" si="12"/>
        <v>100</v>
      </c>
      <c r="T44" s="1551" t="s">
        <v>8</v>
      </c>
      <c r="U44" s="1552">
        <f t="shared" si="13"/>
        <v>100</v>
      </c>
      <c r="V44" s="1551" t="s">
        <v>8</v>
      </c>
      <c r="W44" s="1552">
        <f t="shared" si="14"/>
        <v>100</v>
      </c>
      <c r="X44" s="1553"/>
      <c r="Y44" s="3578"/>
      <c r="Z44" s="3354">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78"/>
      <c r="Q45" s="3357">
        <f t="shared" si="11"/>
        <v>111</v>
      </c>
      <c r="R45" s="1556" t="s">
        <v>8</v>
      </c>
      <c r="S45" s="1557">
        <f t="shared" si="12"/>
        <v>100</v>
      </c>
      <c r="T45" s="1556" t="s">
        <v>8</v>
      </c>
      <c r="U45" s="1557">
        <f t="shared" si="13"/>
        <v>100</v>
      </c>
      <c r="V45" s="1556" t="s">
        <v>8</v>
      </c>
      <c r="W45" s="1557">
        <f t="shared" si="14"/>
        <v>100</v>
      </c>
      <c r="X45" s="3356"/>
      <c r="Y45" s="3578"/>
      <c r="Z45" s="3358">
        <f t="shared" si="15"/>
        <v>111</v>
      </c>
      <c r="AA45" s="3359">
        <f t="shared" si="3"/>
        <v>1</v>
      </c>
      <c r="AB45" s="3359">
        <f t="shared" si="4"/>
        <v>1</v>
      </c>
      <c r="AC45" s="3359">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80"/>
      <c r="Q46" s="3357">
        <f t="shared" si="11"/>
        <v>111</v>
      </c>
      <c r="R46" s="1556" t="s">
        <v>8</v>
      </c>
      <c r="S46" s="1557">
        <f t="shared" si="12"/>
        <v>100</v>
      </c>
      <c r="T46" s="1556" t="s">
        <v>8</v>
      </c>
      <c r="U46" s="1557">
        <f t="shared" si="13"/>
        <v>100</v>
      </c>
      <c r="V46" s="1556" t="s">
        <v>8</v>
      </c>
      <c r="W46" s="1557">
        <f t="shared" si="14"/>
        <v>100</v>
      </c>
      <c r="X46" s="3356"/>
      <c r="Y46" s="3680"/>
      <c r="Z46" s="3358">
        <f t="shared" si="15"/>
        <v>111</v>
      </c>
      <c r="AA46" s="3359">
        <f t="shared" si="3"/>
        <v>1</v>
      </c>
      <c r="AB46" s="3359">
        <f t="shared" si="4"/>
        <v>1</v>
      </c>
      <c r="AC46" s="3359">
        <f t="shared" si="5"/>
        <v>1</v>
      </c>
    </row>
    <row r="47" spans="1:29" ht="15">
      <c r="A47" s="607" t="s">
        <v>736</v>
      </c>
      <c r="B47" s="886"/>
      <c r="C47" s="2588" t="s">
        <v>1</v>
      </c>
      <c r="D47" s="2589"/>
      <c r="E47" s="2590">
        <f>E55*M55</f>
        <v>16000</v>
      </c>
      <c r="F47" s="2591"/>
      <c r="G47" s="2592">
        <f>G55*M55</f>
        <v>17000</v>
      </c>
      <c r="H47" s="2593"/>
      <c r="I47" s="2590">
        <f>I55*M55</f>
        <v>12000</v>
      </c>
      <c r="J47" s="2593"/>
      <c r="K47" s="1588"/>
      <c r="L47" s="2126"/>
      <c r="M47" s="2127"/>
      <c r="N47" s="2116"/>
      <c r="O47" s="2127"/>
      <c r="P47" s="3573" t="str">
        <f>A47</f>
        <v>成交单价（元/平方米）</v>
      </c>
      <c r="Q47" s="3573"/>
      <c r="R47" s="3679">
        <f>E47</f>
        <v>16000</v>
      </c>
      <c r="S47" s="3679"/>
      <c r="T47" s="3679">
        <f>G47</f>
        <v>17000</v>
      </c>
      <c r="U47" s="3679"/>
      <c r="V47" s="3679">
        <f>I47</f>
        <v>12000</v>
      </c>
      <c r="W47" s="3679"/>
      <c r="X47" s="1542"/>
      <c r="Y47" s="1564"/>
      <c r="Z47" s="1542"/>
      <c r="AA47" s="1542"/>
      <c r="AB47" s="1542"/>
      <c r="AC47" s="1542"/>
    </row>
    <row r="48" spans="1:29" ht="15.75" thickBot="1">
      <c r="A48" s="615" t="s">
        <v>2689</v>
      </c>
      <c r="B48" s="887"/>
      <c r="C48" s="2594">
        <f>R49</f>
        <v>16212</v>
      </c>
      <c r="D48" s="2595"/>
      <c r="E48" s="2596">
        <f>R48</f>
        <v>17391</v>
      </c>
      <c r="F48" s="2596"/>
      <c r="G48" s="2594">
        <f>T48</f>
        <v>18478</v>
      </c>
      <c r="H48" s="2595"/>
      <c r="I48" s="2596">
        <f>V48</f>
        <v>12766</v>
      </c>
      <c r="J48" s="2595"/>
      <c r="K48" s="1589"/>
      <c r="L48" s="2126"/>
      <c r="M48" s="2127"/>
      <c r="N48" s="2127"/>
      <c r="O48" s="2127"/>
      <c r="P48" s="3573" t="str">
        <f>A48</f>
        <v>比较价格（元/平方米）</v>
      </c>
      <c r="Q48" s="3573"/>
      <c r="R48" s="3679">
        <f>IF(F1="售价",ROUND(PRODUCT(R47,AA7:AA46),0),ROUND(PRODUCT(R47,AA7:AA46),1))</f>
        <v>17391</v>
      </c>
      <c r="S48" s="3679"/>
      <c r="T48" s="3679">
        <f>IF(F1="售价",ROUND(PRODUCT(T47,AB7:AB46),0),ROUND(PRODUCT(T47,AB7:AB46),1))</f>
        <v>18478</v>
      </c>
      <c r="U48" s="3679"/>
      <c r="V48" s="3679">
        <f>IF(F1="售价",ROUND(PRODUCT(V47,AC7:AC46),0),ROUND(PRODUCT(V47,AC7:AC46),1))</f>
        <v>12766</v>
      </c>
      <c r="W48" s="3679"/>
      <c r="X48" s="1542"/>
      <c r="Y48" s="1542"/>
      <c r="Z48" s="1542"/>
      <c r="AA48" s="1542"/>
      <c r="AB48" s="1542"/>
      <c r="AC48" s="1542"/>
    </row>
    <row r="49" spans="1:29" ht="15.75" thickBot="1">
      <c r="A49" s="621" t="s">
        <v>2929</v>
      </c>
      <c r="B49" s="622"/>
      <c r="C49" s="2597">
        <f>R49</f>
        <v>16212</v>
      </c>
      <c r="D49" s="2597"/>
      <c r="E49" s="2597"/>
      <c r="F49" s="2597"/>
      <c r="G49" s="2597"/>
      <c r="H49" s="2597"/>
      <c r="I49" s="2597"/>
      <c r="J49" s="2597"/>
      <c r="K49" s="1590"/>
      <c r="L49" s="2126"/>
      <c r="M49" s="2127"/>
      <c r="N49" s="2127"/>
      <c r="O49" s="2127"/>
      <c r="P49" s="3594" t="str">
        <f>A49</f>
        <v>估价对象XX用房的比较价格（楼面单价，元/平方米）</v>
      </c>
      <c r="Q49" s="3595"/>
      <c r="R49" s="3678">
        <f>IF(F1="售价",ROUND(AVERAGE(R48:V48),0),ROUND(AVERAGE(R48:V48),1))</f>
        <v>16212</v>
      </c>
      <c r="S49" s="3678"/>
      <c r="T49" s="3678"/>
      <c r="U49" s="3678"/>
      <c r="V49" s="3678"/>
      <c r="W49" s="367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8.693749999999989E-2</v>
      </c>
      <c r="F52" s="627" t="str">
        <f>IF(OR(E52&gt;=0.3,E52&lt;=-0.3),"超过30%","")</f>
        <v/>
      </c>
      <c r="G52" s="626">
        <f>IF(G47&lt;G48,G48/G47-1,G47/G48-1)</f>
        <v>8.6941176470588299E-2</v>
      </c>
      <c r="H52" s="627" t="str">
        <f>IF(OR(G52&gt;=0.3,G52&lt;=-0.3),"超过30%","")</f>
        <v/>
      </c>
      <c r="I52" s="626">
        <f>IF(I47&lt;I48,I48/I47-1,I47/I48-1)</f>
        <v>6.3833333333333409E-2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6.2503593812891722E-2</v>
      </c>
      <c r="F53" s="627" t="str">
        <f>IF(OR(E53&gt;=0.2,E53&lt;=-0.2),"超过20%","")</f>
        <v/>
      </c>
      <c r="G53" s="626">
        <f>IF(G48&lt;I48,I48/G48-1,G48/I48-1)</f>
        <v>0.4474385085383048</v>
      </c>
      <c r="H53" s="627" t="str">
        <f>IF(OR(G53&gt;=0.2,G53&lt;=-0.2),"超过20%","")</f>
        <v>超过20%</v>
      </c>
      <c r="I53" s="626">
        <f>IF(I48&lt;E48,E48/I48-1,I48/E48-1)</f>
        <v>0.36229045903180324</v>
      </c>
      <c r="J53" s="627" t="str">
        <f>IF(OR(I53&gt;=0.2,I53&lt;=-0.2),"超过20%","")</f>
        <v>超过20%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6.25E-2</v>
      </c>
      <c r="F54" s="627" t="str">
        <f>IF(OR(E54&gt;=0.3,E54&lt;=-0.3),"超过30%","")</f>
        <v/>
      </c>
      <c r="G54" s="626">
        <f>IF(G47&lt;I47,I47/G47-1,G47/I47-1)</f>
        <v>0.41666666666666674</v>
      </c>
      <c r="H54" s="627" t="str">
        <f>IF(OR(G54&gt;=0.3,G54&lt;=-0.3),"超过30%","")</f>
        <v>超过30%</v>
      </c>
      <c r="I54" s="626">
        <f>IF(I47&lt;E47,E47/I47-1,I47/E47-1)</f>
        <v>0.33333333333333326</v>
      </c>
      <c r="J54" s="627" t="str">
        <f>IF(OR(I54&gt;=0.3,I54&lt;=-0.3),"超过30%","")</f>
        <v>超过30%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v>16000</v>
      </c>
      <c r="F55" s="2128"/>
      <c r="G55" s="2128">
        <v>17000</v>
      </c>
      <c r="H55" s="2128"/>
      <c r="I55" s="2128">
        <v>12000</v>
      </c>
      <c r="J55" s="2128"/>
      <c r="K55" s="2134"/>
      <c r="L55" s="2135"/>
      <c r="M55" s="2128">
        <v>1</v>
      </c>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2315</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2544</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3686</v>
      </c>
      <c r="D100" s="3182" t="s">
        <v>3688</v>
      </c>
      <c r="E100" s="3182" t="s">
        <v>3687</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3652</v>
      </c>
      <c r="D116" s="3184" t="s">
        <v>3653</v>
      </c>
      <c r="E116" s="3184" t="s">
        <v>3654</v>
      </c>
      <c r="F116" s="3184" t="s">
        <v>3655</v>
      </c>
      <c r="G116" s="3184" t="s">
        <v>3656</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2260</v>
      </c>
      <c r="H138" s="1910" t="s">
        <v>2261</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2267</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1" sqref="B3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1725</v>
      </c>
      <c r="B1" s="738"/>
      <c r="C1" s="773" t="s">
        <v>3130</v>
      </c>
      <c r="D1" s="3072" t="s">
        <v>3133</v>
      </c>
      <c r="E1" s="2348" t="s">
        <v>2371</v>
      </c>
      <c r="F1" s="2349">
        <f ca="1">J53</f>
        <v>38.200000000000003</v>
      </c>
      <c r="G1" s="774">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1726</v>
      </c>
      <c r="B2" s="775">
        <f ca="1">C40+J29+L46</f>
        <v>51706</v>
      </c>
      <c r="C2" s="2039"/>
      <c r="D2" s="2037"/>
      <c r="E2" s="2038"/>
      <c r="F2" s="2038"/>
      <c r="G2" s="1573"/>
      <c r="H2" s="2039"/>
      <c r="I2" s="2039"/>
      <c r="J2" s="2039"/>
      <c r="K2" s="2040"/>
      <c r="L2" s="2039"/>
      <c r="M2" s="2039"/>
    </row>
    <row r="3" spans="1:33" ht="18" customHeight="1" thickBot="1">
      <c r="A3" s="833" t="s">
        <v>1727</v>
      </c>
      <c r="B3" s="834">
        <f ca="1">IF(ISERROR(B2*10000/F43),0,ROUND(B2*10000/F43,0))</f>
        <v>3305</v>
      </c>
      <c r="C3" s="2039"/>
      <c r="D3" s="2037"/>
      <c r="E3" s="2038"/>
      <c r="F3" s="2038"/>
      <c r="G3" s="1573"/>
      <c r="H3" s="776" t="s">
        <v>695</v>
      </c>
      <c r="I3" s="1358"/>
      <c r="J3" s="1358"/>
      <c r="K3" s="1574"/>
      <c r="L3" s="1358"/>
      <c r="M3" s="1358"/>
    </row>
    <row r="4" spans="1:33" ht="18" customHeight="1">
      <c r="A4" s="777" t="s">
        <v>1728</v>
      </c>
      <c r="B4" s="778" t="s">
        <v>1729</v>
      </c>
      <c r="C4" s="778" t="s">
        <v>1730</v>
      </c>
      <c r="D4" s="778" t="s">
        <v>633</v>
      </c>
      <c r="E4" s="779" t="s">
        <v>1731</v>
      </c>
      <c r="F4" s="780"/>
      <c r="G4" s="1575"/>
      <c r="H4" s="777" t="s">
        <v>1732</v>
      </c>
      <c r="I4" s="778" t="s">
        <v>1733</v>
      </c>
      <c r="J4" s="778" t="s">
        <v>1734</v>
      </c>
      <c r="K4" s="778" t="s">
        <v>1735</v>
      </c>
      <c r="L4" s="779" t="s">
        <v>1736</v>
      </c>
      <c r="M4" s="780"/>
    </row>
    <row r="5" spans="1:33" ht="18" customHeight="1">
      <c r="A5" s="781">
        <v>1</v>
      </c>
      <c r="B5" s="782" t="s">
        <v>2455</v>
      </c>
      <c r="C5" s="55">
        <f ca="1">C6+C10+C12</f>
        <v>4111</v>
      </c>
      <c r="D5" s="2457" t="s">
        <v>2458</v>
      </c>
      <c r="E5" s="2451"/>
      <c r="F5" s="2452"/>
      <c r="G5" s="1575"/>
      <c r="H5" s="781">
        <v>1</v>
      </c>
      <c r="I5" s="782" t="s">
        <v>2455</v>
      </c>
      <c r="J5" s="55">
        <f ca="1">J6+J10+J12</f>
        <v>0</v>
      </c>
      <c r="K5" s="2457" t="s">
        <v>2458</v>
      </c>
      <c r="L5" s="2451"/>
      <c r="M5" s="2452"/>
    </row>
    <row r="6" spans="1:33" ht="18" customHeight="1">
      <c r="A6" s="1812" t="s">
        <v>1824</v>
      </c>
      <c r="B6" s="3647" t="s">
        <v>2460</v>
      </c>
      <c r="C6" s="783">
        <f ca="1">ROUND(F6*F8*F7*(1-F9)/10000,0)</f>
        <v>4111</v>
      </c>
      <c r="D6" s="2458" t="s">
        <v>2459</v>
      </c>
      <c r="E6" s="784" t="s">
        <v>1738</v>
      </c>
      <c r="F6" s="785">
        <f ca="1">INDIRECT("'数据-取费表'!u"&amp;$G$1)</f>
        <v>0.8</v>
      </c>
      <c r="G6" s="1575"/>
      <c r="H6" s="2465" t="s">
        <v>2465</v>
      </c>
      <c r="I6" s="3647" t="s">
        <v>2460</v>
      </c>
      <c r="J6" s="783">
        <f ca="1">ROUND(M6*M8*M7*(1-M9)/10000,0)</f>
        <v>0</v>
      </c>
      <c r="K6" s="341" t="s">
        <v>1737</v>
      </c>
      <c r="L6" s="784" t="s">
        <v>1738</v>
      </c>
      <c r="M6" s="785">
        <f ca="1">INDIRECT("'数据-取费表'!z"&amp;$G$1)</f>
        <v>0</v>
      </c>
    </row>
    <row r="7" spans="1:33" ht="18" customHeight="1">
      <c r="A7" s="2461"/>
      <c r="B7" s="3648"/>
      <c r="C7" s="788"/>
      <c r="D7" s="789"/>
      <c r="E7" s="784" t="s">
        <v>1739</v>
      </c>
      <c r="F7" s="785">
        <f ca="1">IF(INDIRECT("'数据-取费表'!ah"&amp;$G$1)="",INDIRECT("'数据-取费表'!k"&amp;$G$1),INDIRECT("'数据-取费表'!ah"&amp;$G$1))</f>
        <v>156438.94999999998</v>
      </c>
      <c r="G7" s="1575"/>
      <c r="H7" s="2450"/>
      <c r="I7" s="3648"/>
      <c r="J7" s="788"/>
      <c r="K7" s="789"/>
      <c r="L7" s="784" t="s">
        <v>1739</v>
      </c>
      <c r="M7" s="785">
        <f ca="1">F7</f>
        <v>156438.94999999998</v>
      </c>
    </row>
    <row r="8" spans="1:33" ht="18" customHeight="1">
      <c r="A8" s="2454"/>
      <c r="B8" s="3649"/>
      <c r="C8" s="788"/>
      <c r="D8" s="789"/>
      <c r="E8" s="784" t="s">
        <v>1740</v>
      </c>
      <c r="F8" s="785">
        <f ca="1">INDIRECT("'数据-取费表'!ai"&amp;$G$1)</f>
        <v>365</v>
      </c>
      <c r="G8" s="1575"/>
      <c r="H8" s="2450"/>
      <c r="I8" s="3649"/>
      <c r="J8" s="788"/>
      <c r="K8" s="789"/>
      <c r="L8" s="784" t="s">
        <v>1740</v>
      </c>
      <c r="M8" s="785">
        <f ca="1">INDIRECT("'数据-取费表'!ai"&amp;$G$1)</f>
        <v>365</v>
      </c>
    </row>
    <row r="9" spans="1:33" ht="18" customHeight="1">
      <c r="A9" s="786"/>
      <c r="B9" s="3650"/>
      <c r="C9" s="788"/>
      <c r="D9" s="789"/>
      <c r="E9" s="784" t="s">
        <v>1741</v>
      </c>
      <c r="F9" s="794">
        <f ca="1">INDIRECT("'数据-取费表'!w"&amp;$G$1)</f>
        <v>0.1</v>
      </c>
      <c r="G9" s="1575"/>
      <c r="H9" s="2466"/>
      <c r="I9" s="3649"/>
      <c r="J9" s="788"/>
      <c r="K9" s="789"/>
      <c r="L9" s="795" t="s">
        <v>1741</v>
      </c>
      <c r="M9" s="796">
        <f ca="1">INDIRECT("'数据-取费表'!ab"&amp;$G$1)</f>
        <v>0</v>
      </c>
    </row>
    <row r="10" spans="1:33" ht="18" customHeight="1">
      <c r="A10" s="1812" t="s">
        <v>2463</v>
      </c>
      <c r="B10" s="2455" t="s">
        <v>2456</v>
      </c>
      <c r="C10" s="799">
        <f ca="1">ROUND(IF(F10="押一",C6/12*F11,IF(F10="押二",C6/12*2*F11,IF(F10="押三",C6/12*3*F11,C11*F11))),0)</f>
        <v>0</v>
      </c>
      <c r="D10" s="2462" t="s">
        <v>2967</v>
      </c>
      <c r="E10" s="2459" t="s">
        <v>2461</v>
      </c>
      <c r="F10" s="3378" t="s">
        <v>3695</v>
      </c>
      <c r="G10" s="1575"/>
      <c r="H10" s="2522" t="s">
        <v>2466</v>
      </c>
      <c r="I10" s="2527" t="s">
        <v>2456</v>
      </c>
      <c r="J10" s="783">
        <f ca="1">ROUND(IF(M10="押一",J6/12*M11,IF(M10="押二",J6/12*2*M11,IF(M10="押三",J6/12*3*M11,J11*M11))),0)</f>
        <v>0</v>
      </c>
      <c r="K10" s="2462" t="s">
        <v>2967</v>
      </c>
      <c r="L10" s="2459" t="s">
        <v>2461</v>
      </c>
      <c r="M10" s="2582"/>
    </row>
    <row r="11" spans="1:33" ht="18" customHeight="1">
      <c r="A11" s="790"/>
      <c r="B11" s="2456" t="s">
        <v>2570</v>
      </c>
      <c r="C11" s="2460"/>
      <c r="D11" s="789"/>
      <c r="E11" s="2459" t="s">
        <v>2462</v>
      </c>
      <c r="F11" s="796">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1742</v>
      </c>
      <c r="C13" s="792">
        <f ca="1">ROUND(C29*F13,0)</f>
        <v>62995</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4" t="s">
        <v>645</v>
      </c>
      <c r="C14" s="804">
        <f ca="1">INDIRECT("'数据-取费表'!m"&amp;$G$1)+INDIRECT("'数据-取费表'!t"&amp;$G$1)</f>
        <v>44074</v>
      </c>
      <c r="D14" s="1961" t="s">
        <v>1745</v>
      </c>
      <c r="E14" s="1962"/>
      <c r="F14" s="805"/>
      <c r="G14" s="1575"/>
      <c r="H14" s="1631" t="s">
        <v>1830</v>
      </c>
      <c r="I14" s="2213" t="s">
        <v>2822</v>
      </c>
      <c r="J14" s="53">
        <f ca="1">C29</f>
        <v>62995</v>
      </c>
      <c r="K14" s="26"/>
      <c r="L14" s="801"/>
      <c r="M14" s="802"/>
    </row>
    <row r="15" spans="1:33" s="2046" customFormat="1" ht="18" customHeight="1" thickBot="1">
      <c r="A15" s="1630" t="s">
        <v>1885</v>
      </c>
      <c r="B15" s="784" t="s">
        <v>647</v>
      </c>
      <c r="C15" s="53">
        <f ca="1">ROUND(C14*F15,0)</f>
        <v>2204</v>
      </c>
      <c r="D15" s="806" t="s">
        <v>1746</v>
      </c>
      <c r="E15" s="806" t="s">
        <v>1747</v>
      </c>
      <c r="F15" s="807">
        <f>'数据-取费表'!B33</f>
        <v>0.05</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4" t="s">
        <v>650</v>
      </c>
      <c r="C16" s="53">
        <f ca="1">ROUND(INDIRECT("'数据-取费表'!m"&amp;$G$1)*F16,0)</f>
        <v>0</v>
      </c>
      <c r="D16" s="784" t="s">
        <v>1746</v>
      </c>
      <c r="E16" s="784" t="s">
        <v>1747</v>
      </c>
      <c r="F16" s="809">
        <f ca="1">IF(INDIRECT("'数据-取费表'!c"&amp;$G$1)="住宅",'数据-取费表'!B34,0)</f>
        <v>0</v>
      </c>
      <c r="G16" s="1575"/>
      <c r="H16" s="1811" t="s">
        <v>1748</v>
      </c>
      <c r="I16" s="1809" t="s">
        <v>1749</v>
      </c>
      <c r="J16" s="792">
        <f ca="1">ROUND(J17+J22+J23+J24,0)</f>
        <v>6577</v>
      </c>
      <c r="K16" s="1803" t="s">
        <v>1750</v>
      </c>
      <c r="L16" s="2447"/>
      <c r="M16" s="2452"/>
    </row>
    <row r="17" spans="1:33" s="2046" customFormat="1" ht="18" customHeight="1">
      <c r="A17" s="1630" t="s">
        <v>1887</v>
      </c>
      <c r="B17" s="784" t="s">
        <v>653</v>
      </c>
      <c r="C17" s="53">
        <f ca="1">ROUND(F17*(F43+INDIRECT("'数据-取费表'!S"&amp;$G$1))/10000,0)</f>
        <v>2874</v>
      </c>
      <c r="D17" s="784" t="s">
        <v>1751</v>
      </c>
      <c r="E17" s="784" t="s">
        <v>1752</v>
      </c>
      <c r="F17" s="56">
        <f>'数据-取费表'!B35</f>
        <v>150</v>
      </c>
      <c r="G17" s="1576"/>
      <c r="H17" s="1631" t="s">
        <v>1830</v>
      </c>
      <c r="I17" s="784" t="s">
        <v>656</v>
      </c>
      <c r="J17" s="53">
        <f ca="1">ROUND(IF(项目基本情况!B11="自然人",J5*M17,J18+J19+J20),0)</f>
        <v>5317</v>
      </c>
      <c r="K17" s="2446" t="s">
        <v>1753</v>
      </c>
      <c r="L17" s="2445" t="s">
        <v>1754</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4" t="s">
        <v>659</v>
      </c>
      <c r="C18" s="53">
        <f ca="1">ROUND(C14*F18,0)</f>
        <v>661</v>
      </c>
      <c r="D18" s="784" t="s">
        <v>1746</v>
      </c>
      <c r="E18" s="784" t="s">
        <v>1747</v>
      </c>
      <c r="F18" s="809">
        <f>'数据-取费表'!B36</f>
        <v>1.4999999999999999E-2</v>
      </c>
      <c r="G18" s="1576"/>
      <c r="H18" s="1630" t="s">
        <v>1884</v>
      </c>
      <c r="I18" s="784" t="s">
        <v>1755</v>
      </c>
      <c r="J18" s="53">
        <f ca="1">ROUND(J5*M18/1.05,1)</f>
        <v>0</v>
      </c>
      <c r="K18" s="2445" t="s">
        <v>1756</v>
      </c>
      <c r="L18" s="784" t="s">
        <v>1747</v>
      </c>
      <c r="M18" s="809">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4" t="s">
        <v>662</v>
      </c>
      <c r="C19" s="53">
        <f ca="1">SUM(C14:C18)</f>
        <v>49813</v>
      </c>
      <c r="D19" s="261" t="s">
        <v>1757</v>
      </c>
      <c r="E19" s="1964"/>
      <c r="F19" s="56"/>
      <c r="G19" s="1575"/>
      <c r="H19" s="1630" t="s">
        <v>1885</v>
      </c>
      <c r="I19" s="784" t="s">
        <v>1758</v>
      </c>
      <c r="J19" s="53">
        <f ca="1">IF(K19="按租金收入计税",ROUND(J5*M19,1),ROUND(C29*F33*0.7,1))</f>
        <v>5291.6</v>
      </c>
      <c r="K19" s="811" t="s">
        <v>665</v>
      </c>
      <c r="L19" s="784" t="s">
        <v>1747</v>
      </c>
      <c r="M19" s="809">
        <f>IF(K19="按租金收入计税",'数据-取费表'!B51,'数据-取费表'!B50)</f>
        <v>1.2E-2</v>
      </c>
    </row>
    <row r="20" spans="1:33" s="2046" customFormat="1" ht="18" customHeight="1">
      <c r="A20" s="1631" t="s">
        <v>1889</v>
      </c>
      <c r="B20" s="784" t="s">
        <v>666</v>
      </c>
      <c r="C20" s="53">
        <f ca="1">ROUND(C19*F20,0)</f>
        <v>1494</v>
      </c>
      <c r="D20" s="812" t="s">
        <v>1759</v>
      </c>
      <c r="E20" s="784" t="s">
        <v>1747</v>
      </c>
      <c r="F20" s="809">
        <f>'数据-取费表'!B37</f>
        <v>0.03</v>
      </c>
      <c r="G20" s="1576"/>
      <c r="H20" s="1633" t="s">
        <v>1880</v>
      </c>
      <c r="I20" s="341" t="s">
        <v>1760</v>
      </c>
      <c r="J20" s="54">
        <f ca="1">ROUND(M20*M21/10000,0)</f>
        <v>25</v>
      </c>
      <c r="K20" s="814" t="s">
        <v>1761</v>
      </c>
      <c r="L20" s="784" t="s">
        <v>1762</v>
      </c>
      <c r="M20" s="640">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4" t="s">
        <v>1763</v>
      </c>
      <c r="C21" s="53" t="s">
        <v>1764</v>
      </c>
      <c r="D21" s="812" t="s">
        <v>2296</v>
      </c>
      <c r="E21" s="784" t="s">
        <v>1765</v>
      </c>
      <c r="F21" s="809">
        <f>'数据-取费表'!B38</f>
        <v>0.03</v>
      </c>
      <c r="G21" s="1576"/>
      <c r="H21" s="2467"/>
      <c r="I21" s="793"/>
      <c r="J21" s="69"/>
      <c r="K21" s="816"/>
      <c r="L21" s="784" t="s">
        <v>1766</v>
      </c>
      <c r="M21" s="785">
        <f ca="1">INDIRECT("'数据-取费表'!r"&amp;$G$1)</f>
        <v>84929.69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4" t="s">
        <v>1767</v>
      </c>
      <c r="C22" s="53"/>
      <c r="D22" s="2533" t="str">
        <f>IF(F23&lt;=1,"单利计息。","复利计息。")&amp;"建造成本、管理费用、销售费用产生的利息。"</f>
        <v>复利计息。建造成本、管理费用、销售费用产生的利息。</v>
      </c>
      <c r="E22" s="1964"/>
      <c r="F22" s="56"/>
      <c r="G22" s="1575"/>
      <c r="H22" s="1631" t="s">
        <v>1889</v>
      </c>
      <c r="I22" s="784" t="s">
        <v>1768</v>
      </c>
      <c r="J22" s="53">
        <f ca="1">ROUND(J14*M22,0)</f>
        <v>1260</v>
      </c>
      <c r="K22" s="2445" t="s">
        <v>1769</v>
      </c>
      <c r="L22" s="784" t="s">
        <v>1747</v>
      </c>
      <c r="M22" s="817">
        <f ca="1">INDIRECT("'数据-取费表'!Ak"&amp;$G$1)</f>
        <v>0.02</v>
      </c>
    </row>
    <row r="23" spans="1:33" s="2046" customFormat="1" ht="18" customHeight="1">
      <c r="A23" s="1630" t="s">
        <v>1831</v>
      </c>
      <c r="B23" s="784" t="s">
        <v>2532</v>
      </c>
      <c r="C23" s="53">
        <f ca="1">ROUND(IF('数据-取费表'!B22&lt;=1,(C19+C20)*F24*F23/2,(C19+C20)*(POWER((1+F24),F23/2)-1)),0)</f>
        <v>3699</v>
      </c>
      <c r="D23" s="2532" t="str">
        <f>IF(F23&lt;=1,"(建造成本+管理费用)×利率×(建设周期÷2)","(建造成本+管理费用)×((1+利率)^(建设周期÷2)-1)")</f>
        <v>(建造成本+管理费用)×((1+利率)^(建设周期÷2)-1)</v>
      </c>
      <c r="E23" s="784" t="s">
        <v>1770</v>
      </c>
      <c r="F23" s="640">
        <f>'数据-取费表'!B20</f>
        <v>3</v>
      </c>
      <c r="G23" s="1576"/>
      <c r="H23" s="1631" t="s">
        <v>1890</v>
      </c>
      <c r="I23" s="784" t="s">
        <v>679</v>
      </c>
      <c r="J23" s="53">
        <f ca="1">ROUND(J13*M23,0)</f>
        <v>0</v>
      </c>
      <c r="K23" s="2445" t="s">
        <v>1771</v>
      </c>
      <c r="L23" s="784" t="s">
        <v>1747</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4" t="s">
        <v>1772</v>
      </c>
      <c r="C24" s="53">
        <f ca="1">ROUND(IF('数据-取费表'!B22&lt;=1,F21*F24*F23/2,F21*(POWER((1+F24),F23/2)-1)),4)</f>
        <v>2.2000000000000001E-3</v>
      </c>
      <c r="D24" s="2532" t="str">
        <f>IF(F23&lt;=1,"销售费用×利率×(建设周期÷2)","销售费用×((1+利率)^(建设周期÷2)-1)")</f>
        <v>销售费用×((1+利率)^(建设周期÷2)-1)</v>
      </c>
      <c r="E24" s="784" t="s">
        <v>1773</v>
      </c>
      <c r="F24" s="819">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4" t="s">
        <v>684</v>
      </c>
      <c r="C25" s="53"/>
      <c r="D25" s="261" t="s">
        <v>1775</v>
      </c>
      <c r="E25" s="1964"/>
      <c r="F25" s="56"/>
      <c r="G25" s="1575"/>
      <c r="H25" s="1811" t="s">
        <v>1776</v>
      </c>
      <c r="I25" s="2959" t="s">
        <v>2818</v>
      </c>
      <c r="J25" s="792">
        <f ca="1">J5-J16</f>
        <v>-6577</v>
      </c>
      <c r="K25" s="2509" t="s">
        <v>1777</v>
      </c>
      <c r="L25" s="2510"/>
      <c r="M25" s="2511"/>
    </row>
    <row r="26" spans="1:33" ht="18" customHeight="1">
      <c r="A26" s="1630" t="s">
        <v>1831</v>
      </c>
      <c r="B26" s="784" t="s">
        <v>2435</v>
      </c>
      <c r="C26" s="53">
        <f ca="1">ROUND((C19+C20)*F26,0)</f>
        <v>2565</v>
      </c>
      <c r="D26" s="812" t="s">
        <v>1778</v>
      </c>
      <c r="E26" s="795" t="s">
        <v>1779</v>
      </c>
      <c r="F26" s="794">
        <f ca="1">INDIRECT("'数据-取费表'!q"&amp;$G$1)</f>
        <v>0.05</v>
      </c>
      <c r="G26" s="1575"/>
      <c r="H26" s="2463" t="s">
        <v>1780</v>
      </c>
      <c r="I26" s="2214" t="s">
        <v>2823</v>
      </c>
      <c r="J26" s="783">
        <f ca="1">IF(J5&lt;&gt;0,ROUND(J25*(1-((1+M28)/(1+M26))^M27)/(M26-M28),0),0)</f>
        <v>0</v>
      </c>
      <c r="K26" s="814" t="s">
        <v>1781</v>
      </c>
      <c r="L26" s="784" t="s">
        <v>2416</v>
      </c>
      <c r="M26" s="794">
        <f ca="1">INDIRECT("'数据-取费表'!I"&amp;$G$1)</f>
        <v>4.4999999999999998E-2</v>
      </c>
    </row>
    <row r="27" spans="1:33" ht="18" customHeight="1">
      <c r="A27" s="1630" t="s">
        <v>1832</v>
      </c>
      <c r="B27" s="784" t="s">
        <v>686</v>
      </c>
      <c r="C27" s="53">
        <f ca="1">ROUND(F21*F26,4)</f>
        <v>1.5E-3</v>
      </c>
      <c r="D27" s="812" t="s">
        <v>1782</v>
      </c>
      <c r="E27" s="806"/>
      <c r="F27" s="807"/>
      <c r="G27" s="1575"/>
      <c r="H27" s="2464"/>
      <c r="I27" s="787"/>
      <c r="J27" s="788"/>
      <c r="K27" s="821" t="s">
        <v>1783</v>
      </c>
      <c r="L27" s="784" t="s">
        <v>1784</v>
      </c>
      <c r="M27" s="822">
        <f ca="1">INDIRECT("'数据-取费表'!ag"&amp;$G$1)</f>
        <v>0</v>
      </c>
    </row>
    <row r="28" spans="1:33" s="2046" customFormat="1" ht="18" customHeight="1">
      <c r="A28" s="1632" t="s">
        <v>1841</v>
      </c>
      <c r="B28" s="784" t="s">
        <v>687</v>
      </c>
      <c r="C28" s="53">
        <f>ROUND(F28/(1+'数据-取费表'!C42),4)</f>
        <v>5.2400000000000002E-2</v>
      </c>
      <c r="D28" s="812" t="s">
        <v>2297</v>
      </c>
      <c r="E28" s="784" t="s">
        <v>1785</v>
      </c>
      <c r="F28" s="809">
        <f>'数据-取费表'!B41</f>
        <v>5.5000000000000007E-2</v>
      </c>
      <c r="G28" s="1576"/>
      <c r="H28" s="1811"/>
      <c r="I28" s="791"/>
      <c r="J28" s="792"/>
      <c r="K28" s="816"/>
      <c r="L28" s="784" t="s">
        <v>1786</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62995</v>
      </c>
      <c r="D29" s="2506"/>
      <c r="E29" s="2507"/>
      <c r="F29" s="2508"/>
      <c r="G29" s="1576"/>
      <c r="H29" s="823" t="s">
        <v>1787</v>
      </c>
      <c r="I29" s="824" t="s">
        <v>1788</v>
      </c>
      <c r="J29" s="825">
        <f ca="1">ROUND(J26/(1+F40)^F41,0)</f>
        <v>0</v>
      </c>
      <c r="K29" s="826" t="s">
        <v>1789</v>
      </c>
      <c r="L29" s="827"/>
      <c r="M29" s="828">
        <f ca="1">INDIRECT("'数据-取费表'!k"&amp;$G$1)</f>
        <v>156438.94999999998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2">
        <f ca="1">ROUND(C31+C36+C37+C38,0)</f>
        <v>2130</v>
      </c>
      <c r="D30" s="1803" t="s">
        <v>1791</v>
      </c>
      <c r="E30" s="2447"/>
      <c r="F30" s="2452"/>
      <c r="G30" s="2044"/>
      <c r="H30" s="2047"/>
      <c r="I30" s="2048"/>
      <c r="J30" s="2049"/>
      <c r="K30" s="2050"/>
      <c r="L30" s="2051"/>
      <c r="M30" s="2052"/>
    </row>
    <row r="31" spans="1:33" ht="18" customHeight="1">
      <c r="A31" s="1631" t="s">
        <v>1830</v>
      </c>
      <c r="B31" s="784" t="s">
        <v>656</v>
      </c>
      <c r="C31" s="53">
        <f ca="1">ROUND(IF(项目基本情况!B11="自然人",C5*F31,C32+C33+C34),1)</f>
        <v>734.1</v>
      </c>
      <c r="D31" s="1961" t="s">
        <v>1792</v>
      </c>
      <c r="E31" s="1959" t="s">
        <v>1793</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4" t="s">
        <v>1794</v>
      </c>
      <c r="C32" s="53">
        <f ca="1">ROUND(C5*F32/1.05,1)</f>
        <v>215.3</v>
      </c>
      <c r="D32" s="1959" t="s">
        <v>1795</v>
      </c>
      <c r="E32" s="784" t="s">
        <v>1796</v>
      </c>
      <c r="F32" s="809">
        <f>'数据-取费表'!B41</f>
        <v>5.5000000000000007E-2</v>
      </c>
      <c r="G32" s="2044"/>
      <c r="H32" s="2053"/>
      <c r="I32" s="2054"/>
      <c r="J32" s="2055"/>
      <c r="K32" s="2056"/>
      <c r="L32" s="2057"/>
      <c r="M32" s="2058"/>
    </row>
    <row r="33" spans="1:18" ht="18" customHeight="1">
      <c r="A33" s="1630" t="s">
        <v>1832</v>
      </c>
      <c r="B33" s="784" t="s">
        <v>1797</v>
      </c>
      <c r="C33" s="53">
        <f ca="1">IF(D33="按租金收入计税",ROUND(C5*F33,1),IF(D33="按房产原值计税",ROUND(C29*F33*0.7,1),INDIRECT("'数据-取费表'!Aj"&amp;$G$1)))</f>
        <v>493.3</v>
      </c>
      <c r="D33" s="811" t="s">
        <v>3134</v>
      </c>
      <c r="E33" s="784" t="s">
        <v>1796</v>
      </c>
      <c r="F33" s="809">
        <f>IF(D33="按租金收入计税",'数据-取费表'!B51,'数据-取费表'!B50)</f>
        <v>0.12</v>
      </c>
      <c r="G33" s="2044"/>
      <c r="H33" s="2059"/>
      <c r="I33" s="2059"/>
      <c r="J33" s="2059"/>
      <c r="K33" s="2060"/>
      <c r="L33" s="2059"/>
      <c r="M33" s="2059"/>
    </row>
    <row r="34" spans="1:18" ht="18" customHeight="1">
      <c r="A34" s="1633" t="s">
        <v>1833</v>
      </c>
      <c r="B34" s="341" t="s">
        <v>1798</v>
      </c>
      <c r="C34" s="54">
        <f ca="1">ROUND(F34*F35/10000,1)</f>
        <v>25.5</v>
      </c>
      <c r="D34" s="814" t="s">
        <v>1799</v>
      </c>
      <c r="E34" s="784" t="s">
        <v>1800</v>
      </c>
      <c r="F34" s="640">
        <f>'数据-取费表'!B52</f>
        <v>3</v>
      </c>
      <c r="G34" s="2044"/>
      <c r="H34" s="2047"/>
      <c r="I34" s="835" t="s">
        <v>1813</v>
      </c>
      <c r="J34" s="836"/>
      <c r="K34" s="2062"/>
      <c r="L34" s="2061"/>
      <c r="M34" s="2061"/>
    </row>
    <row r="35" spans="1:18" ht="18" customHeight="1">
      <c r="A35" s="815"/>
      <c r="B35" s="793"/>
      <c r="C35" s="69"/>
      <c r="D35" s="816"/>
      <c r="E35" s="784" t="s">
        <v>1801</v>
      </c>
      <c r="F35" s="785">
        <f ca="1">INDIRECT("'数据-取费表'!r"&amp;$G$1)</f>
        <v>84929.69</v>
      </c>
      <c r="G35" s="2044"/>
      <c r="H35" s="2047"/>
      <c r="I35" s="837" t="s">
        <v>1814</v>
      </c>
      <c r="J35" s="838">
        <f ca="1">ROUND(C13*J36,0)</f>
        <v>5040</v>
      </c>
      <c r="K35" s="2060"/>
      <c r="L35" s="2059"/>
      <c r="M35" s="2059"/>
    </row>
    <row r="36" spans="1:18" ht="18" customHeight="1">
      <c r="A36" s="1631" t="s">
        <v>1889</v>
      </c>
      <c r="B36" s="784" t="s">
        <v>1802</v>
      </c>
      <c r="C36" s="53">
        <f ca="1">ROUND(C29*F36,1)</f>
        <v>1259.9000000000001</v>
      </c>
      <c r="D36" s="1959" t="s">
        <v>1803</v>
      </c>
      <c r="E36" s="784" t="s">
        <v>1796</v>
      </c>
      <c r="F36" s="817">
        <f ca="1">INDIRECT("'数据-取费表'!Ak"&amp;$G$1)</f>
        <v>0.02</v>
      </c>
      <c r="G36" s="2044"/>
      <c r="H36" s="2059"/>
      <c r="I36" s="839" t="s">
        <v>1815</v>
      </c>
      <c r="J36" s="840">
        <f ca="1">INDIRECT("'数据-取费表'!j"&amp;$G$1)</f>
        <v>0.08</v>
      </c>
      <c r="K36" s="2064"/>
      <c r="L36" s="2059"/>
      <c r="M36" s="2059"/>
    </row>
    <row r="37" spans="1:18" ht="18" customHeight="1">
      <c r="A37" s="1631" t="s">
        <v>1890</v>
      </c>
      <c r="B37" s="784" t="s">
        <v>679</v>
      </c>
      <c r="C37" s="53">
        <f ca="1">ROUND(C13*F37,1)</f>
        <v>94.5</v>
      </c>
      <c r="D37" s="1959" t="s">
        <v>1804</v>
      </c>
      <c r="E37" s="784" t="s">
        <v>1796</v>
      </c>
      <c r="F37" s="818">
        <f ca="1">INDIRECT("'数据-取费表'!Al"&amp;$G$1)</f>
        <v>1.5E-3</v>
      </c>
      <c r="G37" s="2044"/>
      <c r="H37" s="2059"/>
      <c r="I37" s="841" t="s">
        <v>1816</v>
      </c>
      <c r="J37" s="842"/>
      <c r="K37" s="2064"/>
      <c r="L37" s="2059"/>
      <c r="M37" s="2059"/>
    </row>
    <row r="38" spans="1:18" ht="18" customHeight="1" thickBot="1">
      <c r="A38" s="2512" t="s">
        <v>1891</v>
      </c>
      <c r="B38" s="2507" t="s">
        <v>666</v>
      </c>
      <c r="C38" s="2505">
        <f ca="1">ROUND(C5*F38,1)</f>
        <v>41.1</v>
      </c>
      <c r="D38" s="2506" t="s">
        <v>1805</v>
      </c>
      <c r="E38" s="2507" t="s">
        <v>1796</v>
      </c>
      <c r="F38" s="2503">
        <f ca="1">INDIRECT("'数据-取费表'!Am"&amp;$G$1)</f>
        <v>0.01</v>
      </c>
      <c r="G38" s="2044"/>
      <c r="H38" s="2059"/>
      <c r="I38" s="843" t="s">
        <v>1817</v>
      </c>
      <c r="J38" s="844"/>
      <c r="K38" s="2065"/>
      <c r="L38" s="2059"/>
      <c r="M38" s="2059"/>
    </row>
    <row r="39" spans="1:18" ht="24.6" customHeight="1" thickTop="1">
      <c r="A39" s="1811" t="s">
        <v>1894</v>
      </c>
      <c r="B39" s="2959" t="s">
        <v>2818</v>
      </c>
      <c r="C39" s="792">
        <f ca="1">C5-C30</f>
        <v>1981</v>
      </c>
      <c r="D39" s="2509" t="s">
        <v>1806</v>
      </c>
      <c r="E39" s="2510"/>
      <c r="F39" s="2511"/>
      <c r="G39" s="2044"/>
      <c r="H39" s="2059"/>
      <c r="I39" s="837" t="s">
        <v>1818</v>
      </c>
      <c r="J39" s="845">
        <f ca="1">ROUND(J35/C39,3)</f>
        <v>2.544</v>
      </c>
      <c r="K39" s="2065"/>
      <c r="L39" s="2059"/>
      <c r="M39" s="2059"/>
    </row>
    <row r="40" spans="1:18" ht="18" customHeight="1">
      <c r="A40" s="781" t="s">
        <v>1895</v>
      </c>
      <c r="B40" s="2214" t="s">
        <v>2299</v>
      </c>
      <c r="C40" s="783">
        <f ca="1">ROUND(C39*(1-((1+F42)/(1+F40))^F41)/(F40-F42),0)</f>
        <v>51706</v>
      </c>
      <c r="D40" s="814" t="s">
        <v>1807</v>
      </c>
      <c r="E40" s="784" t="s">
        <v>2416</v>
      </c>
      <c r="F40" s="794">
        <f ca="1">INDIRECT("'数据-取费表'!I"&amp;$G$1)</f>
        <v>4.4999999999999998E-2</v>
      </c>
      <c r="G40" s="2044"/>
      <c r="H40" s="2044"/>
      <c r="I40" s="837" t="s">
        <v>1819</v>
      </c>
      <c r="J40" s="845">
        <f ca="1">1-J39</f>
        <v>-1.544</v>
      </c>
      <c r="K40" s="2065"/>
      <c r="L40" s="2044"/>
      <c r="M40" s="2044"/>
    </row>
    <row r="41" spans="1:18" ht="18" customHeight="1">
      <c r="A41" s="786"/>
      <c r="B41" s="787"/>
      <c r="C41" s="788"/>
      <c r="D41" s="821" t="s">
        <v>1808</v>
      </c>
      <c r="E41" s="784" t="s">
        <v>2957</v>
      </c>
      <c r="F41" s="822">
        <f ca="1">IF(INDIRECT("'数据-取费表'!af"&amp;$G$1)=0,INDIRECT("'数据-取费表'!ae"&amp;$G$1),INDIRECT("'数据-取费表'!af"&amp;$G$1))</f>
        <v>38.200000000000003</v>
      </c>
      <c r="G41" s="2044"/>
      <c r="H41" s="1970"/>
      <c r="I41" s="843" t="s">
        <v>1820</v>
      </c>
      <c r="J41" s="846"/>
      <c r="K41" s="2064"/>
      <c r="L41" s="1970"/>
      <c r="M41" s="1970"/>
    </row>
    <row r="42" spans="1:18" ht="18" customHeight="1">
      <c r="A42" s="790"/>
      <c r="B42" s="791"/>
      <c r="C42" s="792"/>
      <c r="D42" s="816"/>
      <c r="E42" s="784" t="s">
        <v>1809</v>
      </c>
      <c r="F42" s="794">
        <f ca="1">INDIRECT("'数据-取费表'!v"&amp;$G$1)</f>
        <v>2.5000000000000001E-2</v>
      </c>
      <c r="G42" s="2044"/>
      <c r="H42" s="1970"/>
      <c r="I42" s="847" t="s">
        <v>1821</v>
      </c>
      <c r="J42" s="845">
        <f ca="1">ROUND(C13/C40,3)</f>
        <v>1.218</v>
      </c>
      <c r="K42" s="2064"/>
      <c r="L42" s="1970"/>
      <c r="M42" s="1970"/>
    </row>
    <row r="43" spans="1:18" ht="18" customHeight="1" thickBot="1">
      <c r="A43" s="823" t="s">
        <v>1787</v>
      </c>
      <c r="B43" s="824" t="s">
        <v>1810</v>
      </c>
      <c r="C43" s="825">
        <f ca="1">ROUND(C40*10000/F43,0)</f>
        <v>3305</v>
      </c>
      <c r="D43" s="826" t="s">
        <v>1811</v>
      </c>
      <c r="E43" s="827" t="s">
        <v>1812</v>
      </c>
      <c r="F43" s="828">
        <f ca="1">INDIRECT("'数据-取费表'!k"&amp;$G$1)</f>
        <v>156438.94999999998</v>
      </c>
      <c r="G43" s="2044"/>
      <c r="H43" s="1970"/>
      <c r="I43" s="847" t="s">
        <v>1822</v>
      </c>
      <c r="J43" s="848">
        <f ca="1">1-J42</f>
        <v>-0.21799999999999997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-76665</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4" t="s">
        <v>2341</v>
      </c>
      <c r="J47" s="2342" t="s">
        <v>3135</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2294</v>
      </c>
      <c r="F48" s="2338"/>
      <c r="G48" s="2072"/>
      <c r="I48" s="3073" t="s">
        <v>2342</v>
      </c>
      <c r="J48" s="2343" t="s">
        <v>2347</v>
      </c>
      <c r="K48" s="3102" t="s">
        <v>2348</v>
      </c>
      <c r="L48" s="1890">
        <f ca="1">INDIRECT("'数据-取费表'!f"&amp;$G$1)</f>
        <v>41.2</v>
      </c>
      <c r="O48" s="2359" t="s">
        <v>2376</v>
      </c>
      <c r="P48" s="2360" t="s">
        <v>2402</v>
      </c>
      <c r="Q48" s="2361">
        <f ca="1">C40+J29</f>
        <v>51706</v>
      </c>
      <c r="R48" s="2360" t="s">
        <v>2377</v>
      </c>
    </row>
    <row r="49" spans="1:18" s="2041" customFormat="1" ht="18" customHeight="1" thickBot="1">
      <c r="A49" s="786"/>
      <c r="B49" s="787"/>
      <c r="C49" s="788"/>
      <c r="D49" s="789"/>
      <c r="E49" s="784" t="s">
        <v>1739</v>
      </c>
      <c r="F49" s="785">
        <f ca="1">F7</f>
        <v>156438.94999999998</v>
      </c>
      <c r="G49" s="2072"/>
      <c r="H49" s="2075"/>
      <c r="I49" s="3073" t="s">
        <v>2343</v>
      </c>
      <c r="J49" s="2344">
        <v>2021</v>
      </c>
      <c r="K49" s="3103" t="s">
        <v>2349</v>
      </c>
      <c r="L49" s="2345"/>
      <c r="O49" s="2359" t="s">
        <v>2378</v>
      </c>
      <c r="P49" s="2360" t="s">
        <v>2403</v>
      </c>
      <c r="Q49" s="2361">
        <f ca="1">J60</f>
        <v>1117</v>
      </c>
      <c r="R49" s="2360" t="s">
        <v>2379</v>
      </c>
    </row>
    <row r="50" spans="1:18" s="2041" customFormat="1" ht="18" customHeight="1" thickBot="1">
      <c r="A50" s="786"/>
      <c r="B50" s="787"/>
      <c r="C50" s="788"/>
      <c r="D50" s="789"/>
      <c r="E50" s="784" t="s">
        <v>1740</v>
      </c>
      <c r="F50" s="785">
        <f ca="1">F8</f>
        <v>365</v>
      </c>
      <c r="G50" s="2077"/>
      <c r="H50" s="2075"/>
      <c r="I50" s="3073" t="s">
        <v>2344</v>
      </c>
      <c r="J50" s="3098">
        <f>SUMPRODUCT((I63:I65=J47)*(J62:L62=J48)*(J63:L65))</f>
        <v>60</v>
      </c>
      <c r="K50" s="3103" t="s">
        <v>2350</v>
      </c>
      <c r="L50" s="2345"/>
      <c r="O50" s="2362" t="s">
        <v>2380</v>
      </c>
      <c r="P50" s="2360" t="s">
        <v>2404</v>
      </c>
      <c r="Q50" s="2361">
        <f ca="1">C29</f>
        <v>62995</v>
      </c>
      <c r="R50" s="2360" t="s">
        <v>2377</v>
      </c>
    </row>
    <row r="51" spans="1:18" s="2041" customFormat="1" ht="18" customHeight="1" thickBot="1">
      <c r="A51" s="786"/>
      <c r="B51" s="787"/>
      <c r="C51" s="788"/>
      <c r="D51" s="789"/>
      <c r="E51" s="784" t="s">
        <v>640</v>
      </c>
      <c r="F51" s="2332"/>
      <c r="H51" s="2075"/>
      <c r="I51" s="3095" t="s">
        <v>2345</v>
      </c>
      <c r="J51" s="3099">
        <f>IF(J49="",J50,J49+J50-YEAR('数据-取费表'!B2))</f>
        <v>62</v>
      </c>
      <c r="K51" s="3073" t="s">
        <v>2351</v>
      </c>
      <c r="L51" s="3106">
        <f ca="1">ROUND(-PV(INDIRECT("'数据-取费表'!h"&amp;$G$1),L48,(C39-C13*J36),0),0)</f>
        <v>-61270</v>
      </c>
      <c r="O51" s="2362" t="s">
        <v>2381</v>
      </c>
      <c r="P51" s="2360" t="s">
        <v>2382</v>
      </c>
      <c r="Q51" s="2363">
        <f ca="1">J58</f>
        <v>0.4</v>
      </c>
      <c r="R51" s="2364"/>
    </row>
    <row r="52" spans="1:18" s="2041" customFormat="1" ht="18" customHeight="1" thickBot="1">
      <c r="A52" s="781" t="s">
        <v>2533</v>
      </c>
      <c r="B52" s="2455" t="s">
        <v>2456</v>
      </c>
      <c r="C52" s="799">
        <f ca="1">ROUND(IF(F52="押一",C48/12*F11,IF(F52="押二",C48/12*2*F11,IF(F52="押三",C48/12*3*F11,C53*F11))),0)</f>
        <v>0</v>
      </c>
      <c r="D52" s="2462" t="s">
        <v>2968</v>
      </c>
      <c r="E52" s="2459" t="s">
        <v>2461</v>
      </c>
      <c r="F52" s="2582"/>
      <c r="I52" s="3096" t="s">
        <v>2418</v>
      </c>
      <c r="J52" s="2346">
        <v>8.5000000000000006E-2</v>
      </c>
      <c r="K52" s="3096" t="s">
        <v>2417</v>
      </c>
      <c r="L52" s="2346"/>
      <c r="O52" s="2362" t="s">
        <v>2383</v>
      </c>
      <c r="P52" s="2360" t="s">
        <v>2384</v>
      </c>
      <c r="Q52" s="2363">
        <f>J52</f>
        <v>8.5000000000000006E-2</v>
      </c>
      <c r="R52" s="2364"/>
    </row>
    <row r="53" spans="1:18" s="2041" customFormat="1" ht="39.75" customHeight="1" thickBot="1">
      <c r="A53" s="786"/>
      <c r="B53" s="2456" t="s">
        <v>2570</v>
      </c>
      <c r="C53" s="2460"/>
      <c r="D53" s="2462"/>
      <c r="E53" s="2459"/>
      <c r="F53" s="800"/>
      <c r="I53" s="3097" t="s">
        <v>2971</v>
      </c>
      <c r="J53" s="3100">
        <f ca="1">IF(M47="住宅",IF(D1="——",MAX(J51,L48),MAX(J51,L48-'数据-取费表'!B20)),IF(D1="——",MIN(J51,L48),MIN(J51,L48-'数据-取费表'!B20)))</f>
        <v>38.200000000000003</v>
      </c>
      <c r="K53" s="3691" t="s">
        <v>2959</v>
      </c>
      <c r="L53" s="3692"/>
      <c r="O53" s="2362" t="s">
        <v>2385</v>
      </c>
      <c r="P53" s="2360" t="s">
        <v>2386</v>
      </c>
      <c r="Q53" s="2361">
        <f ca="1">J53</f>
        <v>38.200000000000003</v>
      </c>
      <c r="R53" s="2360" t="s">
        <v>2387</v>
      </c>
    </row>
    <row r="54" spans="1:18" s="2041" customFormat="1" ht="18" customHeight="1" thickBot="1">
      <c r="A54" s="2498" t="s">
        <v>2464</v>
      </c>
      <c r="B54" s="2499" t="s">
        <v>2457</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52823</v>
      </c>
      <c r="R54" s="2364" t="s">
        <v>2389</v>
      </c>
    </row>
    <row r="55" spans="1:18" s="2041" customFormat="1" ht="18" customHeight="1" thickTop="1" thickBot="1">
      <c r="A55" s="797">
        <v>2</v>
      </c>
      <c r="B55" s="798" t="s">
        <v>644</v>
      </c>
      <c r="C55" s="799">
        <f ca="1">C13</f>
        <v>62995</v>
      </c>
      <c r="D55" s="795"/>
      <c r="E55" s="795"/>
      <c r="F55" s="800"/>
      <c r="I55" s="3109" t="s">
        <v>2352</v>
      </c>
      <c r="J55" s="3048">
        <f ca="1">ROUND(IF(J47="钢混",J57/J50,1-(1-2%)*(J50-J57)/J50),3)</f>
        <v>0.34699999999999998</v>
      </c>
      <c r="K55" s="3110" t="s">
        <v>2353</v>
      </c>
      <c r="L55" s="2347"/>
      <c r="O55" s="2365" t="s">
        <v>2408</v>
      </c>
      <c r="P55" s="1575"/>
      <c r="Q55" s="1586"/>
      <c r="R55" s="1575"/>
    </row>
    <row r="56" spans="1:18" s="2041" customFormat="1" ht="42.75" customHeight="1" thickBot="1">
      <c r="A56" s="1632"/>
      <c r="B56" s="2213" t="s">
        <v>2300</v>
      </c>
      <c r="C56" s="53">
        <f ca="1">C29</f>
        <v>62995</v>
      </c>
      <c r="D56" s="2600"/>
      <c r="E56" s="784"/>
      <c r="F56" s="809"/>
      <c r="I56" s="3111" t="s">
        <v>2354</v>
      </c>
      <c r="J56" s="3121" t="s">
        <v>3136</v>
      </c>
      <c r="K56" s="3073" t="s">
        <v>2359</v>
      </c>
      <c r="L56" s="1890" t="str">
        <f ca="1">IF(L48&lt;J51,"——",L48-J51)</f>
        <v>——</v>
      </c>
      <c r="O56" s="2356" t="s">
        <v>2372</v>
      </c>
      <c r="P56" s="2357" t="s">
        <v>2373</v>
      </c>
      <c r="Q56" s="2358" t="s">
        <v>2374</v>
      </c>
      <c r="R56" s="2357" t="s">
        <v>2375</v>
      </c>
    </row>
    <row r="57" spans="1:18" s="2041" customFormat="1" ht="28.5" customHeight="1" thickBot="1">
      <c r="A57" s="797" t="s">
        <v>1748</v>
      </c>
      <c r="B57" s="798" t="s">
        <v>651</v>
      </c>
      <c r="C57" s="799">
        <f ca="1">ROUND(C58+C63+C64+C65,0)</f>
        <v>1380</v>
      </c>
      <c r="D57" s="26" t="s">
        <v>1750</v>
      </c>
      <c r="E57" s="2601"/>
      <c r="F57" s="56"/>
      <c r="I57" s="3112" t="s">
        <v>2355</v>
      </c>
      <c r="J57" s="3113">
        <f ca="1">IF(OR(M47="住宅",J51&lt;L48,J56="是"),"——",J51-L48)</f>
        <v>20.799999999999997</v>
      </c>
      <c r="K57" s="3073" t="s">
        <v>2360</v>
      </c>
      <c r="L57" s="1890" t="str">
        <f ca="1">IF(L48&lt;J51,"——",IF(L55="比较法",L49,IF(L55="基准地价",L50,L51)))</f>
        <v>——</v>
      </c>
      <c r="O57" s="2359" t="s">
        <v>2376</v>
      </c>
      <c r="P57" s="2360" t="s">
        <v>2406</v>
      </c>
      <c r="Q57" s="2361">
        <f ca="1">C40+J29</f>
        <v>51706</v>
      </c>
      <c r="R57" s="2360" t="s">
        <v>2377</v>
      </c>
    </row>
    <row r="58" spans="1:18" s="2041" customFormat="1" ht="28.5" customHeight="1" thickBot="1">
      <c r="A58" s="1631" t="s">
        <v>1824</v>
      </c>
      <c r="B58" s="784" t="s">
        <v>656</v>
      </c>
      <c r="C58" s="53">
        <f ca="1">ROUND(IF(项目基本情况!B11="自然人",C47*F58,C59+C60+C61),1)</f>
        <v>25.5</v>
      </c>
      <c r="D58" s="2599" t="s">
        <v>657</v>
      </c>
      <c r="E58" s="2600" t="s">
        <v>690</v>
      </c>
      <c r="F58" s="810"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1831</v>
      </c>
      <c r="B59" s="784" t="s">
        <v>660</v>
      </c>
      <c r="C59" s="53">
        <f ca="1">ROUND(C47*F59/1.05,1)</f>
        <v>0</v>
      </c>
      <c r="D59" s="2600" t="s">
        <v>1756</v>
      </c>
      <c r="E59" s="784" t="s">
        <v>1747</v>
      </c>
      <c r="F59" s="809">
        <f t="shared" ref="F59:F65" si="0">F32</f>
        <v>5.5000000000000007E-2</v>
      </c>
      <c r="I59" s="3112" t="s">
        <v>2357</v>
      </c>
      <c r="J59" s="3113">
        <f ca="1">IF(OR(M47="住宅",J51&lt;L48,J56="是"),"——",ROUND(C29*J58,0))</f>
        <v>25198</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1832</v>
      </c>
      <c r="B60" s="784" t="s">
        <v>1758</v>
      </c>
      <c r="C60" s="53">
        <f ca="1">IF(D60="按租金收入计税",ROUND(C47*F60,1),IF(D60="按房产原值计税",ROUND(C56*F60*0.7,1),INDIRECT("'数据-取费表'!Aj"&amp;$G$1)))</f>
        <v>0</v>
      </c>
      <c r="D60" s="2600" t="str">
        <f>D33</f>
        <v>按租金收入计税</v>
      </c>
      <c r="E60" s="784" t="s">
        <v>1747</v>
      </c>
      <c r="F60" s="809">
        <f t="shared" si="0"/>
        <v>0.12</v>
      </c>
      <c r="I60" s="3114" t="s">
        <v>2358</v>
      </c>
      <c r="J60" s="3115">
        <f ca="1">IF(OR(M47="住宅",J51&lt;L48,J56="是"),"0",ROUND(J59/(1+J52)^J53,0))</f>
        <v>1117</v>
      </c>
      <c r="K60" s="3116" t="s">
        <v>2363</v>
      </c>
      <c r="L60" s="3115">
        <f ca="1">IF(OR(M47="住宅",L48&lt;J51),0,ROUND(L57*(L58/L59-1),0))</f>
        <v>0</v>
      </c>
      <c r="O60" s="2362" t="s">
        <v>2381</v>
      </c>
      <c r="P60" s="2360" t="s">
        <v>2390</v>
      </c>
      <c r="Q60" s="2363">
        <f>L52</f>
        <v>0</v>
      </c>
      <c r="R60" s="2364"/>
    </row>
    <row r="61" spans="1:18" s="2041" customFormat="1" ht="18" customHeight="1" thickBot="1">
      <c r="A61" s="1633" t="s">
        <v>1833</v>
      </c>
      <c r="B61" s="341" t="s">
        <v>668</v>
      </c>
      <c r="C61" s="54">
        <f ca="1">ROUND(F61*F62/10000,1)</f>
        <v>25.5</v>
      </c>
      <c r="D61" s="814" t="s">
        <v>669</v>
      </c>
      <c r="E61" s="784" t="s">
        <v>670</v>
      </c>
      <c r="F61" s="640">
        <f t="shared" si="0"/>
        <v>3</v>
      </c>
      <c r="K61" s="2068"/>
      <c r="O61" s="2362" t="s">
        <v>2383</v>
      </c>
      <c r="P61" s="2360" t="s">
        <v>2391</v>
      </c>
      <c r="Q61" s="2361" t="e">
        <f ca="1">L58</f>
        <v>#DIV/0!</v>
      </c>
      <c r="R61" s="2364" t="s">
        <v>2392</v>
      </c>
    </row>
    <row r="62" spans="1:18" s="2041" customFormat="1" ht="15.75" thickBot="1">
      <c r="A62" s="815"/>
      <c r="B62" s="793"/>
      <c r="C62" s="69"/>
      <c r="D62" s="816"/>
      <c r="E62" s="784" t="s">
        <v>674</v>
      </c>
      <c r="F62" s="785">
        <f t="shared" ca="1" si="0"/>
        <v>84929.69</v>
      </c>
      <c r="I62" s="3117" t="s">
        <v>2364</v>
      </c>
      <c r="J62" s="3118" t="s">
        <v>2365</v>
      </c>
      <c r="K62" s="3118" t="s">
        <v>2366</v>
      </c>
      <c r="L62" s="3118" t="s">
        <v>2347</v>
      </c>
      <c r="M62" s="3119" t="s">
        <v>2936</v>
      </c>
      <c r="O62" s="2362" t="s">
        <v>2385</v>
      </c>
      <c r="P62" s="2360" t="str">
        <f>K59</f>
        <v>建设期及建筑物耐用年限下的土地年期修正系数Kn</v>
      </c>
      <c r="Q62" s="2361" t="e">
        <f ca="1">L59</f>
        <v>#DIV/0!</v>
      </c>
      <c r="R62" s="2364" t="s">
        <v>2394</v>
      </c>
    </row>
    <row r="63" spans="1:18" s="2041" customFormat="1" ht="15.75" thickBot="1">
      <c r="A63" s="1631" t="s">
        <v>1889</v>
      </c>
      <c r="B63" s="784" t="s">
        <v>676</v>
      </c>
      <c r="C63" s="53">
        <f ca="1">ROUND(C56*F63,1)</f>
        <v>1259.9000000000001</v>
      </c>
      <c r="D63" s="2600" t="s">
        <v>1803</v>
      </c>
      <c r="E63" s="784" t="s">
        <v>1747</v>
      </c>
      <c r="F63" s="817">
        <f t="shared" ca="1" si="0"/>
        <v>0.02</v>
      </c>
      <c r="I63" s="3117" t="s">
        <v>2367</v>
      </c>
      <c r="J63" s="3118">
        <v>70</v>
      </c>
      <c r="K63" s="3118">
        <v>50</v>
      </c>
      <c r="L63" s="3118">
        <v>80</v>
      </c>
      <c r="M63" s="3120">
        <v>0.02</v>
      </c>
      <c r="O63" s="2359" t="s">
        <v>2388</v>
      </c>
      <c r="P63" s="2360" t="s">
        <v>2405</v>
      </c>
      <c r="Q63" s="2361">
        <f ca="1">Q57+Q58</f>
        <v>51706</v>
      </c>
      <c r="R63" s="2364" t="s">
        <v>2389</v>
      </c>
    </row>
    <row r="64" spans="1:18" s="2041" customFormat="1" ht="16.5" thickBot="1">
      <c r="A64" s="1631" t="s">
        <v>1890</v>
      </c>
      <c r="B64" s="784" t="s">
        <v>679</v>
      </c>
      <c r="C64" s="53">
        <f ca="1">ROUND(C55*F64,1)</f>
        <v>94.5</v>
      </c>
      <c r="D64" s="2600" t="s">
        <v>680</v>
      </c>
      <c r="E64" s="784" t="s">
        <v>1747</v>
      </c>
      <c r="F64" s="818">
        <f t="shared" ca="1" si="0"/>
        <v>1.5E-3</v>
      </c>
      <c r="I64" s="3117" t="s">
        <v>2368</v>
      </c>
      <c r="J64" s="3118">
        <v>50</v>
      </c>
      <c r="K64" s="3118">
        <v>35</v>
      </c>
      <c r="L64" s="3118">
        <v>60</v>
      </c>
      <c r="M64" s="846">
        <v>0</v>
      </c>
      <c r="O64" s="2365" t="s">
        <v>2412</v>
      </c>
      <c r="P64" s="1575"/>
      <c r="Q64" s="1586"/>
      <c r="R64" s="1575"/>
    </row>
    <row r="65" spans="1:18" s="2041" customFormat="1" ht="15.75" thickBot="1">
      <c r="A65" s="1631" t="s">
        <v>1891</v>
      </c>
      <c r="B65" s="784" t="s">
        <v>666</v>
      </c>
      <c r="C65" s="53">
        <f ca="1">ROUND(C47*F65,1)</f>
        <v>0</v>
      </c>
      <c r="D65" s="2600" t="s">
        <v>683</v>
      </c>
      <c r="E65" s="784" t="s">
        <v>1747</v>
      </c>
      <c r="F65" s="794">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7" t="s">
        <v>1776</v>
      </c>
      <c r="B66" s="2960" t="s">
        <v>2818</v>
      </c>
      <c r="C66" s="799">
        <f ca="1">C47-C57</f>
        <v>-1380</v>
      </c>
      <c r="D66" s="2599" t="s">
        <v>700</v>
      </c>
      <c r="E66" s="2598"/>
      <c r="F66" s="820"/>
      <c r="K66" s="2068"/>
      <c r="O66" s="2359" t="s">
        <v>2376</v>
      </c>
      <c r="P66" s="2360" t="s">
        <v>2406</v>
      </c>
      <c r="Q66" s="2361">
        <f ca="1">C40+J29</f>
        <v>51706</v>
      </c>
      <c r="R66" s="2360" t="s">
        <v>2377</v>
      </c>
    </row>
    <row r="67" spans="1:18" s="2041" customFormat="1" ht="20.25" thickBot="1">
      <c r="A67" s="781" t="s">
        <v>1780</v>
      </c>
      <c r="B67" s="2214" t="s">
        <v>2299</v>
      </c>
      <c r="C67" s="783">
        <f ca="1">ROUND(C66*(1-((1+F69)/(1+F67))^F68)/(F67-F69),0)</f>
        <v>-24959</v>
      </c>
      <c r="D67" s="814" t="s">
        <v>704</v>
      </c>
      <c r="E67" s="784" t="s">
        <v>705</v>
      </c>
      <c r="F67" s="794">
        <f ca="1">F40</f>
        <v>4.4999999999999998E-2</v>
      </c>
      <c r="K67" s="2068"/>
      <c r="O67" s="2359" t="s">
        <v>2378</v>
      </c>
      <c r="P67" s="2360" t="s">
        <v>2409</v>
      </c>
      <c r="Q67" s="2361">
        <f ca="1">L60</f>
        <v>0</v>
      </c>
      <c r="R67" s="2364" t="s">
        <v>2411</v>
      </c>
    </row>
    <row r="68" spans="1:18" ht="21.75" thickBot="1">
      <c r="A68" s="786"/>
      <c r="B68" s="787"/>
      <c r="C68" s="788"/>
      <c r="D68" s="821" t="s">
        <v>1808</v>
      </c>
      <c r="E68" s="784" t="s">
        <v>1784</v>
      </c>
      <c r="F68" s="822">
        <f ca="1">F41</f>
        <v>38.200000000000003</v>
      </c>
      <c r="O68" s="2362" t="s">
        <v>2380</v>
      </c>
      <c r="P68" s="2360" t="s">
        <v>2410</v>
      </c>
      <c r="Q68" s="2366">
        <f ca="1">L51</f>
        <v>-61270</v>
      </c>
      <c r="R68" s="2367" t="s">
        <v>2413</v>
      </c>
    </row>
    <row r="69" spans="1:18" ht="20.25" thickBot="1">
      <c r="A69" s="790"/>
      <c r="B69" s="791"/>
      <c r="C69" s="792"/>
      <c r="D69" s="816"/>
      <c r="E69" s="784" t="s">
        <v>710</v>
      </c>
      <c r="F69" s="2332"/>
      <c r="O69" s="2362" t="s">
        <v>2381</v>
      </c>
      <c r="P69" s="2368" t="s">
        <v>2395</v>
      </c>
      <c r="Q69" s="2361">
        <f ca="1">ROUND(Q70-Q71*Q72,0)</f>
        <v>-3059</v>
      </c>
      <c r="R69" s="2364"/>
    </row>
    <row r="70" spans="1:18" ht="15.75" thickBot="1">
      <c r="A70" s="823" t="s">
        <v>1787</v>
      </c>
      <c r="B70" s="824" t="s">
        <v>1810</v>
      </c>
      <c r="C70" s="825">
        <f ca="1">ROUND(C67*10000/F70,0)</f>
        <v>-1595</v>
      </c>
      <c r="D70" s="826" t="s">
        <v>1811</v>
      </c>
      <c r="E70" s="827" t="s">
        <v>1812</v>
      </c>
      <c r="F70" s="828">
        <f ca="1">F43</f>
        <v>156438.94999999998</v>
      </c>
      <c r="O70" s="2362" t="s">
        <v>2396</v>
      </c>
      <c r="P70" s="2368" t="s">
        <v>2397</v>
      </c>
      <c r="Q70" s="2361">
        <f ca="1">C39</f>
        <v>1981</v>
      </c>
      <c r="R70" s="2360" t="s">
        <v>2377</v>
      </c>
    </row>
    <row r="71" spans="1:18" ht="15.75" thickBot="1">
      <c r="O71" s="2362" t="s">
        <v>2398</v>
      </c>
      <c r="P71" s="2368" t="s">
        <v>2399</v>
      </c>
      <c r="Q71" s="2361">
        <f ca="1">C13</f>
        <v>62995</v>
      </c>
      <c r="R71" s="2360" t="s">
        <v>2377</v>
      </c>
    </row>
    <row r="72" spans="1:18" ht="15.75" thickBot="1">
      <c r="O72" s="2362" t="s">
        <v>2400</v>
      </c>
      <c r="P72" s="2368" t="s">
        <v>2401</v>
      </c>
      <c r="Q72" s="2363">
        <f ca="1">J36</f>
        <v>0.08</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51706</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160" workbookViewId="0">
      <selection activeCell="F16" sqref="F16"/>
    </sheetView>
  </sheetViews>
  <sheetFormatPr defaultRowHeight="12.75"/>
  <cols>
    <col min="1" max="1" width="26.125" style="3177" customWidth="1"/>
    <col min="2" max="2" width="6.25" style="3177" customWidth="1"/>
    <col min="3" max="3" width="7.875" style="3177" customWidth="1"/>
    <col min="4" max="4" width="13.875" style="3177" customWidth="1"/>
    <col min="5" max="5" width="13.125" style="3177" customWidth="1"/>
    <col min="6" max="6" width="27" style="3177" customWidth="1"/>
    <col min="7" max="7" width="7.875" style="3177" customWidth="1"/>
    <col min="8" max="8" width="9" style="3177" customWidth="1"/>
    <col min="9" max="9" width="7.625" style="3177" customWidth="1"/>
    <col min="10" max="10" width="9.875" style="3177" customWidth="1"/>
    <col min="11" max="11" width="11.125" style="3177" customWidth="1"/>
    <col min="12" max="12" width="6.25" style="3177" customWidth="1"/>
    <col min="13" max="13" width="47.625" style="3177" customWidth="1"/>
    <col min="14" max="14" width="7.875" style="3177" customWidth="1"/>
    <col min="15" max="256" width="9" style="3177"/>
    <col min="257" max="257" width="26.125" style="3177" customWidth="1"/>
    <col min="258" max="258" width="6.25" style="3177" customWidth="1"/>
    <col min="259" max="259" width="7.875" style="3177" customWidth="1"/>
    <col min="260" max="260" width="13.875" style="3177" customWidth="1"/>
    <col min="261" max="261" width="13.125" style="3177" customWidth="1"/>
    <col min="262" max="262" width="27" style="3177" customWidth="1"/>
    <col min="263" max="263" width="7.875" style="3177" customWidth="1"/>
    <col min="264" max="264" width="9" style="3177" customWidth="1"/>
    <col min="265" max="265" width="7.625" style="3177" customWidth="1"/>
    <col min="266" max="266" width="9.875" style="3177" customWidth="1"/>
    <col min="267" max="267" width="11.125" style="3177" customWidth="1"/>
    <col min="268" max="268" width="6.25" style="3177" customWidth="1"/>
    <col min="269" max="269" width="47.625" style="3177" customWidth="1"/>
    <col min="270" max="270" width="7.875" style="3177" customWidth="1"/>
    <col min="271" max="512" width="9" style="3177"/>
    <col min="513" max="513" width="26.125" style="3177" customWidth="1"/>
    <col min="514" max="514" width="6.25" style="3177" customWidth="1"/>
    <col min="515" max="515" width="7.875" style="3177" customWidth="1"/>
    <col min="516" max="516" width="13.875" style="3177" customWidth="1"/>
    <col min="517" max="517" width="13.125" style="3177" customWidth="1"/>
    <col min="518" max="518" width="27" style="3177" customWidth="1"/>
    <col min="519" max="519" width="7.875" style="3177" customWidth="1"/>
    <col min="520" max="520" width="9" style="3177" customWidth="1"/>
    <col min="521" max="521" width="7.625" style="3177" customWidth="1"/>
    <col min="522" max="522" width="9.875" style="3177" customWidth="1"/>
    <col min="523" max="523" width="11.125" style="3177" customWidth="1"/>
    <col min="524" max="524" width="6.25" style="3177" customWidth="1"/>
    <col min="525" max="525" width="47.625" style="3177" customWidth="1"/>
    <col min="526" max="526" width="7.875" style="3177" customWidth="1"/>
    <col min="527" max="768" width="9" style="3177"/>
    <col min="769" max="769" width="26.125" style="3177" customWidth="1"/>
    <col min="770" max="770" width="6.25" style="3177" customWidth="1"/>
    <col min="771" max="771" width="7.875" style="3177" customWidth="1"/>
    <col min="772" max="772" width="13.875" style="3177" customWidth="1"/>
    <col min="773" max="773" width="13.125" style="3177" customWidth="1"/>
    <col min="774" max="774" width="27" style="3177" customWidth="1"/>
    <col min="775" max="775" width="7.875" style="3177" customWidth="1"/>
    <col min="776" max="776" width="9" style="3177" customWidth="1"/>
    <col min="777" max="777" width="7.625" style="3177" customWidth="1"/>
    <col min="778" max="778" width="9.875" style="3177" customWidth="1"/>
    <col min="779" max="779" width="11.125" style="3177" customWidth="1"/>
    <col min="780" max="780" width="6.25" style="3177" customWidth="1"/>
    <col min="781" max="781" width="47.625" style="3177" customWidth="1"/>
    <col min="782" max="782" width="7.875" style="3177" customWidth="1"/>
    <col min="783" max="1024" width="9" style="3177"/>
    <col min="1025" max="1025" width="26.125" style="3177" customWidth="1"/>
    <col min="1026" max="1026" width="6.25" style="3177" customWidth="1"/>
    <col min="1027" max="1027" width="7.875" style="3177" customWidth="1"/>
    <col min="1028" max="1028" width="13.875" style="3177" customWidth="1"/>
    <col min="1029" max="1029" width="13.125" style="3177" customWidth="1"/>
    <col min="1030" max="1030" width="27" style="3177" customWidth="1"/>
    <col min="1031" max="1031" width="7.875" style="3177" customWidth="1"/>
    <col min="1032" max="1032" width="9" style="3177" customWidth="1"/>
    <col min="1033" max="1033" width="7.625" style="3177" customWidth="1"/>
    <col min="1034" max="1034" width="9.875" style="3177" customWidth="1"/>
    <col min="1035" max="1035" width="11.125" style="3177" customWidth="1"/>
    <col min="1036" max="1036" width="6.25" style="3177" customWidth="1"/>
    <col min="1037" max="1037" width="47.625" style="3177" customWidth="1"/>
    <col min="1038" max="1038" width="7.875" style="3177" customWidth="1"/>
    <col min="1039" max="1280" width="9" style="3177"/>
    <col min="1281" max="1281" width="26.125" style="3177" customWidth="1"/>
    <col min="1282" max="1282" width="6.25" style="3177" customWidth="1"/>
    <col min="1283" max="1283" width="7.875" style="3177" customWidth="1"/>
    <col min="1284" max="1284" width="13.875" style="3177" customWidth="1"/>
    <col min="1285" max="1285" width="13.125" style="3177" customWidth="1"/>
    <col min="1286" max="1286" width="27" style="3177" customWidth="1"/>
    <col min="1287" max="1287" width="7.875" style="3177" customWidth="1"/>
    <col min="1288" max="1288" width="9" style="3177" customWidth="1"/>
    <col min="1289" max="1289" width="7.625" style="3177" customWidth="1"/>
    <col min="1290" max="1290" width="9.875" style="3177" customWidth="1"/>
    <col min="1291" max="1291" width="11.125" style="3177" customWidth="1"/>
    <col min="1292" max="1292" width="6.25" style="3177" customWidth="1"/>
    <col min="1293" max="1293" width="47.625" style="3177" customWidth="1"/>
    <col min="1294" max="1294" width="7.875" style="3177" customWidth="1"/>
    <col min="1295" max="1536" width="9" style="3177"/>
    <col min="1537" max="1537" width="26.125" style="3177" customWidth="1"/>
    <col min="1538" max="1538" width="6.25" style="3177" customWidth="1"/>
    <col min="1539" max="1539" width="7.875" style="3177" customWidth="1"/>
    <col min="1540" max="1540" width="13.875" style="3177" customWidth="1"/>
    <col min="1541" max="1541" width="13.125" style="3177" customWidth="1"/>
    <col min="1542" max="1542" width="27" style="3177" customWidth="1"/>
    <col min="1543" max="1543" width="7.875" style="3177" customWidth="1"/>
    <col min="1544" max="1544" width="9" style="3177" customWidth="1"/>
    <col min="1545" max="1545" width="7.625" style="3177" customWidth="1"/>
    <col min="1546" max="1546" width="9.875" style="3177" customWidth="1"/>
    <col min="1547" max="1547" width="11.125" style="3177" customWidth="1"/>
    <col min="1548" max="1548" width="6.25" style="3177" customWidth="1"/>
    <col min="1549" max="1549" width="47.625" style="3177" customWidth="1"/>
    <col min="1550" max="1550" width="7.875" style="3177" customWidth="1"/>
    <col min="1551" max="1792" width="9" style="3177"/>
    <col min="1793" max="1793" width="26.125" style="3177" customWidth="1"/>
    <col min="1794" max="1794" width="6.25" style="3177" customWidth="1"/>
    <col min="1795" max="1795" width="7.875" style="3177" customWidth="1"/>
    <col min="1796" max="1796" width="13.875" style="3177" customWidth="1"/>
    <col min="1797" max="1797" width="13.125" style="3177" customWidth="1"/>
    <col min="1798" max="1798" width="27" style="3177" customWidth="1"/>
    <col min="1799" max="1799" width="7.875" style="3177" customWidth="1"/>
    <col min="1800" max="1800" width="9" style="3177" customWidth="1"/>
    <col min="1801" max="1801" width="7.625" style="3177" customWidth="1"/>
    <col min="1802" max="1802" width="9.875" style="3177" customWidth="1"/>
    <col min="1803" max="1803" width="11.125" style="3177" customWidth="1"/>
    <col min="1804" max="1804" width="6.25" style="3177" customWidth="1"/>
    <col min="1805" max="1805" width="47.625" style="3177" customWidth="1"/>
    <col min="1806" max="1806" width="7.875" style="3177" customWidth="1"/>
    <col min="1807" max="2048" width="9" style="3177"/>
    <col min="2049" max="2049" width="26.125" style="3177" customWidth="1"/>
    <col min="2050" max="2050" width="6.25" style="3177" customWidth="1"/>
    <col min="2051" max="2051" width="7.875" style="3177" customWidth="1"/>
    <col min="2052" max="2052" width="13.875" style="3177" customWidth="1"/>
    <col min="2053" max="2053" width="13.125" style="3177" customWidth="1"/>
    <col min="2054" max="2054" width="27" style="3177" customWidth="1"/>
    <col min="2055" max="2055" width="7.875" style="3177" customWidth="1"/>
    <col min="2056" max="2056" width="9" style="3177" customWidth="1"/>
    <col min="2057" max="2057" width="7.625" style="3177" customWidth="1"/>
    <col min="2058" max="2058" width="9.875" style="3177" customWidth="1"/>
    <col min="2059" max="2059" width="11.125" style="3177" customWidth="1"/>
    <col min="2060" max="2060" width="6.25" style="3177" customWidth="1"/>
    <col min="2061" max="2061" width="47.625" style="3177" customWidth="1"/>
    <col min="2062" max="2062" width="7.875" style="3177" customWidth="1"/>
    <col min="2063" max="2304" width="9" style="3177"/>
    <col min="2305" max="2305" width="26.125" style="3177" customWidth="1"/>
    <col min="2306" max="2306" width="6.25" style="3177" customWidth="1"/>
    <col min="2307" max="2307" width="7.875" style="3177" customWidth="1"/>
    <col min="2308" max="2308" width="13.875" style="3177" customWidth="1"/>
    <col min="2309" max="2309" width="13.125" style="3177" customWidth="1"/>
    <col min="2310" max="2310" width="27" style="3177" customWidth="1"/>
    <col min="2311" max="2311" width="7.875" style="3177" customWidth="1"/>
    <col min="2312" max="2312" width="9" style="3177" customWidth="1"/>
    <col min="2313" max="2313" width="7.625" style="3177" customWidth="1"/>
    <col min="2314" max="2314" width="9.875" style="3177" customWidth="1"/>
    <col min="2315" max="2315" width="11.125" style="3177" customWidth="1"/>
    <col min="2316" max="2316" width="6.25" style="3177" customWidth="1"/>
    <col min="2317" max="2317" width="47.625" style="3177" customWidth="1"/>
    <col min="2318" max="2318" width="7.875" style="3177" customWidth="1"/>
    <col min="2319" max="2560" width="9" style="3177"/>
    <col min="2561" max="2561" width="26.125" style="3177" customWidth="1"/>
    <col min="2562" max="2562" width="6.25" style="3177" customWidth="1"/>
    <col min="2563" max="2563" width="7.875" style="3177" customWidth="1"/>
    <col min="2564" max="2564" width="13.875" style="3177" customWidth="1"/>
    <col min="2565" max="2565" width="13.125" style="3177" customWidth="1"/>
    <col min="2566" max="2566" width="27" style="3177" customWidth="1"/>
    <col min="2567" max="2567" width="7.875" style="3177" customWidth="1"/>
    <col min="2568" max="2568" width="9" style="3177" customWidth="1"/>
    <col min="2569" max="2569" width="7.625" style="3177" customWidth="1"/>
    <col min="2570" max="2570" width="9.875" style="3177" customWidth="1"/>
    <col min="2571" max="2571" width="11.125" style="3177" customWidth="1"/>
    <col min="2572" max="2572" width="6.25" style="3177" customWidth="1"/>
    <col min="2573" max="2573" width="47.625" style="3177" customWidth="1"/>
    <col min="2574" max="2574" width="7.875" style="3177" customWidth="1"/>
    <col min="2575" max="2816" width="9" style="3177"/>
    <col min="2817" max="2817" width="26.125" style="3177" customWidth="1"/>
    <col min="2818" max="2818" width="6.25" style="3177" customWidth="1"/>
    <col min="2819" max="2819" width="7.875" style="3177" customWidth="1"/>
    <col min="2820" max="2820" width="13.875" style="3177" customWidth="1"/>
    <col min="2821" max="2821" width="13.125" style="3177" customWidth="1"/>
    <col min="2822" max="2822" width="27" style="3177" customWidth="1"/>
    <col min="2823" max="2823" width="7.875" style="3177" customWidth="1"/>
    <col min="2824" max="2824" width="9" style="3177" customWidth="1"/>
    <col min="2825" max="2825" width="7.625" style="3177" customWidth="1"/>
    <col min="2826" max="2826" width="9.875" style="3177" customWidth="1"/>
    <col min="2827" max="2827" width="11.125" style="3177" customWidth="1"/>
    <col min="2828" max="2828" width="6.25" style="3177" customWidth="1"/>
    <col min="2829" max="2829" width="47.625" style="3177" customWidth="1"/>
    <col min="2830" max="2830" width="7.875" style="3177" customWidth="1"/>
    <col min="2831" max="3072" width="9" style="3177"/>
    <col min="3073" max="3073" width="26.125" style="3177" customWidth="1"/>
    <col min="3074" max="3074" width="6.25" style="3177" customWidth="1"/>
    <col min="3075" max="3075" width="7.875" style="3177" customWidth="1"/>
    <col min="3076" max="3076" width="13.875" style="3177" customWidth="1"/>
    <col min="3077" max="3077" width="13.125" style="3177" customWidth="1"/>
    <col min="3078" max="3078" width="27" style="3177" customWidth="1"/>
    <col min="3079" max="3079" width="7.875" style="3177" customWidth="1"/>
    <col min="3080" max="3080" width="9" style="3177" customWidth="1"/>
    <col min="3081" max="3081" width="7.625" style="3177" customWidth="1"/>
    <col min="3082" max="3082" width="9.875" style="3177" customWidth="1"/>
    <col min="3083" max="3083" width="11.125" style="3177" customWidth="1"/>
    <col min="3084" max="3084" width="6.25" style="3177" customWidth="1"/>
    <col min="3085" max="3085" width="47.625" style="3177" customWidth="1"/>
    <col min="3086" max="3086" width="7.875" style="3177" customWidth="1"/>
    <col min="3087" max="3328" width="9" style="3177"/>
    <col min="3329" max="3329" width="26.125" style="3177" customWidth="1"/>
    <col min="3330" max="3330" width="6.25" style="3177" customWidth="1"/>
    <col min="3331" max="3331" width="7.875" style="3177" customWidth="1"/>
    <col min="3332" max="3332" width="13.875" style="3177" customWidth="1"/>
    <col min="3333" max="3333" width="13.125" style="3177" customWidth="1"/>
    <col min="3334" max="3334" width="27" style="3177" customWidth="1"/>
    <col min="3335" max="3335" width="7.875" style="3177" customWidth="1"/>
    <col min="3336" max="3336" width="9" style="3177" customWidth="1"/>
    <col min="3337" max="3337" width="7.625" style="3177" customWidth="1"/>
    <col min="3338" max="3338" width="9.875" style="3177" customWidth="1"/>
    <col min="3339" max="3339" width="11.125" style="3177" customWidth="1"/>
    <col min="3340" max="3340" width="6.25" style="3177" customWidth="1"/>
    <col min="3341" max="3341" width="47.625" style="3177" customWidth="1"/>
    <col min="3342" max="3342" width="7.875" style="3177" customWidth="1"/>
    <col min="3343" max="3584" width="9" style="3177"/>
    <col min="3585" max="3585" width="26.125" style="3177" customWidth="1"/>
    <col min="3586" max="3586" width="6.25" style="3177" customWidth="1"/>
    <col min="3587" max="3587" width="7.875" style="3177" customWidth="1"/>
    <col min="3588" max="3588" width="13.875" style="3177" customWidth="1"/>
    <col min="3589" max="3589" width="13.125" style="3177" customWidth="1"/>
    <col min="3590" max="3590" width="27" style="3177" customWidth="1"/>
    <col min="3591" max="3591" width="7.875" style="3177" customWidth="1"/>
    <col min="3592" max="3592" width="9" style="3177" customWidth="1"/>
    <col min="3593" max="3593" width="7.625" style="3177" customWidth="1"/>
    <col min="3594" max="3594" width="9.875" style="3177" customWidth="1"/>
    <col min="3595" max="3595" width="11.125" style="3177" customWidth="1"/>
    <col min="3596" max="3596" width="6.25" style="3177" customWidth="1"/>
    <col min="3597" max="3597" width="47.625" style="3177" customWidth="1"/>
    <col min="3598" max="3598" width="7.875" style="3177" customWidth="1"/>
    <col min="3599" max="3840" width="9" style="3177"/>
    <col min="3841" max="3841" width="26.125" style="3177" customWidth="1"/>
    <col min="3842" max="3842" width="6.25" style="3177" customWidth="1"/>
    <col min="3843" max="3843" width="7.875" style="3177" customWidth="1"/>
    <col min="3844" max="3844" width="13.875" style="3177" customWidth="1"/>
    <col min="3845" max="3845" width="13.125" style="3177" customWidth="1"/>
    <col min="3846" max="3846" width="27" style="3177" customWidth="1"/>
    <col min="3847" max="3847" width="7.875" style="3177" customWidth="1"/>
    <col min="3848" max="3848" width="9" style="3177" customWidth="1"/>
    <col min="3849" max="3849" width="7.625" style="3177" customWidth="1"/>
    <col min="3850" max="3850" width="9.875" style="3177" customWidth="1"/>
    <col min="3851" max="3851" width="11.125" style="3177" customWidth="1"/>
    <col min="3852" max="3852" width="6.25" style="3177" customWidth="1"/>
    <col min="3853" max="3853" width="47.625" style="3177" customWidth="1"/>
    <col min="3854" max="3854" width="7.875" style="3177" customWidth="1"/>
    <col min="3855" max="4096" width="9" style="3177"/>
    <col min="4097" max="4097" width="26.125" style="3177" customWidth="1"/>
    <col min="4098" max="4098" width="6.25" style="3177" customWidth="1"/>
    <col min="4099" max="4099" width="7.875" style="3177" customWidth="1"/>
    <col min="4100" max="4100" width="13.875" style="3177" customWidth="1"/>
    <col min="4101" max="4101" width="13.125" style="3177" customWidth="1"/>
    <col min="4102" max="4102" width="27" style="3177" customWidth="1"/>
    <col min="4103" max="4103" width="7.875" style="3177" customWidth="1"/>
    <col min="4104" max="4104" width="9" style="3177" customWidth="1"/>
    <col min="4105" max="4105" width="7.625" style="3177" customWidth="1"/>
    <col min="4106" max="4106" width="9.875" style="3177" customWidth="1"/>
    <col min="4107" max="4107" width="11.125" style="3177" customWidth="1"/>
    <col min="4108" max="4108" width="6.25" style="3177" customWidth="1"/>
    <col min="4109" max="4109" width="47.625" style="3177" customWidth="1"/>
    <col min="4110" max="4110" width="7.875" style="3177" customWidth="1"/>
    <col min="4111" max="4352" width="9" style="3177"/>
    <col min="4353" max="4353" width="26.125" style="3177" customWidth="1"/>
    <col min="4354" max="4354" width="6.25" style="3177" customWidth="1"/>
    <col min="4355" max="4355" width="7.875" style="3177" customWidth="1"/>
    <col min="4356" max="4356" width="13.875" style="3177" customWidth="1"/>
    <col min="4357" max="4357" width="13.125" style="3177" customWidth="1"/>
    <col min="4358" max="4358" width="27" style="3177" customWidth="1"/>
    <col min="4359" max="4359" width="7.875" style="3177" customWidth="1"/>
    <col min="4360" max="4360" width="9" style="3177" customWidth="1"/>
    <col min="4361" max="4361" width="7.625" style="3177" customWidth="1"/>
    <col min="4362" max="4362" width="9.875" style="3177" customWidth="1"/>
    <col min="4363" max="4363" width="11.125" style="3177" customWidth="1"/>
    <col min="4364" max="4364" width="6.25" style="3177" customWidth="1"/>
    <col min="4365" max="4365" width="47.625" style="3177" customWidth="1"/>
    <col min="4366" max="4366" width="7.875" style="3177" customWidth="1"/>
    <col min="4367" max="4608" width="9" style="3177"/>
    <col min="4609" max="4609" width="26.125" style="3177" customWidth="1"/>
    <col min="4610" max="4610" width="6.25" style="3177" customWidth="1"/>
    <col min="4611" max="4611" width="7.875" style="3177" customWidth="1"/>
    <col min="4612" max="4612" width="13.875" style="3177" customWidth="1"/>
    <col min="4613" max="4613" width="13.125" style="3177" customWidth="1"/>
    <col min="4614" max="4614" width="27" style="3177" customWidth="1"/>
    <col min="4615" max="4615" width="7.875" style="3177" customWidth="1"/>
    <col min="4616" max="4616" width="9" style="3177" customWidth="1"/>
    <col min="4617" max="4617" width="7.625" style="3177" customWidth="1"/>
    <col min="4618" max="4618" width="9.875" style="3177" customWidth="1"/>
    <col min="4619" max="4619" width="11.125" style="3177" customWidth="1"/>
    <col min="4620" max="4620" width="6.25" style="3177" customWidth="1"/>
    <col min="4621" max="4621" width="47.625" style="3177" customWidth="1"/>
    <col min="4622" max="4622" width="7.875" style="3177" customWidth="1"/>
    <col min="4623" max="4864" width="9" style="3177"/>
    <col min="4865" max="4865" width="26.125" style="3177" customWidth="1"/>
    <col min="4866" max="4866" width="6.25" style="3177" customWidth="1"/>
    <col min="4867" max="4867" width="7.875" style="3177" customWidth="1"/>
    <col min="4868" max="4868" width="13.875" style="3177" customWidth="1"/>
    <col min="4869" max="4869" width="13.125" style="3177" customWidth="1"/>
    <col min="4870" max="4870" width="27" style="3177" customWidth="1"/>
    <col min="4871" max="4871" width="7.875" style="3177" customWidth="1"/>
    <col min="4872" max="4872" width="9" style="3177" customWidth="1"/>
    <col min="4873" max="4873" width="7.625" style="3177" customWidth="1"/>
    <col min="4874" max="4874" width="9.875" style="3177" customWidth="1"/>
    <col min="4875" max="4875" width="11.125" style="3177" customWidth="1"/>
    <col min="4876" max="4876" width="6.25" style="3177" customWidth="1"/>
    <col min="4877" max="4877" width="47.625" style="3177" customWidth="1"/>
    <col min="4878" max="4878" width="7.875" style="3177" customWidth="1"/>
    <col min="4879" max="5120" width="9" style="3177"/>
    <col min="5121" max="5121" width="26.125" style="3177" customWidth="1"/>
    <col min="5122" max="5122" width="6.25" style="3177" customWidth="1"/>
    <col min="5123" max="5123" width="7.875" style="3177" customWidth="1"/>
    <col min="5124" max="5124" width="13.875" style="3177" customWidth="1"/>
    <col min="5125" max="5125" width="13.125" style="3177" customWidth="1"/>
    <col min="5126" max="5126" width="27" style="3177" customWidth="1"/>
    <col min="5127" max="5127" width="7.875" style="3177" customWidth="1"/>
    <col min="5128" max="5128" width="9" style="3177" customWidth="1"/>
    <col min="5129" max="5129" width="7.625" style="3177" customWidth="1"/>
    <col min="5130" max="5130" width="9.875" style="3177" customWidth="1"/>
    <col min="5131" max="5131" width="11.125" style="3177" customWidth="1"/>
    <col min="5132" max="5132" width="6.25" style="3177" customWidth="1"/>
    <col min="5133" max="5133" width="47.625" style="3177" customWidth="1"/>
    <col min="5134" max="5134" width="7.875" style="3177" customWidth="1"/>
    <col min="5135" max="5376" width="9" style="3177"/>
    <col min="5377" max="5377" width="26.125" style="3177" customWidth="1"/>
    <col min="5378" max="5378" width="6.25" style="3177" customWidth="1"/>
    <col min="5379" max="5379" width="7.875" style="3177" customWidth="1"/>
    <col min="5380" max="5380" width="13.875" style="3177" customWidth="1"/>
    <col min="5381" max="5381" width="13.125" style="3177" customWidth="1"/>
    <col min="5382" max="5382" width="27" style="3177" customWidth="1"/>
    <col min="5383" max="5383" width="7.875" style="3177" customWidth="1"/>
    <col min="5384" max="5384" width="9" style="3177" customWidth="1"/>
    <col min="5385" max="5385" width="7.625" style="3177" customWidth="1"/>
    <col min="5386" max="5386" width="9.875" style="3177" customWidth="1"/>
    <col min="5387" max="5387" width="11.125" style="3177" customWidth="1"/>
    <col min="5388" max="5388" width="6.25" style="3177" customWidth="1"/>
    <col min="5389" max="5389" width="47.625" style="3177" customWidth="1"/>
    <col min="5390" max="5390" width="7.875" style="3177" customWidth="1"/>
    <col min="5391" max="5632" width="9" style="3177"/>
    <col min="5633" max="5633" width="26.125" style="3177" customWidth="1"/>
    <col min="5634" max="5634" width="6.25" style="3177" customWidth="1"/>
    <col min="5635" max="5635" width="7.875" style="3177" customWidth="1"/>
    <col min="5636" max="5636" width="13.875" style="3177" customWidth="1"/>
    <col min="5637" max="5637" width="13.125" style="3177" customWidth="1"/>
    <col min="5638" max="5638" width="27" style="3177" customWidth="1"/>
    <col min="5639" max="5639" width="7.875" style="3177" customWidth="1"/>
    <col min="5640" max="5640" width="9" style="3177" customWidth="1"/>
    <col min="5641" max="5641" width="7.625" style="3177" customWidth="1"/>
    <col min="5642" max="5642" width="9.875" style="3177" customWidth="1"/>
    <col min="5643" max="5643" width="11.125" style="3177" customWidth="1"/>
    <col min="5644" max="5644" width="6.25" style="3177" customWidth="1"/>
    <col min="5645" max="5645" width="47.625" style="3177" customWidth="1"/>
    <col min="5646" max="5646" width="7.875" style="3177" customWidth="1"/>
    <col min="5647" max="5888" width="9" style="3177"/>
    <col min="5889" max="5889" width="26.125" style="3177" customWidth="1"/>
    <col min="5890" max="5890" width="6.25" style="3177" customWidth="1"/>
    <col min="5891" max="5891" width="7.875" style="3177" customWidth="1"/>
    <col min="5892" max="5892" width="13.875" style="3177" customWidth="1"/>
    <col min="5893" max="5893" width="13.125" style="3177" customWidth="1"/>
    <col min="5894" max="5894" width="27" style="3177" customWidth="1"/>
    <col min="5895" max="5895" width="7.875" style="3177" customWidth="1"/>
    <col min="5896" max="5896" width="9" style="3177" customWidth="1"/>
    <col min="5897" max="5897" width="7.625" style="3177" customWidth="1"/>
    <col min="5898" max="5898" width="9.875" style="3177" customWidth="1"/>
    <col min="5899" max="5899" width="11.125" style="3177" customWidth="1"/>
    <col min="5900" max="5900" width="6.25" style="3177" customWidth="1"/>
    <col min="5901" max="5901" width="47.625" style="3177" customWidth="1"/>
    <col min="5902" max="5902" width="7.875" style="3177" customWidth="1"/>
    <col min="5903" max="6144" width="9" style="3177"/>
    <col min="6145" max="6145" width="26.125" style="3177" customWidth="1"/>
    <col min="6146" max="6146" width="6.25" style="3177" customWidth="1"/>
    <col min="6147" max="6147" width="7.875" style="3177" customWidth="1"/>
    <col min="6148" max="6148" width="13.875" style="3177" customWidth="1"/>
    <col min="6149" max="6149" width="13.125" style="3177" customWidth="1"/>
    <col min="6150" max="6150" width="27" style="3177" customWidth="1"/>
    <col min="6151" max="6151" width="7.875" style="3177" customWidth="1"/>
    <col min="6152" max="6152" width="9" style="3177" customWidth="1"/>
    <col min="6153" max="6153" width="7.625" style="3177" customWidth="1"/>
    <col min="6154" max="6154" width="9.875" style="3177" customWidth="1"/>
    <col min="6155" max="6155" width="11.125" style="3177" customWidth="1"/>
    <col min="6156" max="6156" width="6.25" style="3177" customWidth="1"/>
    <col min="6157" max="6157" width="47.625" style="3177" customWidth="1"/>
    <col min="6158" max="6158" width="7.875" style="3177" customWidth="1"/>
    <col min="6159" max="6400" width="9" style="3177"/>
    <col min="6401" max="6401" width="26.125" style="3177" customWidth="1"/>
    <col min="6402" max="6402" width="6.25" style="3177" customWidth="1"/>
    <col min="6403" max="6403" width="7.875" style="3177" customWidth="1"/>
    <col min="6404" max="6404" width="13.875" style="3177" customWidth="1"/>
    <col min="6405" max="6405" width="13.125" style="3177" customWidth="1"/>
    <col min="6406" max="6406" width="27" style="3177" customWidth="1"/>
    <col min="6407" max="6407" width="7.875" style="3177" customWidth="1"/>
    <col min="6408" max="6408" width="9" style="3177" customWidth="1"/>
    <col min="6409" max="6409" width="7.625" style="3177" customWidth="1"/>
    <col min="6410" max="6410" width="9.875" style="3177" customWidth="1"/>
    <col min="6411" max="6411" width="11.125" style="3177" customWidth="1"/>
    <col min="6412" max="6412" width="6.25" style="3177" customWidth="1"/>
    <col min="6413" max="6413" width="47.625" style="3177" customWidth="1"/>
    <col min="6414" max="6414" width="7.875" style="3177" customWidth="1"/>
    <col min="6415" max="6656" width="9" style="3177"/>
    <col min="6657" max="6657" width="26.125" style="3177" customWidth="1"/>
    <col min="6658" max="6658" width="6.25" style="3177" customWidth="1"/>
    <col min="6659" max="6659" width="7.875" style="3177" customWidth="1"/>
    <col min="6660" max="6660" width="13.875" style="3177" customWidth="1"/>
    <col min="6661" max="6661" width="13.125" style="3177" customWidth="1"/>
    <col min="6662" max="6662" width="27" style="3177" customWidth="1"/>
    <col min="6663" max="6663" width="7.875" style="3177" customWidth="1"/>
    <col min="6664" max="6664" width="9" style="3177" customWidth="1"/>
    <col min="6665" max="6665" width="7.625" style="3177" customWidth="1"/>
    <col min="6666" max="6666" width="9.875" style="3177" customWidth="1"/>
    <col min="6667" max="6667" width="11.125" style="3177" customWidth="1"/>
    <col min="6668" max="6668" width="6.25" style="3177" customWidth="1"/>
    <col min="6669" max="6669" width="47.625" style="3177" customWidth="1"/>
    <col min="6670" max="6670" width="7.875" style="3177" customWidth="1"/>
    <col min="6671" max="6912" width="9" style="3177"/>
    <col min="6913" max="6913" width="26.125" style="3177" customWidth="1"/>
    <col min="6914" max="6914" width="6.25" style="3177" customWidth="1"/>
    <col min="6915" max="6915" width="7.875" style="3177" customWidth="1"/>
    <col min="6916" max="6916" width="13.875" style="3177" customWidth="1"/>
    <col min="6917" max="6917" width="13.125" style="3177" customWidth="1"/>
    <col min="6918" max="6918" width="27" style="3177" customWidth="1"/>
    <col min="6919" max="6919" width="7.875" style="3177" customWidth="1"/>
    <col min="6920" max="6920" width="9" style="3177" customWidth="1"/>
    <col min="6921" max="6921" width="7.625" style="3177" customWidth="1"/>
    <col min="6922" max="6922" width="9.875" style="3177" customWidth="1"/>
    <col min="6923" max="6923" width="11.125" style="3177" customWidth="1"/>
    <col min="6924" max="6924" width="6.25" style="3177" customWidth="1"/>
    <col min="6925" max="6925" width="47.625" style="3177" customWidth="1"/>
    <col min="6926" max="6926" width="7.875" style="3177" customWidth="1"/>
    <col min="6927" max="7168" width="9" style="3177"/>
    <col min="7169" max="7169" width="26.125" style="3177" customWidth="1"/>
    <col min="7170" max="7170" width="6.25" style="3177" customWidth="1"/>
    <col min="7171" max="7171" width="7.875" style="3177" customWidth="1"/>
    <col min="7172" max="7172" width="13.875" style="3177" customWidth="1"/>
    <col min="7173" max="7173" width="13.125" style="3177" customWidth="1"/>
    <col min="7174" max="7174" width="27" style="3177" customWidth="1"/>
    <col min="7175" max="7175" width="7.875" style="3177" customWidth="1"/>
    <col min="7176" max="7176" width="9" style="3177" customWidth="1"/>
    <col min="7177" max="7177" width="7.625" style="3177" customWidth="1"/>
    <col min="7178" max="7178" width="9.875" style="3177" customWidth="1"/>
    <col min="7179" max="7179" width="11.125" style="3177" customWidth="1"/>
    <col min="7180" max="7180" width="6.25" style="3177" customWidth="1"/>
    <col min="7181" max="7181" width="47.625" style="3177" customWidth="1"/>
    <col min="7182" max="7182" width="7.875" style="3177" customWidth="1"/>
    <col min="7183" max="7424" width="9" style="3177"/>
    <col min="7425" max="7425" width="26.125" style="3177" customWidth="1"/>
    <col min="7426" max="7426" width="6.25" style="3177" customWidth="1"/>
    <col min="7427" max="7427" width="7.875" style="3177" customWidth="1"/>
    <col min="7428" max="7428" width="13.875" style="3177" customWidth="1"/>
    <col min="7429" max="7429" width="13.125" style="3177" customWidth="1"/>
    <col min="7430" max="7430" width="27" style="3177" customWidth="1"/>
    <col min="7431" max="7431" width="7.875" style="3177" customWidth="1"/>
    <col min="7432" max="7432" width="9" style="3177" customWidth="1"/>
    <col min="7433" max="7433" width="7.625" style="3177" customWidth="1"/>
    <col min="7434" max="7434" width="9.875" style="3177" customWidth="1"/>
    <col min="7435" max="7435" width="11.125" style="3177" customWidth="1"/>
    <col min="7436" max="7436" width="6.25" style="3177" customWidth="1"/>
    <col min="7437" max="7437" width="47.625" style="3177" customWidth="1"/>
    <col min="7438" max="7438" width="7.875" style="3177" customWidth="1"/>
    <col min="7439" max="7680" width="9" style="3177"/>
    <col min="7681" max="7681" width="26.125" style="3177" customWidth="1"/>
    <col min="7682" max="7682" width="6.25" style="3177" customWidth="1"/>
    <col min="7683" max="7683" width="7.875" style="3177" customWidth="1"/>
    <col min="7684" max="7684" width="13.875" style="3177" customWidth="1"/>
    <col min="7685" max="7685" width="13.125" style="3177" customWidth="1"/>
    <col min="7686" max="7686" width="27" style="3177" customWidth="1"/>
    <col min="7687" max="7687" width="7.875" style="3177" customWidth="1"/>
    <col min="7688" max="7688" width="9" style="3177" customWidth="1"/>
    <col min="7689" max="7689" width="7.625" style="3177" customWidth="1"/>
    <col min="7690" max="7690" width="9.875" style="3177" customWidth="1"/>
    <col min="7691" max="7691" width="11.125" style="3177" customWidth="1"/>
    <col min="7692" max="7692" width="6.25" style="3177" customWidth="1"/>
    <col min="7693" max="7693" width="47.625" style="3177" customWidth="1"/>
    <col min="7694" max="7694" width="7.875" style="3177" customWidth="1"/>
    <col min="7695" max="7936" width="9" style="3177"/>
    <col min="7937" max="7937" width="26.125" style="3177" customWidth="1"/>
    <col min="7938" max="7938" width="6.25" style="3177" customWidth="1"/>
    <col min="7939" max="7939" width="7.875" style="3177" customWidth="1"/>
    <col min="7940" max="7940" width="13.875" style="3177" customWidth="1"/>
    <col min="7941" max="7941" width="13.125" style="3177" customWidth="1"/>
    <col min="7942" max="7942" width="27" style="3177" customWidth="1"/>
    <col min="7943" max="7943" width="7.875" style="3177" customWidth="1"/>
    <col min="7944" max="7944" width="9" style="3177" customWidth="1"/>
    <col min="7945" max="7945" width="7.625" style="3177" customWidth="1"/>
    <col min="7946" max="7946" width="9.875" style="3177" customWidth="1"/>
    <col min="7947" max="7947" width="11.125" style="3177" customWidth="1"/>
    <col min="7948" max="7948" width="6.25" style="3177" customWidth="1"/>
    <col min="7949" max="7949" width="47.625" style="3177" customWidth="1"/>
    <col min="7950" max="7950" width="7.875" style="3177" customWidth="1"/>
    <col min="7951" max="8192" width="9" style="3177"/>
    <col min="8193" max="8193" width="26.125" style="3177" customWidth="1"/>
    <col min="8194" max="8194" width="6.25" style="3177" customWidth="1"/>
    <col min="8195" max="8195" width="7.875" style="3177" customWidth="1"/>
    <col min="8196" max="8196" width="13.875" style="3177" customWidth="1"/>
    <col min="8197" max="8197" width="13.125" style="3177" customWidth="1"/>
    <col min="8198" max="8198" width="27" style="3177" customWidth="1"/>
    <col min="8199" max="8199" width="7.875" style="3177" customWidth="1"/>
    <col min="8200" max="8200" width="9" style="3177" customWidth="1"/>
    <col min="8201" max="8201" width="7.625" style="3177" customWidth="1"/>
    <col min="8202" max="8202" width="9.875" style="3177" customWidth="1"/>
    <col min="8203" max="8203" width="11.125" style="3177" customWidth="1"/>
    <col min="8204" max="8204" width="6.25" style="3177" customWidth="1"/>
    <col min="8205" max="8205" width="47.625" style="3177" customWidth="1"/>
    <col min="8206" max="8206" width="7.875" style="3177" customWidth="1"/>
    <col min="8207" max="8448" width="9" style="3177"/>
    <col min="8449" max="8449" width="26.125" style="3177" customWidth="1"/>
    <col min="8450" max="8450" width="6.25" style="3177" customWidth="1"/>
    <col min="8451" max="8451" width="7.875" style="3177" customWidth="1"/>
    <col min="8452" max="8452" width="13.875" style="3177" customWidth="1"/>
    <col min="8453" max="8453" width="13.125" style="3177" customWidth="1"/>
    <col min="8454" max="8454" width="27" style="3177" customWidth="1"/>
    <col min="8455" max="8455" width="7.875" style="3177" customWidth="1"/>
    <col min="8456" max="8456" width="9" style="3177" customWidth="1"/>
    <col min="8457" max="8457" width="7.625" style="3177" customWidth="1"/>
    <col min="8458" max="8458" width="9.875" style="3177" customWidth="1"/>
    <col min="8459" max="8459" width="11.125" style="3177" customWidth="1"/>
    <col min="8460" max="8460" width="6.25" style="3177" customWidth="1"/>
    <col min="8461" max="8461" width="47.625" style="3177" customWidth="1"/>
    <col min="8462" max="8462" width="7.875" style="3177" customWidth="1"/>
    <col min="8463" max="8704" width="9" style="3177"/>
    <col min="8705" max="8705" width="26.125" style="3177" customWidth="1"/>
    <col min="8706" max="8706" width="6.25" style="3177" customWidth="1"/>
    <col min="8707" max="8707" width="7.875" style="3177" customWidth="1"/>
    <col min="8708" max="8708" width="13.875" style="3177" customWidth="1"/>
    <col min="8709" max="8709" width="13.125" style="3177" customWidth="1"/>
    <col min="8710" max="8710" width="27" style="3177" customWidth="1"/>
    <col min="8711" max="8711" width="7.875" style="3177" customWidth="1"/>
    <col min="8712" max="8712" width="9" style="3177" customWidth="1"/>
    <col min="8713" max="8713" width="7.625" style="3177" customWidth="1"/>
    <col min="8714" max="8714" width="9.875" style="3177" customWidth="1"/>
    <col min="8715" max="8715" width="11.125" style="3177" customWidth="1"/>
    <col min="8716" max="8716" width="6.25" style="3177" customWidth="1"/>
    <col min="8717" max="8717" width="47.625" style="3177" customWidth="1"/>
    <col min="8718" max="8718" width="7.875" style="3177" customWidth="1"/>
    <col min="8719" max="8960" width="9" style="3177"/>
    <col min="8961" max="8961" width="26.125" style="3177" customWidth="1"/>
    <col min="8962" max="8962" width="6.25" style="3177" customWidth="1"/>
    <col min="8963" max="8963" width="7.875" style="3177" customWidth="1"/>
    <col min="8964" max="8964" width="13.875" style="3177" customWidth="1"/>
    <col min="8965" max="8965" width="13.125" style="3177" customWidth="1"/>
    <col min="8966" max="8966" width="27" style="3177" customWidth="1"/>
    <col min="8967" max="8967" width="7.875" style="3177" customWidth="1"/>
    <col min="8968" max="8968" width="9" style="3177" customWidth="1"/>
    <col min="8969" max="8969" width="7.625" style="3177" customWidth="1"/>
    <col min="8970" max="8970" width="9.875" style="3177" customWidth="1"/>
    <col min="8971" max="8971" width="11.125" style="3177" customWidth="1"/>
    <col min="8972" max="8972" width="6.25" style="3177" customWidth="1"/>
    <col min="8973" max="8973" width="47.625" style="3177" customWidth="1"/>
    <col min="8974" max="8974" width="7.875" style="3177" customWidth="1"/>
    <col min="8975" max="9216" width="9" style="3177"/>
    <col min="9217" max="9217" width="26.125" style="3177" customWidth="1"/>
    <col min="9218" max="9218" width="6.25" style="3177" customWidth="1"/>
    <col min="9219" max="9219" width="7.875" style="3177" customWidth="1"/>
    <col min="9220" max="9220" width="13.875" style="3177" customWidth="1"/>
    <col min="9221" max="9221" width="13.125" style="3177" customWidth="1"/>
    <col min="9222" max="9222" width="27" style="3177" customWidth="1"/>
    <col min="9223" max="9223" width="7.875" style="3177" customWidth="1"/>
    <col min="9224" max="9224" width="9" style="3177" customWidth="1"/>
    <col min="9225" max="9225" width="7.625" style="3177" customWidth="1"/>
    <col min="9226" max="9226" width="9.875" style="3177" customWidth="1"/>
    <col min="9227" max="9227" width="11.125" style="3177" customWidth="1"/>
    <col min="9228" max="9228" width="6.25" style="3177" customWidth="1"/>
    <col min="9229" max="9229" width="47.625" style="3177" customWidth="1"/>
    <col min="9230" max="9230" width="7.875" style="3177" customWidth="1"/>
    <col min="9231" max="9472" width="9" style="3177"/>
    <col min="9473" max="9473" width="26.125" style="3177" customWidth="1"/>
    <col min="9474" max="9474" width="6.25" style="3177" customWidth="1"/>
    <col min="9475" max="9475" width="7.875" style="3177" customWidth="1"/>
    <col min="9476" max="9476" width="13.875" style="3177" customWidth="1"/>
    <col min="9477" max="9477" width="13.125" style="3177" customWidth="1"/>
    <col min="9478" max="9478" width="27" style="3177" customWidth="1"/>
    <col min="9479" max="9479" width="7.875" style="3177" customWidth="1"/>
    <col min="9480" max="9480" width="9" style="3177" customWidth="1"/>
    <col min="9481" max="9481" width="7.625" style="3177" customWidth="1"/>
    <col min="9482" max="9482" width="9.875" style="3177" customWidth="1"/>
    <col min="9483" max="9483" width="11.125" style="3177" customWidth="1"/>
    <col min="9484" max="9484" width="6.25" style="3177" customWidth="1"/>
    <col min="9485" max="9485" width="47.625" style="3177" customWidth="1"/>
    <col min="9486" max="9486" width="7.875" style="3177" customWidth="1"/>
    <col min="9487" max="9728" width="9" style="3177"/>
    <col min="9729" max="9729" width="26.125" style="3177" customWidth="1"/>
    <col min="9730" max="9730" width="6.25" style="3177" customWidth="1"/>
    <col min="9731" max="9731" width="7.875" style="3177" customWidth="1"/>
    <col min="9732" max="9732" width="13.875" style="3177" customWidth="1"/>
    <col min="9733" max="9733" width="13.125" style="3177" customWidth="1"/>
    <col min="9734" max="9734" width="27" style="3177" customWidth="1"/>
    <col min="9735" max="9735" width="7.875" style="3177" customWidth="1"/>
    <col min="9736" max="9736" width="9" style="3177" customWidth="1"/>
    <col min="9737" max="9737" width="7.625" style="3177" customWidth="1"/>
    <col min="9738" max="9738" width="9.875" style="3177" customWidth="1"/>
    <col min="9739" max="9739" width="11.125" style="3177" customWidth="1"/>
    <col min="9740" max="9740" width="6.25" style="3177" customWidth="1"/>
    <col min="9741" max="9741" width="47.625" style="3177" customWidth="1"/>
    <col min="9742" max="9742" width="7.875" style="3177" customWidth="1"/>
    <col min="9743" max="9984" width="9" style="3177"/>
    <col min="9985" max="9985" width="26.125" style="3177" customWidth="1"/>
    <col min="9986" max="9986" width="6.25" style="3177" customWidth="1"/>
    <col min="9987" max="9987" width="7.875" style="3177" customWidth="1"/>
    <col min="9988" max="9988" width="13.875" style="3177" customWidth="1"/>
    <col min="9989" max="9989" width="13.125" style="3177" customWidth="1"/>
    <col min="9990" max="9990" width="27" style="3177" customWidth="1"/>
    <col min="9991" max="9991" width="7.875" style="3177" customWidth="1"/>
    <col min="9992" max="9992" width="9" style="3177" customWidth="1"/>
    <col min="9993" max="9993" width="7.625" style="3177" customWidth="1"/>
    <col min="9994" max="9994" width="9.875" style="3177" customWidth="1"/>
    <col min="9995" max="9995" width="11.125" style="3177" customWidth="1"/>
    <col min="9996" max="9996" width="6.25" style="3177" customWidth="1"/>
    <col min="9997" max="9997" width="47.625" style="3177" customWidth="1"/>
    <col min="9998" max="9998" width="7.875" style="3177" customWidth="1"/>
    <col min="9999" max="10240" width="9" style="3177"/>
    <col min="10241" max="10241" width="26.125" style="3177" customWidth="1"/>
    <col min="10242" max="10242" width="6.25" style="3177" customWidth="1"/>
    <col min="10243" max="10243" width="7.875" style="3177" customWidth="1"/>
    <col min="10244" max="10244" width="13.875" style="3177" customWidth="1"/>
    <col min="10245" max="10245" width="13.125" style="3177" customWidth="1"/>
    <col min="10246" max="10246" width="27" style="3177" customWidth="1"/>
    <col min="10247" max="10247" width="7.875" style="3177" customWidth="1"/>
    <col min="10248" max="10248" width="9" style="3177" customWidth="1"/>
    <col min="10249" max="10249" width="7.625" style="3177" customWidth="1"/>
    <col min="10250" max="10250" width="9.875" style="3177" customWidth="1"/>
    <col min="10251" max="10251" width="11.125" style="3177" customWidth="1"/>
    <col min="10252" max="10252" width="6.25" style="3177" customWidth="1"/>
    <col min="10253" max="10253" width="47.625" style="3177" customWidth="1"/>
    <col min="10254" max="10254" width="7.875" style="3177" customWidth="1"/>
    <col min="10255" max="10496" width="9" style="3177"/>
    <col min="10497" max="10497" width="26.125" style="3177" customWidth="1"/>
    <col min="10498" max="10498" width="6.25" style="3177" customWidth="1"/>
    <col min="10499" max="10499" width="7.875" style="3177" customWidth="1"/>
    <col min="10500" max="10500" width="13.875" style="3177" customWidth="1"/>
    <col min="10501" max="10501" width="13.125" style="3177" customWidth="1"/>
    <col min="10502" max="10502" width="27" style="3177" customWidth="1"/>
    <col min="10503" max="10503" width="7.875" style="3177" customWidth="1"/>
    <col min="10504" max="10504" width="9" style="3177" customWidth="1"/>
    <col min="10505" max="10505" width="7.625" style="3177" customWidth="1"/>
    <col min="10506" max="10506" width="9.875" style="3177" customWidth="1"/>
    <col min="10507" max="10507" width="11.125" style="3177" customWidth="1"/>
    <col min="10508" max="10508" width="6.25" style="3177" customWidth="1"/>
    <col min="10509" max="10509" width="47.625" style="3177" customWidth="1"/>
    <col min="10510" max="10510" width="7.875" style="3177" customWidth="1"/>
    <col min="10511" max="10752" width="9" style="3177"/>
    <col min="10753" max="10753" width="26.125" style="3177" customWidth="1"/>
    <col min="10754" max="10754" width="6.25" style="3177" customWidth="1"/>
    <col min="10755" max="10755" width="7.875" style="3177" customWidth="1"/>
    <col min="10756" max="10756" width="13.875" style="3177" customWidth="1"/>
    <col min="10757" max="10757" width="13.125" style="3177" customWidth="1"/>
    <col min="10758" max="10758" width="27" style="3177" customWidth="1"/>
    <col min="10759" max="10759" width="7.875" style="3177" customWidth="1"/>
    <col min="10760" max="10760" width="9" style="3177" customWidth="1"/>
    <col min="10761" max="10761" width="7.625" style="3177" customWidth="1"/>
    <col min="10762" max="10762" width="9.875" style="3177" customWidth="1"/>
    <col min="10763" max="10763" width="11.125" style="3177" customWidth="1"/>
    <col min="10764" max="10764" width="6.25" style="3177" customWidth="1"/>
    <col min="10765" max="10765" width="47.625" style="3177" customWidth="1"/>
    <col min="10766" max="10766" width="7.875" style="3177" customWidth="1"/>
    <col min="10767" max="11008" width="9" style="3177"/>
    <col min="11009" max="11009" width="26.125" style="3177" customWidth="1"/>
    <col min="11010" max="11010" width="6.25" style="3177" customWidth="1"/>
    <col min="11011" max="11011" width="7.875" style="3177" customWidth="1"/>
    <col min="11012" max="11012" width="13.875" style="3177" customWidth="1"/>
    <col min="11013" max="11013" width="13.125" style="3177" customWidth="1"/>
    <col min="11014" max="11014" width="27" style="3177" customWidth="1"/>
    <col min="11015" max="11015" width="7.875" style="3177" customWidth="1"/>
    <col min="11016" max="11016" width="9" style="3177" customWidth="1"/>
    <col min="11017" max="11017" width="7.625" style="3177" customWidth="1"/>
    <col min="11018" max="11018" width="9.875" style="3177" customWidth="1"/>
    <col min="11019" max="11019" width="11.125" style="3177" customWidth="1"/>
    <col min="11020" max="11020" width="6.25" style="3177" customWidth="1"/>
    <col min="11021" max="11021" width="47.625" style="3177" customWidth="1"/>
    <col min="11022" max="11022" width="7.875" style="3177" customWidth="1"/>
    <col min="11023" max="11264" width="9" style="3177"/>
    <col min="11265" max="11265" width="26.125" style="3177" customWidth="1"/>
    <col min="11266" max="11266" width="6.25" style="3177" customWidth="1"/>
    <col min="11267" max="11267" width="7.875" style="3177" customWidth="1"/>
    <col min="11268" max="11268" width="13.875" style="3177" customWidth="1"/>
    <col min="11269" max="11269" width="13.125" style="3177" customWidth="1"/>
    <col min="11270" max="11270" width="27" style="3177" customWidth="1"/>
    <col min="11271" max="11271" width="7.875" style="3177" customWidth="1"/>
    <col min="11272" max="11272" width="9" style="3177" customWidth="1"/>
    <col min="11273" max="11273" width="7.625" style="3177" customWidth="1"/>
    <col min="11274" max="11274" width="9.875" style="3177" customWidth="1"/>
    <col min="11275" max="11275" width="11.125" style="3177" customWidth="1"/>
    <col min="11276" max="11276" width="6.25" style="3177" customWidth="1"/>
    <col min="11277" max="11277" width="47.625" style="3177" customWidth="1"/>
    <col min="11278" max="11278" width="7.875" style="3177" customWidth="1"/>
    <col min="11279" max="11520" width="9" style="3177"/>
    <col min="11521" max="11521" width="26.125" style="3177" customWidth="1"/>
    <col min="11522" max="11522" width="6.25" style="3177" customWidth="1"/>
    <col min="11523" max="11523" width="7.875" style="3177" customWidth="1"/>
    <col min="11524" max="11524" width="13.875" style="3177" customWidth="1"/>
    <col min="11525" max="11525" width="13.125" style="3177" customWidth="1"/>
    <col min="11526" max="11526" width="27" style="3177" customWidth="1"/>
    <col min="11527" max="11527" width="7.875" style="3177" customWidth="1"/>
    <col min="11528" max="11528" width="9" style="3177" customWidth="1"/>
    <col min="11529" max="11529" width="7.625" style="3177" customWidth="1"/>
    <col min="11530" max="11530" width="9.875" style="3177" customWidth="1"/>
    <col min="11531" max="11531" width="11.125" style="3177" customWidth="1"/>
    <col min="11532" max="11532" width="6.25" style="3177" customWidth="1"/>
    <col min="11533" max="11533" width="47.625" style="3177" customWidth="1"/>
    <col min="11534" max="11534" width="7.875" style="3177" customWidth="1"/>
    <col min="11535" max="11776" width="9" style="3177"/>
    <col min="11777" max="11777" width="26.125" style="3177" customWidth="1"/>
    <col min="11778" max="11778" width="6.25" style="3177" customWidth="1"/>
    <col min="11779" max="11779" width="7.875" style="3177" customWidth="1"/>
    <col min="11780" max="11780" width="13.875" style="3177" customWidth="1"/>
    <col min="11781" max="11781" width="13.125" style="3177" customWidth="1"/>
    <col min="11782" max="11782" width="27" style="3177" customWidth="1"/>
    <col min="11783" max="11783" width="7.875" style="3177" customWidth="1"/>
    <col min="11784" max="11784" width="9" style="3177" customWidth="1"/>
    <col min="11785" max="11785" width="7.625" style="3177" customWidth="1"/>
    <col min="11786" max="11786" width="9.875" style="3177" customWidth="1"/>
    <col min="11787" max="11787" width="11.125" style="3177" customWidth="1"/>
    <col min="11788" max="11788" width="6.25" style="3177" customWidth="1"/>
    <col min="11789" max="11789" width="47.625" style="3177" customWidth="1"/>
    <col min="11790" max="11790" width="7.875" style="3177" customWidth="1"/>
    <col min="11791" max="12032" width="9" style="3177"/>
    <col min="12033" max="12033" width="26.125" style="3177" customWidth="1"/>
    <col min="12034" max="12034" width="6.25" style="3177" customWidth="1"/>
    <col min="12035" max="12035" width="7.875" style="3177" customWidth="1"/>
    <col min="12036" max="12036" width="13.875" style="3177" customWidth="1"/>
    <col min="12037" max="12037" width="13.125" style="3177" customWidth="1"/>
    <col min="12038" max="12038" width="27" style="3177" customWidth="1"/>
    <col min="12039" max="12039" width="7.875" style="3177" customWidth="1"/>
    <col min="12040" max="12040" width="9" style="3177" customWidth="1"/>
    <col min="12041" max="12041" width="7.625" style="3177" customWidth="1"/>
    <col min="12042" max="12042" width="9.875" style="3177" customWidth="1"/>
    <col min="12043" max="12043" width="11.125" style="3177" customWidth="1"/>
    <col min="12044" max="12044" width="6.25" style="3177" customWidth="1"/>
    <col min="12045" max="12045" width="47.625" style="3177" customWidth="1"/>
    <col min="12046" max="12046" width="7.875" style="3177" customWidth="1"/>
    <col min="12047" max="12288" width="9" style="3177"/>
    <col min="12289" max="12289" width="26.125" style="3177" customWidth="1"/>
    <col min="12290" max="12290" width="6.25" style="3177" customWidth="1"/>
    <col min="12291" max="12291" width="7.875" style="3177" customWidth="1"/>
    <col min="12292" max="12292" width="13.875" style="3177" customWidth="1"/>
    <col min="12293" max="12293" width="13.125" style="3177" customWidth="1"/>
    <col min="12294" max="12294" width="27" style="3177" customWidth="1"/>
    <col min="12295" max="12295" width="7.875" style="3177" customWidth="1"/>
    <col min="12296" max="12296" width="9" style="3177" customWidth="1"/>
    <col min="12297" max="12297" width="7.625" style="3177" customWidth="1"/>
    <col min="12298" max="12298" width="9.875" style="3177" customWidth="1"/>
    <col min="12299" max="12299" width="11.125" style="3177" customWidth="1"/>
    <col min="12300" max="12300" width="6.25" style="3177" customWidth="1"/>
    <col min="12301" max="12301" width="47.625" style="3177" customWidth="1"/>
    <col min="12302" max="12302" width="7.875" style="3177" customWidth="1"/>
    <col min="12303" max="12544" width="9" style="3177"/>
    <col min="12545" max="12545" width="26.125" style="3177" customWidth="1"/>
    <col min="12546" max="12546" width="6.25" style="3177" customWidth="1"/>
    <col min="12547" max="12547" width="7.875" style="3177" customWidth="1"/>
    <col min="12548" max="12548" width="13.875" style="3177" customWidth="1"/>
    <col min="12549" max="12549" width="13.125" style="3177" customWidth="1"/>
    <col min="12550" max="12550" width="27" style="3177" customWidth="1"/>
    <col min="12551" max="12551" width="7.875" style="3177" customWidth="1"/>
    <col min="12552" max="12552" width="9" style="3177" customWidth="1"/>
    <col min="12553" max="12553" width="7.625" style="3177" customWidth="1"/>
    <col min="12554" max="12554" width="9.875" style="3177" customWidth="1"/>
    <col min="12555" max="12555" width="11.125" style="3177" customWidth="1"/>
    <col min="12556" max="12556" width="6.25" style="3177" customWidth="1"/>
    <col min="12557" max="12557" width="47.625" style="3177" customWidth="1"/>
    <col min="12558" max="12558" width="7.875" style="3177" customWidth="1"/>
    <col min="12559" max="12800" width="9" style="3177"/>
    <col min="12801" max="12801" width="26.125" style="3177" customWidth="1"/>
    <col min="12802" max="12802" width="6.25" style="3177" customWidth="1"/>
    <col min="12803" max="12803" width="7.875" style="3177" customWidth="1"/>
    <col min="12804" max="12804" width="13.875" style="3177" customWidth="1"/>
    <col min="12805" max="12805" width="13.125" style="3177" customWidth="1"/>
    <col min="12806" max="12806" width="27" style="3177" customWidth="1"/>
    <col min="12807" max="12807" width="7.875" style="3177" customWidth="1"/>
    <col min="12808" max="12808" width="9" style="3177" customWidth="1"/>
    <col min="12809" max="12809" width="7.625" style="3177" customWidth="1"/>
    <col min="12810" max="12810" width="9.875" style="3177" customWidth="1"/>
    <col min="12811" max="12811" width="11.125" style="3177" customWidth="1"/>
    <col min="12812" max="12812" width="6.25" style="3177" customWidth="1"/>
    <col min="12813" max="12813" width="47.625" style="3177" customWidth="1"/>
    <col min="12814" max="12814" width="7.875" style="3177" customWidth="1"/>
    <col min="12815" max="13056" width="9" style="3177"/>
    <col min="13057" max="13057" width="26.125" style="3177" customWidth="1"/>
    <col min="13058" max="13058" width="6.25" style="3177" customWidth="1"/>
    <col min="13059" max="13059" width="7.875" style="3177" customWidth="1"/>
    <col min="13060" max="13060" width="13.875" style="3177" customWidth="1"/>
    <col min="13061" max="13061" width="13.125" style="3177" customWidth="1"/>
    <col min="13062" max="13062" width="27" style="3177" customWidth="1"/>
    <col min="13063" max="13063" width="7.875" style="3177" customWidth="1"/>
    <col min="13064" max="13064" width="9" style="3177" customWidth="1"/>
    <col min="13065" max="13065" width="7.625" style="3177" customWidth="1"/>
    <col min="13066" max="13066" width="9.875" style="3177" customWidth="1"/>
    <col min="13067" max="13067" width="11.125" style="3177" customWidth="1"/>
    <col min="13068" max="13068" width="6.25" style="3177" customWidth="1"/>
    <col min="13069" max="13069" width="47.625" style="3177" customWidth="1"/>
    <col min="13070" max="13070" width="7.875" style="3177" customWidth="1"/>
    <col min="13071" max="13312" width="9" style="3177"/>
    <col min="13313" max="13313" width="26.125" style="3177" customWidth="1"/>
    <col min="13314" max="13314" width="6.25" style="3177" customWidth="1"/>
    <col min="13315" max="13315" width="7.875" style="3177" customWidth="1"/>
    <col min="13316" max="13316" width="13.875" style="3177" customWidth="1"/>
    <col min="13317" max="13317" width="13.125" style="3177" customWidth="1"/>
    <col min="13318" max="13318" width="27" style="3177" customWidth="1"/>
    <col min="13319" max="13319" width="7.875" style="3177" customWidth="1"/>
    <col min="13320" max="13320" width="9" style="3177" customWidth="1"/>
    <col min="13321" max="13321" width="7.625" style="3177" customWidth="1"/>
    <col min="13322" max="13322" width="9.875" style="3177" customWidth="1"/>
    <col min="13323" max="13323" width="11.125" style="3177" customWidth="1"/>
    <col min="13324" max="13324" width="6.25" style="3177" customWidth="1"/>
    <col min="13325" max="13325" width="47.625" style="3177" customWidth="1"/>
    <col min="13326" max="13326" width="7.875" style="3177" customWidth="1"/>
    <col min="13327" max="13568" width="9" style="3177"/>
    <col min="13569" max="13569" width="26.125" style="3177" customWidth="1"/>
    <col min="13570" max="13570" width="6.25" style="3177" customWidth="1"/>
    <col min="13571" max="13571" width="7.875" style="3177" customWidth="1"/>
    <col min="13572" max="13572" width="13.875" style="3177" customWidth="1"/>
    <col min="13573" max="13573" width="13.125" style="3177" customWidth="1"/>
    <col min="13574" max="13574" width="27" style="3177" customWidth="1"/>
    <col min="13575" max="13575" width="7.875" style="3177" customWidth="1"/>
    <col min="13576" max="13576" width="9" style="3177" customWidth="1"/>
    <col min="13577" max="13577" width="7.625" style="3177" customWidth="1"/>
    <col min="13578" max="13578" width="9.875" style="3177" customWidth="1"/>
    <col min="13579" max="13579" width="11.125" style="3177" customWidth="1"/>
    <col min="13580" max="13580" width="6.25" style="3177" customWidth="1"/>
    <col min="13581" max="13581" width="47.625" style="3177" customWidth="1"/>
    <col min="13582" max="13582" width="7.875" style="3177" customWidth="1"/>
    <col min="13583" max="13824" width="9" style="3177"/>
    <col min="13825" max="13825" width="26.125" style="3177" customWidth="1"/>
    <col min="13826" max="13826" width="6.25" style="3177" customWidth="1"/>
    <col min="13827" max="13827" width="7.875" style="3177" customWidth="1"/>
    <col min="13828" max="13828" width="13.875" style="3177" customWidth="1"/>
    <col min="13829" max="13829" width="13.125" style="3177" customWidth="1"/>
    <col min="13830" max="13830" width="27" style="3177" customWidth="1"/>
    <col min="13831" max="13831" width="7.875" style="3177" customWidth="1"/>
    <col min="13832" max="13832" width="9" style="3177" customWidth="1"/>
    <col min="13833" max="13833" width="7.625" style="3177" customWidth="1"/>
    <col min="13834" max="13834" width="9.875" style="3177" customWidth="1"/>
    <col min="13835" max="13835" width="11.125" style="3177" customWidth="1"/>
    <col min="13836" max="13836" width="6.25" style="3177" customWidth="1"/>
    <col min="13837" max="13837" width="47.625" style="3177" customWidth="1"/>
    <col min="13838" max="13838" width="7.875" style="3177" customWidth="1"/>
    <col min="13839" max="14080" width="9" style="3177"/>
    <col min="14081" max="14081" width="26.125" style="3177" customWidth="1"/>
    <col min="14082" max="14082" width="6.25" style="3177" customWidth="1"/>
    <col min="14083" max="14083" width="7.875" style="3177" customWidth="1"/>
    <col min="14084" max="14084" width="13.875" style="3177" customWidth="1"/>
    <col min="14085" max="14085" width="13.125" style="3177" customWidth="1"/>
    <col min="14086" max="14086" width="27" style="3177" customWidth="1"/>
    <col min="14087" max="14087" width="7.875" style="3177" customWidth="1"/>
    <col min="14088" max="14088" width="9" style="3177" customWidth="1"/>
    <col min="14089" max="14089" width="7.625" style="3177" customWidth="1"/>
    <col min="14090" max="14090" width="9.875" style="3177" customWidth="1"/>
    <col min="14091" max="14091" width="11.125" style="3177" customWidth="1"/>
    <col min="14092" max="14092" width="6.25" style="3177" customWidth="1"/>
    <col min="14093" max="14093" width="47.625" style="3177" customWidth="1"/>
    <col min="14094" max="14094" width="7.875" style="3177" customWidth="1"/>
    <col min="14095" max="14336" width="9" style="3177"/>
    <col min="14337" max="14337" width="26.125" style="3177" customWidth="1"/>
    <col min="14338" max="14338" width="6.25" style="3177" customWidth="1"/>
    <col min="14339" max="14339" width="7.875" style="3177" customWidth="1"/>
    <col min="14340" max="14340" width="13.875" style="3177" customWidth="1"/>
    <col min="14341" max="14341" width="13.125" style="3177" customWidth="1"/>
    <col min="14342" max="14342" width="27" style="3177" customWidth="1"/>
    <col min="14343" max="14343" width="7.875" style="3177" customWidth="1"/>
    <col min="14344" max="14344" width="9" style="3177" customWidth="1"/>
    <col min="14345" max="14345" width="7.625" style="3177" customWidth="1"/>
    <col min="14346" max="14346" width="9.875" style="3177" customWidth="1"/>
    <col min="14347" max="14347" width="11.125" style="3177" customWidth="1"/>
    <col min="14348" max="14348" width="6.25" style="3177" customWidth="1"/>
    <col min="14349" max="14349" width="47.625" style="3177" customWidth="1"/>
    <col min="14350" max="14350" width="7.875" style="3177" customWidth="1"/>
    <col min="14351" max="14592" width="9" style="3177"/>
    <col min="14593" max="14593" width="26.125" style="3177" customWidth="1"/>
    <col min="14594" max="14594" width="6.25" style="3177" customWidth="1"/>
    <col min="14595" max="14595" width="7.875" style="3177" customWidth="1"/>
    <col min="14596" max="14596" width="13.875" style="3177" customWidth="1"/>
    <col min="14597" max="14597" width="13.125" style="3177" customWidth="1"/>
    <col min="14598" max="14598" width="27" style="3177" customWidth="1"/>
    <col min="14599" max="14599" width="7.875" style="3177" customWidth="1"/>
    <col min="14600" max="14600" width="9" style="3177" customWidth="1"/>
    <col min="14601" max="14601" width="7.625" style="3177" customWidth="1"/>
    <col min="14602" max="14602" width="9.875" style="3177" customWidth="1"/>
    <col min="14603" max="14603" width="11.125" style="3177" customWidth="1"/>
    <col min="14604" max="14604" width="6.25" style="3177" customWidth="1"/>
    <col min="14605" max="14605" width="47.625" style="3177" customWidth="1"/>
    <col min="14606" max="14606" width="7.875" style="3177" customWidth="1"/>
    <col min="14607" max="14848" width="9" style="3177"/>
    <col min="14849" max="14849" width="26.125" style="3177" customWidth="1"/>
    <col min="14850" max="14850" width="6.25" style="3177" customWidth="1"/>
    <col min="14851" max="14851" width="7.875" style="3177" customWidth="1"/>
    <col min="14852" max="14852" width="13.875" style="3177" customWidth="1"/>
    <col min="14853" max="14853" width="13.125" style="3177" customWidth="1"/>
    <col min="14854" max="14854" width="27" style="3177" customWidth="1"/>
    <col min="14855" max="14855" width="7.875" style="3177" customWidth="1"/>
    <col min="14856" max="14856" width="9" style="3177" customWidth="1"/>
    <col min="14857" max="14857" width="7.625" style="3177" customWidth="1"/>
    <col min="14858" max="14858" width="9.875" style="3177" customWidth="1"/>
    <col min="14859" max="14859" width="11.125" style="3177" customWidth="1"/>
    <col min="14860" max="14860" width="6.25" style="3177" customWidth="1"/>
    <col min="14861" max="14861" width="47.625" style="3177" customWidth="1"/>
    <col min="14862" max="14862" width="7.875" style="3177" customWidth="1"/>
    <col min="14863" max="15104" width="9" style="3177"/>
    <col min="15105" max="15105" width="26.125" style="3177" customWidth="1"/>
    <col min="15106" max="15106" width="6.25" style="3177" customWidth="1"/>
    <col min="15107" max="15107" width="7.875" style="3177" customWidth="1"/>
    <col min="15108" max="15108" width="13.875" style="3177" customWidth="1"/>
    <col min="15109" max="15109" width="13.125" style="3177" customWidth="1"/>
    <col min="15110" max="15110" width="27" style="3177" customWidth="1"/>
    <col min="15111" max="15111" width="7.875" style="3177" customWidth="1"/>
    <col min="15112" max="15112" width="9" style="3177" customWidth="1"/>
    <col min="15113" max="15113" width="7.625" style="3177" customWidth="1"/>
    <col min="15114" max="15114" width="9.875" style="3177" customWidth="1"/>
    <col min="15115" max="15115" width="11.125" style="3177" customWidth="1"/>
    <col min="15116" max="15116" width="6.25" style="3177" customWidth="1"/>
    <col min="15117" max="15117" width="47.625" style="3177" customWidth="1"/>
    <col min="15118" max="15118" width="7.875" style="3177" customWidth="1"/>
    <col min="15119" max="15360" width="9" style="3177"/>
    <col min="15361" max="15361" width="26.125" style="3177" customWidth="1"/>
    <col min="15362" max="15362" width="6.25" style="3177" customWidth="1"/>
    <col min="15363" max="15363" width="7.875" style="3177" customWidth="1"/>
    <col min="15364" max="15364" width="13.875" style="3177" customWidth="1"/>
    <col min="15365" max="15365" width="13.125" style="3177" customWidth="1"/>
    <col min="15366" max="15366" width="27" style="3177" customWidth="1"/>
    <col min="15367" max="15367" width="7.875" style="3177" customWidth="1"/>
    <col min="15368" max="15368" width="9" style="3177" customWidth="1"/>
    <col min="15369" max="15369" width="7.625" style="3177" customWidth="1"/>
    <col min="15370" max="15370" width="9.875" style="3177" customWidth="1"/>
    <col min="15371" max="15371" width="11.125" style="3177" customWidth="1"/>
    <col min="15372" max="15372" width="6.25" style="3177" customWidth="1"/>
    <col min="15373" max="15373" width="47.625" style="3177" customWidth="1"/>
    <col min="15374" max="15374" width="7.875" style="3177" customWidth="1"/>
    <col min="15375" max="15616" width="9" style="3177"/>
    <col min="15617" max="15617" width="26.125" style="3177" customWidth="1"/>
    <col min="15618" max="15618" width="6.25" style="3177" customWidth="1"/>
    <col min="15619" max="15619" width="7.875" style="3177" customWidth="1"/>
    <col min="15620" max="15620" width="13.875" style="3177" customWidth="1"/>
    <col min="15621" max="15621" width="13.125" style="3177" customWidth="1"/>
    <col min="15622" max="15622" width="27" style="3177" customWidth="1"/>
    <col min="15623" max="15623" width="7.875" style="3177" customWidth="1"/>
    <col min="15624" max="15624" width="9" style="3177" customWidth="1"/>
    <col min="15625" max="15625" width="7.625" style="3177" customWidth="1"/>
    <col min="15626" max="15626" width="9.875" style="3177" customWidth="1"/>
    <col min="15627" max="15627" width="11.125" style="3177" customWidth="1"/>
    <col min="15628" max="15628" width="6.25" style="3177" customWidth="1"/>
    <col min="15629" max="15629" width="47.625" style="3177" customWidth="1"/>
    <col min="15630" max="15630" width="7.875" style="3177" customWidth="1"/>
    <col min="15631" max="15872" width="9" style="3177"/>
    <col min="15873" max="15873" width="26.125" style="3177" customWidth="1"/>
    <col min="15874" max="15874" width="6.25" style="3177" customWidth="1"/>
    <col min="15875" max="15875" width="7.875" style="3177" customWidth="1"/>
    <col min="15876" max="15876" width="13.875" style="3177" customWidth="1"/>
    <col min="15877" max="15877" width="13.125" style="3177" customWidth="1"/>
    <col min="15878" max="15878" width="27" style="3177" customWidth="1"/>
    <col min="15879" max="15879" width="7.875" style="3177" customWidth="1"/>
    <col min="15880" max="15880" width="9" style="3177" customWidth="1"/>
    <col min="15881" max="15881" width="7.625" style="3177" customWidth="1"/>
    <col min="15882" max="15882" width="9.875" style="3177" customWidth="1"/>
    <col min="15883" max="15883" width="11.125" style="3177" customWidth="1"/>
    <col min="15884" max="15884" width="6.25" style="3177" customWidth="1"/>
    <col min="15885" max="15885" width="47.625" style="3177" customWidth="1"/>
    <col min="15886" max="15886" width="7.875" style="3177" customWidth="1"/>
    <col min="15887" max="16128" width="9" style="3177"/>
    <col min="16129" max="16129" width="26.125" style="3177" customWidth="1"/>
    <col min="16130" max="16130" width="6.25" style="3177" customWidth="1"/>
    <col min="16131" max="16131" width="7.875" style="3177" customWidth="1"/>
    <col min="16132" max="16132" width="13.875" style="3177" customWidth="1"/>
    <col min="16133" max="16133" width="13.125" style="3177" customWidth="1"/>
    <col min="16134" max="16134" width="27" style="3177" customWidth="1"/>
    <col min="16135" max="16135" width="7.875" style="3177" customWidth="1"/>
    <col min="16136" max="16136" width="9" style="3177" customWidth="1"/>
    <col min="16137" max="16137" width="7.625" style="3177" customWidth="1"/>
    <col min="16138" max="16138" width="9.875" style="3177" customWidth="1"/>
    <col min="16139" max="16139" width="11.125" style="3177" customWidth="1"/>
    <col min="16140" max="16140" width="6.25" style="3177" customWidth="1"/>
    <col min="16141" max="16141" width="47.625" style="3177" customWidth="1"/>
    <col min="16142" max="16142" width="7.875" style="3177" customWidth="1"/>
    <col min="16143" max="16384" width="9" style="3177"/>
  </cols>
  <sheetData>
    <row r="1" spans="1:14">
      <c r="A1" s="3177" t="s">
        <v>2994</v>
      </c>
      <c r="B1" s="3177" t="s">
        <v>2995</v>
      </c>
      <c r="C1" s="3177" t="s">
        <v>2996</v>
      </c>
      <c r="D1" s="3177" t="s">
        <v>2997</v>
      </c>
      <c r="E1" s="3177" t="s">
        <v>2998</v>
      </c>
      <c r="F1" s="3177" t="s">
        <v>2030</v>
      </c>
      <c r="G1" s="3177" t="s">
        <v>2999</v>
      </c>
      <c r="H1" s="3177" t="s">
        <v>3000</v>
      </c>
      <c r="I1" s="3177" t="s">
        <v>3001</v>
      </c>
      <c r="J1" s="3177" t="s">
        <v>3002</v>
      </c>
      <c r="K1" s="3177" t="s">
        <v>3003</v>
      </c>
      <c r="L1" s="3177" t="s">
        <v>3004</v>
      </c>
      <c r="M1" s="3177" t="s">
        <v>3005</v>
      </c>
      <c r="N1" s="3177" t="s">
        <v>3006</v>
      </c>
    </row>
    <row r="2" spans="1:14" s="3178" customFormat="1">
      <c r="A2" s="3178" t="s">
        <v>3007</v>
      </c>
      <c r="B2" s="3178" t="s">
        <v>2991</v>
      </c>
      <c r="C2" s="3178" t="s">
        <v>3008</v>
      </c>
      <c r="D2" s="3178">
        <v>27496.09</v>
      </c>
      <c r="E2" s="3178">
        <v>54992.18</v>
      </c>
      <c r="F2" s="3178" t="s">
        <v>3009</v>
      </c>
      <c r="G2" s="3178" t="s">
        <v>3010</v>
      </c>
      <c r="H2" s="3178" t="s">
        <v>3011</v>
      </c>
      <c r="I2" s="3178">
        <v>16330</v>
      </c>
      <c r="J2" s="3178">
        <v>16990</v>
      </c>
      <c r="K2" s="3178">
        <f>ROUND(3089.53,0)</f>
        <v>3090</v>
      </c>
      <c r="L2" s="3178">
        <v>4.04</v>
      </c>
      <c r="M2" s="3178" t="s">
        <v>3012</v>
      </c>
      <c r="N2" s="3178" t="s">
        <v>3013</v>
      </c>
    </row>
    <row r="3" spans="1:14" s="3386" customFormat="1">
      <c r="A3" s="3386" t="s">
        <v>3007</v>
      </c>
      <c r="B3" s="3386" t="s">
        <v>2991</v>
      </c>
      <c r="C3" s="3386" t="s">
        <v>3008</v>
      </c>
      <c r="D3" s="3386">
        <v>21702.66</v>
      </c>
      <c r="E3" s="3386">
        <v>43405.32</v>
      </c>
      <c r="F3" s="3386" t="s">
        <v>3009</v>
      </c>
      <c r="G3" s="3386" t="s">
        <v>3010</v>
      </c>
      <c r="H3" s="3386" t="s">
        <v>3011</v>
      </c>
      <c r="I3" s="3386">
        <v>12890</v>
      </c>
      <c r="J3" s="3386">
        <v>13410</v>
      </c>
      <c r="K3" s="3386">
        <v>3089.48</v>
      </c>
      <c r="L3" s="3386">
        <v>4.03</v>
      </c>
      <c r="M3" s="3386" t="s">
        <v>3012</v>
      </c>
      <c r="N3" s="3386" t="s">
        <v>3013</v>
      </c>
    </row>
    <row r="4" spans="1:14">
      <c r="A4" s="3177" t="s">
        <v>3014</v>
      </c>
      <c r="B4" s="3177" t="s">
        <v>2991</v>
      </c>
      <c r="C4" s="3177" t="s">
        <v>3008</v>
      </c>
      <c r="D4" s="3177">
        <v>3405.37</v>
      </c>
      <c r="E4" s="3177">
        <v>6810.74</v>
      </c>
      <c r="F4" s="3177" t="s">
        <v>3009</v>
      </c>
      <c r="G4" s="3177" t="s">
        <v>3010</v>
      </c>
      <c r="H4" s="3177" t="s">
        <v>3015</v>
      </c>
      <c r="I4" s="3177">
        <v>1992</v>
      </c>
      <c r="J4" s="3177">
        <v>2152</v>
      </c>
      <c r="K4" s="3177">
        <v>3159.71</v>
      </c>
      <c r="L4" s="3177">
        <v>8.0299999999999994</v>
      </c>
      <c r="M4" s="3177" t="s">
        <v>3016</v>
      </c>
      <c r="N4" s="3177" t="s">
        <v>3013</v>
      </c>
    </row>
    <row r="5" spans="1:14">
      <c r="A5" s="3177" t="s">
        <v>3017</v>
      </c>
      <c r="B5" s="3177" t="s">
        <v>2991</v>
      </c>
      <c r="C5" s="3177" t="s">
        <v>3008</v>
      </c>
      <c r="D5" s="3177">
        <v>22643.46</v>
      </c>
      <c r="E5" s="3177">
        <v>34191.620000000003</v>
      </c>
      <c r="F5" s="3177" t="s">
        <v>3018</v>
      </c>
      <c r="G5" s="3177" t="s">
        <v>3010</v>
      </c>
      <c r="H5" s="3177" t="s">
        <v>3015</v>
      </c>
      <c r="I5" s="3177">
        <v>12227</v>
      </c>
      <c r="J5" s="3177">
        <v>13227</v>
      </c>
      <c r="K5" s="3177">
        <v>3868.48</v>
      </c>
      <c r="L5" s="3177">
        <v>8.18</v>
      </c>
      <c r="M5" s="3177" t="s">
        <v>3019</v>
      </c>
      <c r="N5" s="3177" t="s">
        <v>3013</v>
      </c>
    </row>
    <row r="6" spans="1:14">
      <c r="A6" s="3177" t="s">
        <v>3014</v>
      </c>
      <c r="B6" s="3177" t="s">
        <v>2991</v>
      </c>
      <c r="C6" s="3177" t="s">
        <v>3008</v>
      </c>
      <c r="D6" s="3177">
        <v>13195.11</v>
      </c>
      <c r="E6" s="3177">
        <v>26390.22</v>
      </c>
      <c r="F6" s="3177" t="s">
        <v>3009</v>
      </c>
      <c r="G6" s="3177" t="s">
        <v>3010</v>
      </c>
      <c r="H6" s="3177" t="s">
        <v>3015</v>
      </c>
      <c r="I6" s="3177">
        <v>7917</v>
      </c>
      <c r="J6" s="3177">
        <v>8557</v>
      </c>
      <c r="K6" s="3177">
        <v>3242.48</v>
      </c>
      <c r="L6" s="3177">
        <v>8.08</v>
      </c>
      <c r="M6" s="3177" t="s">
        <v>3016</v>
      </c>
      <c r="N6" s="3177" t="s">
        <v>3013</v>
      </c>
    </row>
    <row r="7" spans="1:14" s="3178" customFormat="1">
      <c r="A7" s="3178" t="s">
        <v>3020</v>
      </c>
      <c r="B7" s="3178" t="s">
        <v>2991</v>
      </c>
      <c r="C7" s="3178" t="s">
        <v>3008</v>
      </c>
      <c r="D7" s="3178">
        <v>47817.19</v>
      </c>
      <c r="E7" s="3178">
        <v>95634.38</v>
      </c>
      <c r="F7" s="3178" t="s">
        <v>3009</v>
      </c>
      <c r="G7" s="3178" t="s">
        <v>3010</v>
      </c>
      <c r="H7" s="3178" t="s">
        <v>3015</v>
      </c>
      <c r="I7" s="3178">
        <v>30125</v>
      </c>
      <c r="J7" s="3178">
        <v>32525</v>
      </c>
      <c r="K7" s="3178">
        <f>ROUND(3400.96,0)</f>
        <v>3401</v>
      </c>
      <c r="L7" s="3178">
        <v>7.97</v>
      </c>
      <c r="M7" s="3178" t="s">
        <v>3021</v>
      </c>
      <c r="N7" s="3178" t="s">
        <v>3013</v>
      </c>
    </row>
    <row r="8" spans="1:14">
      <c r="A8" s="3177" t="s">
        <v>3022</v>
      </c>
      <c r="B8" s="3177" t="s">
        <v>2991</v>
      </c>
      <c r="C8" s="3177" t="s">
        <v>3008</v>
      </c>
      <c r="D8" s="3177">
        <v>15154.89</v>
      </c>
      <c r="E8" s="3177">
        <v>27278.799999999999</v>
      </c>
      <c r="F8" s="3177" t="s">
        <v>3023</v>
      </c>
      <c r="G8" s="3177" t="s">
        <v>3010</v>
      </c>
      <c r="H8" s="3177" t="s">
        <v>3015</v>
      </c>
      <c r="I8" s="3177">
        <v>9093</v>
      </c>
      <c r="J8" s="3177">
        <v>9813</v>
      </c>
      <c r="K8" s="3177">
        <v>3597.3</v>
      </c>
      <c r="L8" s="3177">
        <v>7.92</v>
      </c>
      <c r="M8" s="3177" t="s">
        <v>3024</v>
      </c>
      <c r="N8" s="3177" t="s">
        <v>3013</v>
      </c>
    </row>
    <row r="9" spans="1:14">
      <c r="A9" s="3177" t="s">
        <v>3025</v>
      </c>
      <c r="B9" s="3177" t="s">
        <v>2991</v>
      </c>
      <c r="C9" s="3177" t="s">
        <v>3008</v>
      </c>
      <c r="D9" s="3177">
        <v>7367.11</v>
      </c>
      <c r="E9" s="3177">
        <v>27774</v>
      </c>
      <c r="F9" s="3177" t="s">
        <v>3026</v>
      </c>
      <c r="G9" s="3177" t="s">
        <v>3010</v>
      </c>
      <c r="H9" s="3177" t="s">
        <v>3027</v>
      </c>
      <c r="I9" s="3177" t="s">
        <v>2814</v>
      </c>
      <c r="J9" s="3177">
        <v>4811</v>
      </c>
      <c r="K9" s="3177">
        <v>1732.2</v>
      </c>
      <c r="L9" s="3177" t="s">
        <v>2814</v>
      </c>
      <c r="M9" s="3177" t="s">
        <v>3019</v>
      </c>
      <c r="N9" s="3177" t="s">
        <v>3013</v>
      </c>
    </row>
    <row r="10" spans="1:14">
      <c r="A10" s="3177" t="s">
        <v>3028</v>
      </c>
      <c r="B10" s="3177" t="s">
        <v>2991</v>
      </c>
      <c r="C10" s="3177" t="s">
        <v>3008</v>
      </c>
      <c r="D10" s="3177">
        <v>2874.39</v>
      </c>
      <c r="E10" s="3177">
        <v>5173.8999999999996</v>
      </c>
      <c r="F10" s="3177" t="s">
        <v>3023</v>
      </c>
      <c r="G10" s="3177" t="s">
        <v>3010</v>
      </c>
      <c r="H10" s="3177" t="s">
        <v>3027</v>
      </c>
      <c r="I10" s="3177" t="s">
        <v>2814</v>
      </c>
      <c r="J10" s="3177">
        <v>1720</v>
      </c>
      <c r="K10" s="3177">
        <v>3324.38</v>
      </c>
      <c r="L10" s="3177" t="s">
        <v>2814</v>
      </c>
      <c r="M10" s="3177" t="s">
        <v>3029</v>
      </c>
      <c r="N10" s="3177" t="s">
        <v>3013</v>
      </c>
    </row>
    <row r="11" spans="1:14">
      <c r="A11" s="3177" t="s">
        <v>3030</v>
      </c>
      <c r="B11" s="3177" t="s">
        <v>2991</v>
      </c>
      <c r="C11" s="3177" t="s">
        <v>3008</v>
      </c>
      <c r="D11" s="3177">
        <v>32177.83</v>
      </c>
      <c r="E11" s="3177">
        <v>57920.09</v>
      </c>
      <c r="F11" s="3177" t="s">
        <v>3023</v>
      </c>
      <c r="G11" s="3177" t="s">
        <v>3031</v>
      </c>
      <c r="H11" s="3177" t="s">
        <v>3032</v>
      </c>
      <c r="I11" s="3177">
        <v>15445</v>
      </c>
      <c r="J11" s="3177">
        <v>19598</v>
      </c>
      <c r="K11" s="3177">
        <v>3383.63</v>
      </c>
      <c r="L11" s="3177">
        <v>26.89</v>
      </c>
      <c r="M11" s="3177" t="s">
        <v>3033</v>
      </c>
      <c r="N11" s="3177" t="s">
        <v>3013</v>
      </c>
    </row>
    <row r="12" spans="1:14" s="3178" customFormat="1">
      <c r="A12" s="3178" t="s">
        <v>3034</v>
      </c>
      <c r="B12" s="3178" t="s">
        <v>2991</v>
      </c>
      <c r="C12" s="3178" t="s">
        <v>3008</v>
      </c>
      <c r="D12" s="3178">
        <v>61267.13</v>
      </c>
      <c r="E12" s="3178">
        <v>122534.26</v>
      </c>
      <c r="F12" s="3178" t="s">
        <v>3009</v>
      </c>
      <c r="G12" s="3178" t="s">
        <v>3031</v>
      </c>
      <c r="H12" s="3178" t="s">
        <v>3032</v>
      </c>
      <c r="I12" s="3178">
        <v>30327</v>
      </c>
      <c r="J12" s="3178">
        <v>36943.800000000003</v>
      </c>
      <c r="K12" s="3178">
        <f>ROUND(3014.98,0)</f>
        <v>3015</v>
      </c>
      <c r="L12" s="3178">
        <v>21.82</v>
      </c>
      <c r="M12" s="3178" t="s">
        <v>3035</v>
      </c>
      <c r="N12" s="3178" t="s">
        <v>3013</v>
      </c>
    </row>
    <row r="13" spans="1:14">
      <c r="A13" s="3177" t="s">
        <v>3036</v>
      </c>
      <c r="B13" s="3177" t="s">
        <v>2991</v>
      </c>
      <c r="C13" s="3177" t="s">
        <v>3008</v>
      </c>
      <c r="D13" s="3177">
        <v>37135.480000000003</v>
      </c>
      <c r="E13" s="3177">
        <v>74270.960000000006</v>
      </c>
      <c r="F13" s="3177" t="s">
        <v>3009</v>
      </c>
      <c r="G13" s="3177" t="s">
        <v>3010</v>
      </c>
      <c r="H13" s="3177" t="s">
        <v>3037</v>
      </c>
      <c r="I13" s="3177" t="s">
        <v>2814</v>
      </c>
      <c r="J13" s="3177">
        <v>17115</v>
      </c>
      <c r="K13" s="3177">
        <v>2304.4</v>
      </c>
      <c r="L13" s="3177" t="s">
        <v>2814</v>
      </c>
      <c r="M13" s="3177" t="s">
        <v>3038</v>
      </c>
      <c r="N13" s="3177" t="s">
        <v>3013</v>
      </c>
    </row>
    <row r="14" spans="1:14">
      <c r="A14" s="3177" t="s">
        <v>3039</v>
      </c>
      <c r="B14" s="3177" t="s">
        <v>2991</v>
      </c>
      <c r="C14" s="3177" t="s">
        <v>3008</v>
      </c>
      <c r="D14" s="3177">
        <v>16056.18</v>
      </c>
      <c r="E14" s="3177">
        <v>32112.36</v>
      </c>
      <c r="F14" s="3177" t="s">
        <v>3009</v>
      </c>
      <c r="G14" s="3177" t="s">
        <v>3010</v>
      </c>
      <c r="H14" s="3177" t="s">
        <v>3040</v>
      </c>
      <c r="I14" s="3177">
        <v>5420</v>
      </c>
      <c r="J14" s="3177">
        <v>7538</v>
      </c>
      <c r="K14" s="3177">
        <v>2347.38</v>
      </c>
      <c r="L14" s="3177">
        <v>39.08</v>
      </c>
      <c r="M14" s="3177" t="s">
        <v>3041</v>
      </c>
      <c r="N14" s="3177" t="s">
        <v>3013</v>
      </c>
    </row>
    <row r="15" spans="1:14">
      <c r="A15" s="3177" t="s">
        <v>3039</v>
      </c>
      <c r="B15" s="3177" t="s">
        <v>2991</v>
      </c>
      <c r="C15" s="3177" t="s">
        <v>3008</v>
      </c>
      <c r="D15" s="3177">
        <v>4160.45</v>
      </c>
      <c r="E15" s="3177">
        <v>8320.9</v>
      </c>
      <c r="F15" s="3177" t="s">
        <v>3009</v>
      </c>
      <c r="G15" s="3177" t="s">
        <v>3010</v>
      </c>
      <c r="H15" s="3177" t="s">
        <v>3040</v>
      </c>
      <c r="I15" s="3177">
        <v>1435</v>
      </c>
      <c r="J15" s="3177">
        <v>1954</v>
      </c>
      <c r="K15" s="3177">
        <v>2348.3000000000002</v>
      </c>
      <c r="L15" s="3177">
        <v>36.17</v>
      </c>
      <c r="M15" s="3177" t="s">
        <v>3041</v>
      </c>
      <c r="N15" s="3177" t="s">
        <v>3013</v>
      </c>
    </row>
    <row r="16" spans="1:14">
      <c r="A16" s="3177" t="s">
        <v>3039</v>
      </c>
      <c r="B16" s="3177" t="s">
        <v>2991</v>
      </c>
      <c r="C16" s="3177" t="s">
        <v>3008</v>
      </c>
      <c r="D16" s="3177">
        <v>13568.01</v>
      </c>
      <c r="E16" s="3177">
        <v>27136.02</v>
      </c>
      <c r="F16" s="3177" t="s">
        <v>3009</v>
      </c>
      <c r="G16" s="3177" t="s">
        <v>3010</v>
      </c>
      <c r="H16" s="3177" t="s">
        <v>3040</v>
      </c>
      <c r="I16" s="3177">
        <v>4580</v>
      </c>
      <c r="J16" s="3177">
        <v>6370</v>
      </c>
      <c r="K16" s="3177">
        <v>2347.42</v>
      </c>
      <c r="L16" s="3177">
        <v>39.08</v>
      </c>
      <c r="M16" s="3177" t="s">
        <v>3041</v>
      </c>
      <c r="N16" s="3177" t="s">
        <v>3013</v>
      </c>
    </row>
    <row r="17" spans="1:14">
      <c r="A17" s="3177" t="s">
        <v>3039</v>
      </c>
      <c r="B17" s="3177" t="s">
        <v>2991</v>
      </c>
      <c r="C17" s="3177" t="s">
        <v>3008</v>
      </c>
      <c r="D17" s="3177">
        <v>34368.04</v>
      </c>
      <c r="E17" s="3177">
        <v>68736.08</v>
      </c>
      <c r="F17" s="3177" t="s">
        <v>3009</v>
      </c>
      <c r="G17" s="3177" t="s">
        <v>3010</v>
      </c>
      <c r="H17" s="3177" t="s">
        <v>3040</v>
      </c>
      <c r="I17" s="3177">
        <v>11800</v>
      </c>
      <c r="J17" s="3177">
        <v>16136</v>
      </c>
      <c r="K17" s="3177">
        <v>2347.5300000000002</v>
      </c>
      <c r="L17" s="3177">
        <v>36.75</v>
      </c>
      <c r="M17" s="3177" t="s">
        <v>3041</v>
      </c>
      <c r="N17" s="3177" t="s">
        <v>3013</v>
      </c>
    </row>
    <row r="18" spans="1:14">
      <c r="A18" s="3177" t="s">
        <v>3039</v>
      </c>
      <c r="B18" s="3177" t="s">
        <v>2991</v>
      </c>
      <c r="C18" s="3177" t="s">
        <v>3008</v>
      </c>
      <c r="D18" s="3177">
        <v>879.29</v>
      </c>
      <c r="E18" s="3177">
        <v>1758.58</v>
      </c>
      <c r="F18" s="3177" t="s">
        <v>3009</v>
      </c>
      <c r="G18" s="3177" t="s">
        <v>3010</v>
      </c>
      <c r="H18" s="3177" t="s">
        <v>3040</v>
      </c>
      <c r="I18" s="3177">
        <v>300</v>
      </c>
      <c r="J18" s="3177">
        <v>414</v>
      </c>
      <c r="K18" s="3177">
        <v>2354.17</v>
      </c>
      <c r="L18" s="3177">
        <v>38</v>
      </c>
      <c r="M18" s="3177" t="s">
        <v>3041</v>
      </c>
      <c r="N18" s="3177" t="s">
        <v>3013</v>
      </c>
    </row>
    <row r="19" spans="1:14">
      <c r="A19" s="3177" t="s">
        <v>3030</v>
      </c>
      <c r="B19" s="3177" t="s">
        <v>2991</v>
      </c>
      <c r="C19" s="3177" t="s">
        <v>3008</v>
      </c>
      <c r="D19" s="3177">
        <v>24056.62</v>
      </c>
      <c r="E19" s="3177">
        <v>43301.919999999998</v>
      </c>
      <c r="F19" s="3177" t="s">
        <v>3023</v>
      </c>
      <c r="G19" s="3177" t="s">
        <v>3010</v>
      </c>
      <c r="H19" s="3177" t="s">
        <v>3040</v>
      </c>
      <c r="I19" s="3177">
        <v>8970</v>
      </c>
      <c r="J19" s="3177">
        <v>12231.1</v>
      </c>
      <c r="K19" s="3177">
        <v>2824.61</v>
      </c>
      <c r="L19" s="3177">
        <v>36.36</v>
      </c>
      <c r="M19" s="3177" t="s">
        <v>3042</v>
      </c>
      <c r="N19" s="3177" t="s">
        <v>3013</v>
      </c>
    </row>
    <row r="20" spans="1:14">
      <c r="A20" s="3177" t="s">
        <v>3043</v>
      </c>
      <c r="B20" s="3177" t="s">
        <v>2991</v>
      </c>
      <c r="C20" s="3177" t="s">
        <v>3008</v>
      </c>
      <c r="D20" s="3177">
        <v>30462.84</v>
      </c>
      <c r="E20" s="3177">
        <v>60925.68</v>
      </c>
      <c r="F20" s="3177" t="s">
        <v>3009</v>
      </c>
      <c r="G20" s="3177" t="s">
        <v>3010</v>
      </c>
      <c r="H20" s="3177" t="s">
        <v>3040</v>
      </c>
      <c r="I20" s="3177">
        <v>10410</v>
      </c>
      <c r="J20" s="3177">
        <v>14255</v>
      </c>
      <c r="K20" s="3177">
        <v>2339.73</v>
      </c>
      <c r="L20" s="3177">
        <v>36.94</v>
      </c>
      <c r="M20" s="3177" t="s">
        <v>3044</v>
      </c>
      <c r="N20" s="3177" t="s">
        <v>3013</v>
      </c>
    </row>
    <row r="21" spans="1:14">
      <c r="A21" s="3177" t="s">
        <v>3045</v>
      </c>
      <c r="B21" s="3177" t="s">
        <v>2991</v>
      </c>
      <c r="C21" s="3177" t="s">
        <v>3008</v>
      </c>
      <c r="D21" s="3177">
        <v>27564.880000000001</v>
      </c>
      <c r="E21" s="3177">
        <v>55129.760000000002</v>
      </c>
      <c r="F21" s="3177" t="s">
        <v>3009</v>
      </c>
      <c r="G21" s="3177" t="s">
        <v>3010</v>
      </c>
      <c r="H21" s="3177" t="s">
        <v>3040</v>
      </c>
      <c r="I21" s="3177">
        <v>9505</v>
      </c>
      <c r="J21" s="3177">
        <v>12901</v>
      </c>
      <c r="K21" s="3177">
        <v>2340.11</v>
      </c>
      <c r="L21" s="3177">
        <v>35.729999999999997</v>
      </c>
      <c r="M21" s="3177" t="s">
        <v>3044</v>
      </c>
      <c r="N21" s="3177" t="s">
        <v>3013</v>
      </c>
    </row>
    <row r="22" spans="1:14">
      <c r="A22" s="3177" t="s">
        <v>3043</v>
      </c>
      <c r="B22" s="3177" t="s">
        <v>2991</v>
      </c>
      <c r="C22" s="3177" t="s">
        <v>3008</v>
      </c>
      <c r="D22" s="3177">
        <v>30542.17</v>
      </c>
      <c r="E22" s="3177">
        <v>61084.34</v>
      </c>
      <c r="F22" s="3177" t="s">
        <v>3009</v>
      </c>
      <c r="G22" s="3177" t="s">
        <v>3010</v>
      </c>
      <c r="H22" s="3177" t="s">
        <v>3040</v>
      </c>
      <c r="I22" s="3177">
        <v>10360</v>
      </c>
      <c r="J22" s="3177">
        <v>14293</v>
      </c>
      <c r="K22" s="3177">
        <v>2339.88</v>
      </c>
      <c r="L22" s="3177">
        <v>37.96</v>
      </c>
      <c r="M22" s="3177" t="s">
        <v>3044</v>
      </c>
      <c r="N22" s="3177" t="s">
        <v>3013</v>
      </c>
    </row>
    <row r="23" spans="1:14">
      <c r="A23" s="3177" t="s">
        <v>3046</v>
      </c>
      <c r="B23" s="3177" t="s">
        <v>2991</v>
      </c>
      <c r="C23" s="3177" t="s">
        <v>3008</v>
      </c>
      <c r="D23" s="3177">
        <v>4998.7</v>
      </c>
      <c r="E23" s="3177">
        <v>12496.75</v>
      </c>
      <c r="F23" s="3177" t="s">
        <v>3047</v>
      </c>
      <c r="G23" s="3177" t="s">
        <v>3010</v>
      </c>
      <c r="H23" s="3177" t="s">
        <v>3048</v>
      </c>
      <c r="I23" s="3177" t="s">
        <v>2814</v>
      </c>
      <c r="J23" s="3177">
        <v>2562</v>
      </c>
      <c r="K23" s="3177">
        <v>2050.13</v>
      </c>
      <c r="L23" s="3177" t="s">
        <v>2814</v>
      </c>
      <c r="M23" s="3177" t="s">
        <v>3049</v>
      </c>
      <c r="N23" s="3177" t="s">
        <v>3013</v>
      </c>
    </row>
    <row r="24" spans="1:14">
      <c r="A24" s="3177" t="s">
        <v>3050</v>
      </c>
      <c r="B24" s="3177" t="s">
        <v>2991</v>
      </c>
      <c r="C24" s="3177" t="s">
        <v>3008</v>
      </c>
      <c r="D24" s="3177">
        <v>10338.049999999999</v>
      </c>
      <c r="E24" s="3177">
        <v>13439.47</v>
      </c>
      <c r="F24" s="3177" t="s">
        <v>3051</v>
      </c>
      <c r="G24" s="3177" t="s">
        <v>3010</v>
      </c>
      <c r="H24" s="3177" t="s">
        <v>3048</v>
      </c>
      <c r="I24" s="3177" t="s">
        <v>2814</v>
      </c>
      <c r="J24" s="3177">
        <v>4039</v>
      </c>
      <c r="K24" s="3177">
        <v>3005.32</v>
      </c>
      <c r="L24" s="3177" t="s">
        <v>2814</v>
      </c>
      <c r="M24" s="3177" t="s">
        <v>3052</v>
      </c>
      <c r="N24" s="3177" t="s">
        <v>3013</v>
      </c>
    </row>
    <row r="25" spans="1:14">
      <c r="A25" s="3177" t="s">
        <v>3053</v>
      </c>
      <c r="B25" s="3177" t="s">
        <v>2991</v>
      </c>
      <c r="C25" s="3177" t="s">
        <v>3008</v>
      </c>
      <c r="D25" s="3177">
        <v>3399.54</v>
      </c>
      <c r="E25" s="3177">
        <v>8838.7999999999993</v>
      </c>
      <c r="F25" s="3177" t="s">
        <v>3054</v>
      </c>
      <c r="G25" s="3177" t="s">
        <v>3010</v>
      </c>
      <c r="H25" s="3177" t="s">
        <v>3048</v>
      </c>
      <c r="I25" s="3177" t="s">
        <v>2814</v>
      </c>
      <c r="J25" s="3177">
        <v>1814</v>
      </c>
      <c r="K25" s="3177">
        <v>2052.3000000000002</v>
      </c>
      <c r="L25" s="3177" t="s">
        <v>2814</v>
      </c>
      <c r="M25" s="3177" t="s">
        <v>3016</v>
      </c>
      <c r="N25" s="3177" t="s">
        <v>3013</v>
      </c>
    </row>
    <row r="26" spans="1:14">
      <c r="A26" s="3177" t="s">
        <v>3055</v>
      </c>
      <c r="B26" s="3177" t="s">
        <v>2991</v>
      </c>
      <c r="C26" s="3177" t="s">
        <v>3008</v>
      </c>
      <c r="D26" s="3177">
        <v>11574.9</v>
      </c>
      <c r="E26" s="3177">
        <v>37965.67</v>
      </c>
      <c r="F26" s="3177" t="s">
        <v>3056</v>
      </c>
      <c r="G26" s="3177" t="s">
        <v>3010</v>
      </c>
      <c r="H26" s="3177" t="s">
        <v>3048</v>
      </c>
      <c r="I26" s="3177" t="s">
        <v>2814</v>
      </c>
      <c r="J26" s="3177">
        <v>6245</v>
      </c>
      <c r="K26" s="3177">
        <v>1644.91</v>
      </c>
      <c r="L26" s="3177" t="s">
        <v>2814</v>
      </c>
      <c r="M26" s="3177" t="s">
        <v>3057</v>
      </c>
      <c r="N26" s="3177" t="s">
        <v>3013</v>
      </c>
    </row>
    <row r="27" spans="1:14">
      <c r="A27" s="3177" t="s">
        <v>3058</v>
      </c>
      <c r="B27" s="3177" t="s">
        <v>2991</v>
      </c>
      <c r="C27" s="3177" t="s">
        <v>3008</v>
      </c>
      <c r="D27" s="3177">
        <v>31990.31</v>
      </c>
      <c r="E27" s="3177">
        <v>63980.62</v>
      </c>
      <c r="F27" s="3177" t="s">
        <v>3009</v>
      </c>
      <c r="G27" s="3177" t="s">
        <v>3010</v>
      </c>
      <c r="H27" s="3177" t="s">
        <v>3059</v>
      </c>
      <c r="I27" s="3177">
        <v>11215</v>
      </c>
      <c r="J27" s="3177">
        <v>14540.96</v>
      </c>
      <c r="K27" s="3177">
        <v>2272.71</v>
      </c>
      <c r="L27" s="3177">
        <v>29.66</v>
      </c>
      <c r="M27" s="3177" t="s">
        <v>3060</v>
      </c>
      <c r="N27" s="3177" t="s">
        <v>3013</v>
      </c>
    </row>
    <row r="28" spans="1:14">
      <c r="A28" s="3177" t="s">
        <v>3061</v>
      </c>
      <c r="B28" s="3177" t="s">
        <v>2991</v>
      </c>
      <c r="C28" s="3177" t="s">
        <v>3008</v>
      </c>
      <c r="D28" s="3177">
        <v>57611.91</v>
      </c>
      <c r="E28" s="3177">
        <v>135388</v>
      </c>
      <c r="F28" s="3177" t="s">
        <v>3062</v>
      </c>
      <c r="G28" s="3177" t="s">
        <v>3010</v>
      </c>
      <c r="H28" s="3177" t="s">
        <v>3059</v>
      </c>
      <c r="I28" s="3177">
        <v>21145</v>
      </c>
      <c r="J28" s="3177">
        <v>27481.56</v>
      </c>
      <c r="K28" s="3177">
        <v>2029.83</v>
      </c>
      <c r="L28" s="3177">
        <v>29.97</v>
      </c>
      <c r="M28" s="3177" t="s">
        <v>3063</v>
      </c>
      <c r="N28" s="3177" t="s">
        <v>3013</v>
      </c>
    </row>
    <row r="29" spans="1:14">
      <c r="A29" s="3177" t="s">
        <v>3061</v>
      </c>
      <c r="B29" s="3177" t="s">
        <v>2991</v>
      </c>
      <c r="C29" s="3177" t="s">
        <v>3008</v>
      </c>
      <c r="D29" s="3177">
        <v>34063.910000000003</v>
      </c>
      <c r="E29" s="3177">
        <v>80050.19</v>
      </c>
      <c r="F29" s="3177" t="s">
        <v>3062</v>
      </c>
      <c r="G29" s="3177" t="s">
        <v>3010</v>
      </c>
      <c r="H29" s="3177" t="s">
        <v>3059</v>
      </c>
      <c r="I29" s="3177">
        <v>12505</v>
      </c>
      <c r="J29" s="3177">
        <v>16249.79</v>
      </c>
      <c r="K29" s="3177">
        <v>2029.95</v>
      </c>
      <c r="L29" s="3177">
        <v>29.95</v>
      </c>
      <c r="M29" s="3177" t="s">
        <v>3063</v>
      </c>
      <c r="N29" s="3177" t="s">
        <v>3013</v>
      </c>
    </row>
    <row r="30" spans="1:14">
      <c r="A30" s="3177" t="s">
        <v>3061</v>
      </c>
      <c r="B30" s="3177" t="s">
        <v>2991</v>
      </c>
      <c r="C30" s="3177" t="s">
        <v>3008</v>
      </c>
      <c r="D30" s="3177">
        <v>25009.74</v>
      </c>
      <c r="E30" s="3177">
        <v>58772.89</v>
      </c>
      <c r="F30" s="3177" t="s">
        <v>3062</v>
      </c>
      <c r="G30" s="3177" t="s">
        <v>3010</v>
      </c>
      <c r="H30" s="3177" t="s">
        <v>3059</v>
      </c>
      <c r="I30" s="3177">
        <v>9180</v>
      </c>
      <c r="J30" s="3177">
        <v>11928.18</v>
      </c>
      <c r="K30" s="3177">
        <v>2029.53</v>
      </c>
      <c r="L30" s="3177">
        <v>29.94</v>
      </c>
      <c r="M30" s="3177" t="s">
        <v>3063</v>
      </c>
      <c r="N30" s="3177" t="s">
        <v>3013</v>
      </c>
    </row>
    <row r="31" spans="1:14">
      <c r="A31" s="3177" t="s">
        <v>3064</v>
      </c>
      <c r="B31" s="3177" t="s">
        <v>2991</v>
      </c>
      <c r="C31" s="3177" t="s">
        <v>3008</v>
      </c>
      <c r="D31" s="3177">
        <v>32760.14</v>
      </c>
      <c r="E31" s="3177">
        <v>65520.28</v>
      </c>
      <c r="F31" s="3177" t="s">
        <v>3009</v>
      </c>
      <c r="G31" s="3177" t="s">
        <v>3010</v>
      </c>
      <c r="H31" s="3177" t="s">
        <v>3059</v>
      </c>
      <c r="I31" s="3177">
        <v>11130</v>
      </c>
      <c r="J31" s="3177">
        <v>14889.42</v>
      </c>
      <c r="K31" s="3177">
        <v>2272.48</v>
      </c>
      <c r="L31" s="3177">
        <v>33.78</v>
      </c>
      <c r="M31" s="3177" t="s">
        <v>3060</v>
      </c>
      <c r="N31" s="3177" t="s">
        <v>3013</v>
      </c>
    </row>
    <row r="32" spans="1:14">
      <c r="A32" s="3177" t="s">
        <v>3061</v>
      </c>
      <c r="B32" s="3177" t="s">
        <v>2991</v>
      </c>
      <c r="C32" s="3177" t="s">
        <v>3008</v>
      </c>
      <c r="D32" s="3177">
        <v>15604</v>
      </c>
      <c r="E32" s="3177">
        <v>36669.4</v>
      </c>
      <c r="F32" s="3177" t="s">
        <v>3062</v>
      </c>
      <c r="G32" s="3177" t="s">
        <v>3010</v>
      </c>
      <c r="H32" s="3177" t="s">
        <v>3059</v>
      </c>
      <c r="I32" s="3177">
        <v>5725</v>
      </c>
      <c r="J32" s="3177">
        <v>7444.38</v>
      </c>
      <c r="K32" s="3177">
        <v>2030.13</v>
      </c>
      <c r="L32" s="3177">
        <v>30.03</v>
      </c>
      <c r="M32" s="3177" t="s">
        <v>3063</v>
      </c>
      <c r="N32" s="3177" t="s">
        <v>3013</v>
      </c>
    </row>
    <row r="33" spans="1:14">
      <c r="A33" s="3177" t="s">
        <v>3061</v>
      </c>
      <c r="B33" s="3177" t="s">
        <v>2991</v>
      </c>
      <c r="C33" s="3177" t="s">
        <v>3008</v>
      </c>
      <c r="D33" s="3177">
        <v>8219.27</v>
      </c>
      <c r="E33" s="3177">
        <v>19315.28</v>
      </c>
      <c r="F33" s="3177" t="s">
        <v>3062</v>
      </c>
      <c r="G33" s="3177" t="s">
        <v>3010</v>
      </c>
      <c r="H33" s="3177" t="s">
        <v>3059</v>
      </c>
      <c r="I33" s="3177">
        <v>3015</v>
      </c>
      <c r="J33" s="3177">
        <v>3920.94</v>
      </c>
      <c r="K33" s="3177">
        <v>2029.97</v>
      </c>
      <c r="L33" s="3177">
        <v>30.05</v>
      </c>
      <c r="M33" s="3177" t="s">
        <v>3063</v>
      </c>
      <c r="N33" s="3177" t="s">
        <v>3013</v>
      </c>
    </row>
    <row r="34" spans="1:14">
      <c r="A34" s="3177" t="s">
        <v>3065</v>
      </c>
      <c r="B34" s="3177" t="s">
        <v>2991</v>
      </c>
      <c r="C34" s="3177" t="s">
        <v>3008</v>
      </c>
      <c r="D34" s="3177">
        <v>37961.440000000002</v>
      </c>
      <c r="E34" s="3177">
        <v>75922.880000000005</v>
      </c>
      <c r="F34" s="3177" t="s">
        <v>3009</v>
      </c>
      <c r="G34" s="3177" t="s">
        <v>3010</v>
      </c>
      <c r="H34" s="3177" t="s">
        <v>3059</v>
      </c>
      <c r="I34" s="3177">
        <v>12960</v>
      </c>
      <c r="J34" s="3177">
        <v>17252.810000000001</v>
      </c>
      <c r="K34" s="3177">
        <v>2272.4</v>
      </c>
      <c r="L34" s="3177">
        <v>33.119999999999997</v>
      </c>
      <c r="M34" s="3177" t="s">
        <v>3060</v>
      </c>
      <c r="N34" s="3177" t="s">
        <v>3013</v>
      </c>
    </row>
    <row r="35" spans="1:14">
      <c r="A35" s="3177" t="s">
        <v>3046</v>
      </c>
      <c r="B35" s="3177" t="s">
        <v>2991</v>
      </c>
      <c r="C35" s="3177" t="s">
        <v>3008</v>
      </c>
      <c r="D35" s="3177">
        <v>4590.83</v>
      </c>
      <c r="E35" s="3177">
        <v>11477.08</v>
      </c>
      <c r="F35" s="3177" t="s">
        <v>3047</v>
      </c>
      <c r="G35" s="3177" t="s">
        <v>3031</v>
      </c>
      <c r="H35" s="3177" t="s">
        <v>3066</v>
      </c>
      <c r="I35" s="3177" t="s">
        <v>2814</v>
      </c>
      <c r="J35" s="3177">
        <v>2318</v>
      </c>
      <c r="K35" s="3177">
        <v>2019.68</v>
      </c>
      <c r="L35" s="3177" t="s">
        <v>2814</v>
      </c>
      <c r="M35" s="3177" t="s">
        <v>3049</v>
      </c>
      <c r="N35" s="3177" t="s">
        <v>3013</v>
      </c>
    </row>
    <row r="36" spans="1:14">
      <c r="A36" s="3177" t="s">
        <v>3067</v>
      </c>
      <c r="B36" s="3177" t="s">
        <v>2991</v>
      </c>
      <c r="C36" s="3177" t="s">
        <v>3008</v>
      </c>
      <c r="D36" s="3177">
        <v>3452.59</v>
      </c>
      <c r="E36" s="3177">
        <v>11393.55</v>
      </c>
      <c r="F36" s="3177" t="s">
        <v>3068</v>
      </c>
      <c r="G36" s="3177" t="s">
        <v>3010</v>
      </c>
      <c r="H36" s="3177" t="s">
        <v>3069</v>
      </c>
      <c r="I36" s="3177" t="s">
        <v>2814</v>
      </c>
      <c r="J36" s="3177">
        <v>898</v>
      </c>
      <c r="K36" s="3177">
        <v>788.16</v>
      </c>
      <c r="L36" s="3177" t="s">
        <v>2814</v>
      </c>
      <c r="M36" s="3177" t="s">
        <v>3070</v>
      </c>
      <c r="N36" s="3177" t="s">
        <v>3013</v>
      </c>
    </row>
    <row r="37" spans="1:14">
      <c r="A37" s="3177" t="s">
        <v>3071</v>
      </c>
      <c r="B37" s="3177" t="s">
        <v>2991</v>
      </c>
      <c r="C37" s="3177" t="s">
        <v>3008</v>
      </c>
      <c r="D37" s="3177">
        <v>10994.27</v>
      </c>
      <c r="E37" s="3177">
        <v>34082.239999999998</v>
      </c>
      <c r="F37" s="3177" t="s">
        <v>3072</v>
      </c>
      <c r="G37" s="3177" t="s">
        <v>3010</v>
      </c>
      <c r="H37" s="3177" t="s">
        <v>3069</v>
      </c>
      <c r="I37" s="3177" t="s">
        <v>2814</v>
      </c>
      <c r="J37" s="3177">
        <v>3653</v>
      </c>
      <c r="K37" s="3177">
        <v>1071.81</v>
      </c>
      <c r="L37" s="3177" t="s">
        <v>2814</v>
      </c>
      <c r="M37" s="3177" t="s">
        <v>3073</v>
      </c>
      <c r="N37" s="3177" t="s">
        <v>3013</v>
      </c>
    </row>
    <row r="38" spans="1:14">
      <c r="A38" s="3177" t="s">
        <v>3074</v>
      </c>
      <c r="B38" s="3177" t="s">
        <v>2991</v>
      </c>
      <c r="C38" s="3177" t="s">
        <v>3008</v>
      </c>
      <c r="D38" s="3177">
        <v>8202.2999999999993</v>
      </c>
      <c r="E38" s="3177">
        <v>33547.410000000003</v>
      </c>
      <c r="F38" s="3177" t="s">
        <v>3075</v>
      </c>
      <c r="G38" s="3177" t="s">
        <v>3010</v>
      </c>
      <c r="H38" s="3177" t="s">
        <v>3069</v>
      </c>
      <c r="I38" s="3177" t="s">
        <v>2814</v>
      </c>
      <c r="J38" s="3177">
        <v>2811</v>
      </c>
      <c r="K38" s="3177">
        <v>837.91</v>
      </c>
      <c r="L38" s="3177" t="s">
        <v>2814</v>
      </c>
      <c r="M38" s="3177" t="s">
        <v>3019</v>
      </c>
      <c r="N38" s="3177" t="s">
        <v>3013</v>
      </c>
    </row>
    <row r="39" spans="1:14">
      <c r="A39" s="3177" t="s">
        <v>3076</v>
      </c>
      <c r="B39" s="3177" t="s">
        <v>2991</v>
      </c>
      <c r="C39" s="3177" t="s">
        <v>3008</v>
      </c>
      <c r="D39" s="3177">
        <v>4179.2700000000004</v>
      </c>
      <c r="E39" s="3177">
        <v>22985.99</v>
      </c>
      <c r="F39" s="3177" t="s">
        <v>3077</v>
      </c>
      <c r="G39" s="3177" t="s">
        <v>3010</v>
      </c>
      <c r="H39" s="3177" t="s">
        <v>3069</v>
      </c>
      <c r="I39" s="3177" t="s">
        <v>2814</v>
      </c>
      <c r="J39" s="3177">
        <v>1742</v>
      </c>
      <c r="K39" s="3177">
        <v>757.85</v>
      </c>
      <c r="L39" s="3177" t="s">
        <v>2814</v>
      </c>
      <c r="M39" s="3177" t="s">
        <v>3078</v>
      </c>
      <c r="N39" s="3177" t="s">
        <v>3013</v>
      </c>
    </row>
    <row r="40" spans="1:14">
      <c r="A40" s="3177" t="s">
        <v>3079</v>
      </c>
      <c r="B40" s="3177" t="s">
        <v>2991</v>
      </c>
      <c r="C40" s="3177" t="s">
        <v>3008</v>
      </c>
      <c r="D40" s="3177">
        <v>51375.25</v>
      </c>
      <c r="E40" s="3177">
        <v>92475.45</v>
      </c>
      <c r="F40" s="3177" t="s">
        <v>3023</v>
      </c>
      <c r="G40" s="3177" t="s">
        <v>3010</v>
      </c>
      <c r="H40" s="3177" t="s">
        <v>3080</v>
      </c>
      <c r="I40" s="3177">
        <v>13871</v>
      </c>
      <c r="J40" s="3177">
        <v>20646</v>
      </c>
      <c r="K40" s="3177">
        <v>2232.59</v>
      </c>
      <c r="L40" s="3177">
        <v>48.84</v>
      </c>
      <c r="M40" s="3177" t="s">
        <v>3081</v>
      </c>
      <c r="N40" s="3177" t="s">
        <v>3013</v>
      </c>
    </row>
    <row r="41" spans="1:14">
      <c r="A41" s="3177" t="s">
        <v>3082</v>
      </c>
      <c r="B41" s="3177" t="s">
        <v>2991</v>
      </c>
      <c r="C41" s="3177" t="s">
        <v>3008</v>
      </c>
      <c r="D41" s="3177">
        <v>35871.64</v>
      </c>
      <c r="E41" s="3177">
        <v>71743.28</v>
      </c>
      <c r="F41" s="3177" t="s">
        <v>3009</v>
      </c>
      <c r="G41" s="3177" t="s">
        <v>3010</v>
      </c>
      <c r="H41" s="3177" t="s">
        <v>3080</v>
      </c>
      <c r="I41" s="3177">
        <v>9685</v>
      </c>
      <c r="J41" s="3177">
        <v>14420</v>
      </c>
      <c r="K41" s="3177">
        <v>2009.94</v>
      </c>
      <c r="L41" s="3177">
        <v>48.89</v>
      </c>
      <c r="M41" s="3177" t="s">
        <v>3081</v>
      </c>
      <c r="N41" s="3177" t="s">
        <v>3013</v>
      </c>
    </row>
    <row r="42" spans="1:14">
      <c r="A42" s="3177" t="s">
        <v>3082</v>
      </c>
      <c r="B42" s="3177" t="s">
        <v>2991</v>
      </c>
      <c r="C42" s="3177" t="s">
        <v>3008</v>
      </c>
      <c r="D42" s="3177">
        <v>28163.54</v>
      </c>
      <c r="E42" s="3177">
        <v>56327.08</v>
      </c>
      <c r="F42" s="3177" t="s">
        <v>3009</v>
      </c>
      <c r="G42" s="3177" t="s">
        <v>3010</v>
      </c>
      <c r="H42" s="3177" t="s">
        <v>3080</v>
      </c>
      <c r="I42" s="3177">
        <v>7604</v>
      </c>
      <c r="J42" s="3177">
        <v>11322</v>
      </c>
      <c r="K42" s="3177">
        <v>2010.04</v>
      </c>
      <c r="L42" s="3177">
        <v>48.9</v>
      </c>
      <c r="M42" s="3177" t="s">
        <v>3081</v>
      </c>
      <c r="N42" s="3177" t="s">
        <v>3013</v>
      </c>
    </row>
    <row r="43" spans="1:14">
      <c r="A43" s="3177" t="s">
        <v>3083</v>
      </c>
      <c r="B43" s="3177" t="s">
        <v>2991</v>
      </c>
      <c r="C43" s="3177" t="s">
        <v>3008</v>
      </c>
      <c r="D43" s="3177">
        <v>41955.49</v>
      </c>
      <c r="E43" s="3177">
        <v>83910.98</v>
      </c>
      <c r="F43" s="3177" t="s">
        <v>3084</v>
      </c>
      <c r="G43" s="3177" t="s">
        <v>3010</v>
      </c>
      <c r="H43" s="3177" t="s">
        <v>3085</v>
      </c>
      <c r="I43" s="3177" t="s">
        <v>2814</v>
      </c>
      <c r="J43" s="3177">
        <v>7589</v>
      </c>
      <c r="K43" s="3177">
        <v>904.4</v>
      </c>
      <c r="L43" s="3177" t="s">
        <v>2814</v>
      </c>
      <c r="M43" s="3177" t="s">
        <v>3086</v>
      </c>
      <c r="N43" s="3177" t="s">
        <v>3013</v>
      </c>
    </row>
    <row r="44" spans="1:14">
      <c r="A44" s="3177" t="s">
        <v>3083</v>
      </c>
      <c r="B44" s="3177" t="s">
        <v>2991</v>
      </c>
      <c r="C44" s="3177" t="s">
        <v>3008</v>
      </c>
      <c r="D44" s="3177">
        <v>48001.94</v>
      </c>
      <c r="E44" s="3177">
        <v>96003.88</v>
      </c>
      <c r="F44" s="3177" t="s">
        <v>3084</v>
      </c>
      <c r="G44" s="3177" t="s">
        <v>3010</v>
      </c>
      <c r="H44" s="3177" t="s">
        <v>3085</v>
      </c>
      <c r="I44" s="3177" t="s">
        <v>2814</v>
      </c>
      <c r="J44" s="3177">
        <v>8718</v>
      </c>
      <c r="K44" s="3177">
        <v>908.09</v>
      </c>
      <c r="L44" s="3177" t="s">
        <v>2814</v>
      </c>
      <c r="M44" s="3177" t="s">
        <v>3086</v>
      </c>
      <c r="N44" s="3177" t="s">
        <v>3013</v>
      </c>
    </row>
    <row r="45" spans="1:14">
      <c r="A45" s="3177" t="s">
        <v>3087</v>
      </c>
      <c r="B45" s="3177" t="s">
        <v>2991</v>
      </c>
      <c r="C45" s="3177" t="s">
        <v>3008</v>
      </c>
      <c r="D45" s="3177">
        <v>6399.97</v>
      </c>
      <c r="E45" s="3177">
        <v>23039.89</v>
      </c>
      <c r="F45" s="3177" t="s">
        <v>3088</v>
      </c>
      <c r="G45" s="3177" t="s">
        <v>3010</v>
      </c>
      <c r="H45" s="3177" t="s">
        <v>3089</v>
      </c>
      <c r="I45" s="3177" t="s">
        <v>2814</v>
      </c>
      <c r="J45" s="3177">
        <v>1796</v>
      </c>
      <c r="K45" s="3177">
        <v>779.51</v>
      </c>
      <c r="L45" s="3177" t="s">
        <v>2814</v>
      </c>
      <c r="M45" s="3177" t="s">
        <v>3049</v>
      </c>
      <c r="N45" s="3177" t="s">
        <v>3013</v>
      </c>
    </row>
    <row r="46" spans="1:14">
      <c r="A46" s="3177" t="s">
        <v>3090</v>
      </c>
      <c r="B46" s="3177" t="s">
        <v>2991</v>
      </c>
      <c r="C46" s="3177" t="s">
        <v>3008</v>
      </c>
      <c r="D46" s="3177">
        <v>9999.94</v>
      </c>
      <c r="E46" s="3177">
        <v>19999.88</v>
      </c>
      <c r="F46" s="3177" t="s">
        <v>3009</v>
      </c>
      <c r="G46" s="3177" t="s">
        <v>3010</v>
      </c>
      <c r="H46" s="3177" t="s">
        <v>3089</v>
      </c>
      <c r="I46" s="3177" t="s">
        <v>2814</v>
      </c>
      <c r="J46" s="3177">
        <v>2257</v>
      </c>
      <c r="K46" s="3177">
        <v>1128.5</v>
      </c>
      <c r="L46" s="3177" t="s">
        <v>2814</v>
      </c>
      <c r="M46" s="3177" t="s">
        <v>3091</v>
      </c>
      <c r="N46" s="3177" t="s">
        <v>3013</v>
      </c>
    </row>
    <row r="47" spans="1:14">
      <c r="A47" s="3177" t="s">
        <v>3090</v>
      </c>
      <c r="B47" s="3177" t="s">
        <v>2991</v>
      </c>
      <c r="C47" s="3177" t="s">
        <v>3008</v>
      </c>
      <c r="D47" s="3177">
        <v>27640.16</v>
      </c>
      <c r="E47" s="3177">
        <v>55280.32</v>
      </c>
      <c r="F47" s="3177" t="s">
        <v>3009</v>
      </c>
      <c r="G47" s="3177" t="s">
        <v>3010</v>
      </c>
      <c r="H47" s="3177" t="s">
        <v>3089</v>
      </c>
      <c r="I47" s="3177" t="s">
        <v>2814</v>
      </c>
      <c r="J47" s="3177">
        <v>6225</v>
      </c>
      <c r="K47" s="3177">
        <v>1126.07</v>
      </c>
      <c r="L47" s="3177" t="s">
        <v>2814</v>
      </c>
      <c r="M47" s="3177" t="s">
        <v>3091</v>
      </c>
      <c r="N47" s="3177" t="s">
        <v>3013</v>
      </c>
    </row>
    <row r="48" spans="1:14">
      <c r="A48" s="3177" t="s">
        <v>3092</v>
      </c>
      <c r="B48" s="3177" t="s">
        <v>2991</v>
      </c>
      <c r="C48" s="3177" t="s">
        <v>3008</v>
      </c>
      <c r="D48" s="3177">
        <v>6688.72</v>
      </c>
      <c r="E48" s="3177">
        <v>13377.44</v>
      </c>
      <c r="F48" s="3177" t="s">
        <v>3009</v>
      </c>
      <c r="G48" s="3177" t="s">
        <v>3010</v>
      </c>
      <c r="H48" s="3177" t="s">
        <v>3089</v>
      </c>
      <c r="I48" s="3177" t="s">
        <v>2814</v>
      </c>
      <c r="J48" s="3177">
        <v>1514</v>
      </c>
      <c r="K48" s="3177">
        <v>1131.75</v>
      </c>
      <c r="L48" s="3177" t="s">
        <v>2814</v>
      </c>
      <c r="M48" s="3177" t="s">
        <v>3093</v>
      </c>
      <c r="N48" s="3177" t="s">
        <v>3013</v>
      </c>
    </row>
    <row r="49" spans="1:14">
      <c r="A49" s="3177" t="s">
        <v>3094</v>
      </c>
      <c r="B49" s="3177" t="s">
        <v>2991</v>
      </c>
      <c r="C49" s="3177" t="s">
        <v>3008</v>
      </c>
      <c r="D49" s="3177">
        <v>3064.41</v>
      </c>
      <c r="E49" s="3177">
        <v>33708.51</v>
      </c>
      <c r="F49" s="3177" t="s">
        <v>3095</v>
      </c>
      <c r="G49" s="3177" t="s">
        <v>3010</v>
      </c>
      <c r="H49" s="3177" t="s">
        <v>3096</v>
      </c>
      <c r="I49" s="3177" t="s">
        <v>2814</v>
      </c>
      <c r="J49" s="3177">
        <v>1349</v>
      </c>
      <c r="K49" s="3177">
        <v>400.19</v>
      </c>
      <c r="L49" s="3177" t="s">
        <v>2814</v>
      </c>
      <c r="M49" s="3177" t="s">
        <v>3097</v>
      </c>
      <c r="N49" s="3177" t="s">
        <v>3013</v>
      </c>
    </row>
    <row r="50" spans="1:14">
      <c r="A50" s="3177" t="s">
        <v>3098</v>
      </c>
      <c r="B50" s="3177" t="s">
        <v>2991</v>
      </c>
      <c r="C50" s="3177" t="s">
        <v>3008</v>
      </c>
      <c r="D50" s="3177">
        <v>2980.12</v>
      </c>
      <c r="E50" s="3177">
        <v>7450.3</v>
      </c>
      <c r="F50" s="3177" t="s">
        <v>3047</v>
      </c>
      <c r="G50" s="3177" t="s">
        <v>3010</v>
      </c>
      <c r="H50" s="3177" t="s">
        <v>3096</v>
      </c>
      <c r="I50" s="3177" t="s">
        <v>2814</v>
      </c>
      <c r="J50" s="3177">
        <v>571</v>
      </c>
      <c r="K50" s="3177">
        <v>766.4</v>
      </c>
      <c r="L50" s="3177" t="s">
        <v>2814</v>
      </c>
      <c r="M50" s="3177" t="s">
        <v>3099</v>
      </c>
      <c r="N50" s="3177" t="s">
        <v>3013</v>
      </c>
    </row>
    <row r="51" spans="1:14">
      <c r="A51" s="3177" t="s">
        <v>3100</v>
      </c>
      <c r="B51" s="3177" t="s">
        <v>2991</v>
      </c>
      <c r="C51" s="3177" t="s">
        <v>3008</v>
      </c>
      <c r="D51" s="3177">
        <v>35540.6</v>
      </c>
      <c r="E51" s="3177">
        <v>71081.2</v>
      </c>
      <c r="F51" s="3177" t="s">
        <v>3009</v>
      </c>
      <c r="G51" s="3177" t="s">
        <v>3010</v>
      </c>
      <c r="H51" s="3177" t="s">
        <v>3096</v>
      </c>
      <c r="I51" s="3177" t="s">
        <v>2814</v>
      </c>
      <c r="J51" s="3177">
        <v>6734</v>
      </c>
      <c r="K51" s="3177">
        <v>947.37</v>
      </c>
      <c r="L51" s="3177" t="s">
        <v>2814</v>
      </c>
      <c r="M51" s="3177" t="s">
        <v>3038</v>
      </c>
      <c r="N51" s="3177" t="s">
        <v>3013</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3" workbookViewId="0">
      <selection activeCell="K3" sqref="K3"/>
    </sheetView>
  </sheetViews>
  <sheetFormatPr defaultRowHeight="13.5"/>
  <cols>
    <col min="1" max="1" width="9" style="3186"/>
    <col min="2" max="2" width="11.5" style="3352" customWidth="1"/>
    <col min="3" max="3" width="13.125" style="3352" customWidth="1"/>
    <col min="4" max="4" width="12.125" style="3352" customWidth="1"/>
    <col min="5" max="5" width="14.625" style="3352" customWidth="1"/>
    <col min="6" max="6" width="12.375" style="3352" customWidth="1"/>
    <col min="7" max="7" width="11.625" style="3352" customWidth="1"/>
    <col min="8" max="8" width="13.75" style="3352" customWidth="1"/>
    <col min="9" max="9" width="12.75" style="3352" customWidth="1"/>
    <col min="10" max="10" width="12.875" style="3352" customWidth="1"/>
    <col min="11" max="11" width="12.5" style="3186" customWidth="1"/>
    <col min="12" max="16384" width="9" style="3186"/>
  </cols>
  <sheetData>
    <row r="2" spans="2:10">
      <c r="B2" s="3351" t="s">
        <v>3443</v>
      </c>
      <c r="F2" s="3351" t="s">
        <v>3444</v>
      </c>
    </row>
    <row r="3" spans="2:10">
      <c r="B3" s="3187" t="s">
        <v>3610</v>
      </c>
      <c r="C3" s="3328" t="s">
        <v>3138</v>
      </c>
      <c r="F3" s="3187" t="s">
        <v>3139</v>
      </c>
      <c r="G3" s="3187" t="s">
        <v>3140</v>
      </c>
      <c r="H3" s="3187" t="s">
        <v>3141</v>
      </c>
      <c r="I3" s="3187" t="s">
        <v>3142</v>
      </c>
      <c r="J3" s="3188" t="s">
        <v>3144</v>
      </c>
    </row>
    <row r="4" spans="2:10">
      <c r="B4" s="3329">
        <v>18</v>
      </c>
      <c r="C4" s="3330">
        <v>66351</v>
      </c>
      <c r="F4" s="3187">
        <v>1</v>
      </c>
      <c r="G4" s="3187" t="s">
        <v>3145</v>
      </c>
      <c r="H4" s="3187">
        <v>48554.22</v>
      </c>
      <c r="I4" s="3187">
        <v>46664.79</v>
      </c>
      <c r="J4" s="3187">
        <f>SUM(H4:I4)</f>
        <v>95219.010000000009</v>
      </c>
    </row>
    <row r="5" spans="2:10">
      <c r="B5" s="3329">
        <v>19</v>
      </c>
      <c r="C5" s="3330">
        <v>67346</v>
      </c>
      <c r="F5" s="3187">
        <v>2</v>
      </c>
      <c r="G5" s="3187" t="s">
        <v>3146</v>
      </c>
      <c r="H5" s="3187">
        <v>53624.15</v>
      </c>
      <c r="I5" s="3187">
        <v>53014.91</v>
      </c>
      <c r="J5" s="3187">
        <f t="shared" ref="J5:J15" si="0">SUM(H5:I5)</f>
        <v>106639.06</v>
      </c>
    </row>
    <row r="6" spans="2:10">
      <c r="B6" s="3329">
        <v>20</v>
      </c>
      <c r="C6" s="3330">
        <v>66667</v>
      </c>
      <c r="F6" s="3187">
        <v>3</v>
      </c>
      <c r="G6" s="3187" t="s">
        <v>3147</v>
      </c>
      <c r="H6" s="3187">
        <v>55299.98</v>
      </c>
      <c r="I6" s="3187">
        <v>60537.27</v>
      </c>
      <c r="J6" s="3187">
        <f t="shared" si="0"/>
        <v>115837.25</v>
      </c>
    </row>
    <row r="7" spans="2:10">
      <c r="B7" s="3329">
        <v>69</v>
      </c>
      <c r="C7" s="3330">
        <v>50581.71</v>
      </c>
      <c r="F7" s="3693" t="s">
        <v>3354</v>
      </c>
      <c r="G7" s="3694"/>
      <c r="H7" s="3188">
        <f>SUM(H4:H6)</f>
        <v>157478.35</v>
      </c>
      <c r="I7" s="3188">
        <f>SUM(I4:I6)</f>
        <v>160216.97</v>
      </c>
      <c r="J7" s="3188">
        <f>SUM(J4:J6)</f>
        <v>317695.32</v>
      </c>
    </row>
    <row r="8" spans="2:10">
      <c r="B8" s="3329">
        <v>70</v>
      </c>
      <c r="C8" s="3330">
        <v>48901.48</v>
      </c>
      <c r="F8" s="3187">
        <v>4</v>
      </c>
      <c r="G8" s="3187" t="s">
        <v>3148</v>
      </c>
      <c r="H8" s="3187">
        <v>36048.9</v>
      </c>
      <c r="I8" s="3187">
        <v>33458.839999999997</v>
      </c>
      <c r="J8" s="3187">
        <f t="shared" si="0"/>
        <v>69507.739999999991</v>
      </c>
    </row>
    <row r="9" spans="2:10">
      <c r="B9" s="3331">
        <v>71</v>
      </c>
      <c r="C9" s="3330">
        <v>50721.48</v>
      </c>
      <c r="F9" s="3187">
        <v>5</v>
      </c>
      <c r="G9" s="3187" t="s">
        <v>3149</v>
      </c>
      <c r="H9" s="3187">
        <v>79237.62</v>
      </c>
      <c r="I9" s="3187">
        <v>30580.41</v>
      </c>
      <c r="J9" s="3187">
        <f t="shared" si="0"/>
        <v>109818.03</v>
      </c>
    </row>
    <row r="10" spans="2:10">
      <c r="B10" s="3332" t="s">
        <v>3353</v>
      </c>
      <c r="C10" s="3333">
        <f>SUM(C4:C9)</f>
        <v>350568.67</v>
      </c>
      <c r="F10" s="3187">
        <v>6</v>
      </c>
      <c r="G10" s="3187" t="s">
        <v>3150</v>
      </c>
      <c r="H10" s="3187">
        <v>38953.910000000003</v>
      </c>
      <c r="I10" s="3187">
        <v>44150.77</v>
      </c>
      <c r="J10" s="3187">
        <f t="shared" si="0"/>
        <v>83104.679999999993</v>
      </c>
    </row>
    <row r="11" spans="2:10">
      <c r="B11" s="3334" t="s">
        <v>3608</v>
      </c>
      <c r="C11" s="3330">
        <v>69929.009999999995</v>
      </c>
      <c r="F11" s="3693" t="s">
        <v>3354</v>
      </c>
      <c r="G11" s="3694"/>
      <c r="H11" s="3188">
        <f>SUM(H8:H10)</f>
        <v>154240.43</v>
      </c>
      <c r="I11" s="3188">
        <f>SUM(I8:I10)</f>
        <v>108190.01999999999</v>
      </c>
      <c r="J11" s="3188">
        <f>SUM(J8:J10)</f>
        <v>262430.44999999995</v>
      </c>
    </row>
    <row r="12" spans="2:10">
      <c r="B12" s="3334" t="s">
        <v>3609</v>
      </c>
      <c r="C12" s="3330">
        <v>48937.52</v>
      </c>
      <c r="D12" s="3351"/>
      <c r="F12" s="3187">
        <v>7</v>
      </c>
      <c r="G12" s="3187" t="s">
        <v>3151</v>
      </c>
      <c r="H12" s="3187">
        <v>94395.25</v>
      </c>
      <c r="I12" s="3187">
        <v>5662.54</v>
      </c>
      <c r="J12" s="3187">
        <f t="shared" si="0"/>
        <v>100057.79</v>
      </c>
    </row>
    <row r="13" spans="2:10">
      <c r="B13" s="3335" t="s">
        <v>3356</v>
      </c>
      <c r="C13" s="3333">
        <f>SUM(C11:C12)</f>
        <v>118866.53</v>
      </c>
      <c r="F13" s="3187">
        <v>8</v>
      </c>
      <c r="G13" s="3187" t="s">
        <v>3152</v>
      </c>
      <c r="H13" s="3187">
        <v>76562.600000000006</v>
      </c>
      <c r="I13" s="3187">
        <v>26130.47</v>
      </c>
      <c r="J13" s="3187">
        <f t="shared" si="0"/>
        <v>102693.07</v>
      </c>
    </row>
    <row r="14" spans="2:10">
      <c r="B14" s="3335" t="s">
        <v>3357</v>
      </c>
      <c r="C14" s="3333">
        <f>SUM(C13,C10)</f>
        <v>469435.19999999995</v>
      </c>
      <c r="F14" s="3187">
        <v>9</v>
      </c>
      <c r="G14" s="3187" t="s">
        <v>3363</v>
      </c>
      <c r="H14" s="3187">
        <v>3402.04</v>
      </c>
      <c r="I14" s="3187"/>
      <c r="J14" s="3187">
        <f t="shared" si="0"/>
        <v>3402.04</v>
      </c>
    </row>
    <row r="15" spans="2:10">
      <c r="F15" s="3187">
        <v>10</v>
      </c>
      <c r="G15" s="3187" t="s">
        <v>3364</v>
      </c>
      <c r="H15" s="3187">
        <v>4717.4799999999996</v>
      </c>
      <c r="I15" s="3187"/>
      <c r="J15" s="3187">
        <f t="shared" si="0"/>
        <v>4717.4799999999996</v>
      </c>
    </row>
    <row r="16" spans="2:10">
      <c r="F16" s="3693" t="s">
        <v>3354</v>
      </c>
      <c r="G16" s="3694"/>
      <c r="H16" s="3188">
        <f>SUM(H12:H15)</f>
        <v>179077.37000000002</v>
      </c>
      <c r="I16" s="3188">
        <f>SUM(I12:I15)</f>
        <v>31793.010000000002</v>
      </c>
      <c r="J16" s="3188">
        <f>SUM(J12:J15)</f>
        <v>210870.38</v>
      </c>
    </row>
    <row r="17" spans="2:11">
      <c r="B17" s="3353" t="s">
        <v>3362</v>
      </c>
      <c r="F17" s="3693" t="s">
        <v>3354</v>
      </c>
      <c r="G17" s="3694"/>
      <c r="H17" s="3284">
        <f>H4+H5+H6+H8+H9+H10+H12+H13+H14+H15</f>
        <v>490796.14999999997</v>
      </c>
      <c r="I17" s="3284">
        <f>I7+I11+I16</f>
        <v>300200</v>
      </c>
      <c r="J17" s="3284">
        <f>J7+J11+J16</f>
        <v>790996.15</v>
      </c>
    </row>
    <row r="18" spans="2:11">
      <c r="B18" s="3187" t="s">
        <v>3361</v>
      </c>
      <c r="C18" s="3187">
        <v>2270</v>
      </c>
      <c r="F18" s="3187">
        <v>1</v>
      </c>
      <c r="G18" s="3187" t="s">
        <v>3358</v>
      </c>
      <c r="H18" s="3187">
        <v>134161.09</v>
      </c>
      <c r="I18" s="3187">
        <v>11728.77</v>
      </c>
      <c r="J18" s="3187">
        <f>SUM(H18:I18)</f>
        <v>145889.85999999999</v>
      </c>
      <c r="K18" s="3186">
        <f>H18+H19</f>
        <v>217239.55</v>
      </c>
    </row>
    <row r="19" spans="2:11">
      <c r="B19" s="3187" t="s">
        <v>3153</v>
      </c>
      <c r="C19" s="3187">
        <v>905</v>
      </c>
      <c r="F19" s="3187">
        <v>2</v>
      </c>
      <c r="G19" s="3187" t="s">
        <v>3359</v>
      </c>
      <c r="H19" s="3187">
        <v>83078.460000000006</v>
      </c>
      <c r="I19" s="3187">
        <v>53136.23</v>
      </c>
      <c r="J19" s="3187">
        <f>SUM(H19:I19)</f>
        <v>136214.69</v>
      </c>
    </row>
    <row r="20" spans="2:11">
      <c r="B20" s="3187" t="s">
        <v>3360</v>
      </c>
      <c r="C20" s="3187">
        <v>3870</v>
      </c>
      <c r="F20" s="3187">
        <v>3</v>
      </c>
      <c r="G20" s="3187" t="s">
        <v>3153</v>
      </c>
      <c r="H20" s="3375">
        <v>93496.69</v>
      </c>
      <c r="I20" s="3375">
        <v>27501.21</v>
      </c>
      <c r="J20" s="3187">
        <f>SUM(H20:I20)</f>
        <v>120997.9</v>
      </c>
    </row>
    <row r="21" spans="2:11">
      <c r="B21" s="3187" t="s">
        <v>3367</v>
      </c>
      <c r="C21" s="3187">
        <f>SUM(C18:C20)</f>
        <v>7045</v>
      </c>
      <c r="F21" s="3693" t="s">
        <v>3354</v>
      </c>
      <c r="G21" s="3694"/>
      <c r="H21" s="3284">
        <f>SUM(H18:H20)</f>
        <v>310736.24</v>
      </c>
      <c r="I21" s="3284">
        <f>SUM(I18:I20)</f>
        <v>92366.209999999992</v>
      </c>
      <c r="J21" s="3284">
        <f>SUM(J18:J20)</f>
        <v>403102.44999999995</v>
      </c>
    </row>
    <row r="22" spans="2:11">
      <c r="F22" s="3693" t="s">
        <v>3355</v>
      </c>
      <c r="G22" s="3694"/>
      <c r="H22" s="3336">
        <f>H17+H21</f>
        <v>801532.3899999999</v>
      </c>
      <c r="I22" s="3336">
        <f>I17+I21</f>
        <v>392566.20999999996</v>
      </c>
      <c r="J22" s="3336">
        <f>SUM(J21,J17)</f>
        <v>1194098.6000000001</v>
      </c>
    </row>
    <row r="27" spans="2:11">
      <c r="H27" s="3352">
        <f>3000000000/H22</f>
        <v>3742.8306546663703</v>
      </c>
    </row>
    <row r="28" spans="2:11">
      <c r="H28" s="3352">
        <f ca="1">系统读取表!B5/面积!H22*10000</f>
        <v>2122.7963102027607</v>
      </c>
    </row>
    <row r="30" spans="2:11">
      <c r="B30" s="3187" t="s">
        <v>3675</v>
      </c>
      <c r="C30" s="3187" t="s">
        <v>3672</v>
      </c>
      <c r="D30" s="3187" t="s">
        <v>3673</v>
      </c>
      <c r="E30" s="3187" t="s">
        <v>3674</v>
      </c>
      <c r="F30" s="3188" t="s">
        <v>3678</v>
      </c>
    </row>
    <row r="31" spans="2:11">
      <c r="B31" s="3187" t="s">
        <v>3671</v>
      </c>
      <c r="C31" s="3187">
        <f>'1号面积统计表 (黑白表)'!S33</f>
        <v>490793.2</v>
      </c>
      <c r="D31" s="3187">
        <f>'1号面积统计表 (黑白表)'!S32</f>
        <v>143761.04999999996</v>
      </c>
      <c r="E31" s="3187">
        <f>'1号面积统计表 (黑白表)'!S34</f>
        <v>156438.94999999998</v>
      </c>
      <c r="F31" s="3187">
        <f>SUM(C31:E31)</f>
        <v>790993.2</v>
      </c>
    </row>
    <row r="32" spans="2:11">
      <c r="B32" s="3187" t="s">
        <v>3676</v>
      </c>
      <c r="C32" s="3187">
        <f>'3组团规证单体面积'!H19</f>
        <v>217239.55</v>
      </c>
      <c r="D32" s="3375">
        <f>'3组团规证单体面积'!M16</f>
        <v>19487.999999999996</v>
      </c>
      <c r="E32" s="3187">
        <f>'3组团规证单体面积'!I16</f>
        <v>45377</v>
      </c>
      <c r="F32" s="3187">
        <f>SUM(C32:E32)</f>
        <v>282104.55</v>
      </c>
    </row>
    <row r="33" spans="2:8">
      <c r="B33" s="3187" t="s">
        <v>3677</v>
      </c>
      <c r="C33" s="3187">
        <f>'4组团规证单体面积'!H12</f>
        <v>107520</v>
      </c>
      <c r="D33" s="3375">
        <f>'4组团规证单体面积'!M10</f>
        <v>10752.000000000002</v>
      </c>
      <c r="E33" s="3187">
        <f>'4组团规证单体面积'!I10</f>
        <v>18123</v>
      </c>
      <c r="F33" s="3187">
        <f>SUM(C33:E33)</f>
        <v>136395</v>
      </c>
    </row>
    <row r="34" spans="2:8">
      <c r="B34" s="3187" t="s">
        <v>3678</v>
      </c>
      <c r="C34" s="3188">
        <f>SUM(C31:C33)</f>
        <v>815552.75</v>
      </c>
      <c r="D34" s="3187">
        <f>SUM(D31:D33)</f>
        <v>174001.04999999996</v>
      </c>
      <c r="E34" s="3187">
        <f>SUM(E31:E33)</f>
        <v>219938.94999999998</v>
      </c>
      <c r="F34" s="3188">
        <f>SUM(F31:F33)</f>
        <v>1209492.75</v>
      </c>
      <c r="H34" s="3352">
        <f ca="1">系统读取表!B5/C34*10000</f>
        <v>2086.302817322362</v>
      </c>
    </row>
    <row r="37" spans="2:8">
      <c r="B37" s="3351"/>
      <c r="C37" s="3351"/>
    </row>
    <row r="38" spans="2:8">
      <c r="B38" s="3351"/>
      <c r="C38" s="3351"/>
    </row>
    <row r="42" spans="2:8">
      <c r="D42" s="3351"/>
      <c r="E42" s="3351"/>
    </row>
    <row r="43" spans="2:8">
      <c r="D43" s="3351"/>
      <c r="E43" s="3351"/>
    </row>
  </sheetData>
  <mergeCells count="6">
    <mergeCell ref="F17:G17"/>
    <mergeCell ref="F21:G21"/>
    <mergeCell ref="F22:G22"/>
    <mergeCell ref="F7:G7"/>
    <mergeCell ref="F11:G11"/>
    <mergeCell ref="F16:G1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
  <sheetViews>
    <sheetView topLeftCell="A22" zoomScaleNormal="100" workbookViewId="0">
      <selection activeCell="K3" sqref="K3"/>
    </sheetView>
  </sheetViews>
  <sheetFormatPr defaultRowHeight="13.5"/>
  <cols>
    <col min="1" max="1" width="9" style="3287"/>
    <col min="2" max="2" width="24.875" style="3287" customWidth="1"/>
    <col min="3" max="3" width="11.75" style="3287" customWidth="1"/>
    <col min="4" max="4" width="7.25" style="3287" customWidth="1"/>
    <col min="5" max="5" width="25.875" style="3338" customWidth="1"/>
    <col min="6" max="6" width="9" style="3287"/>
    <col min="7" max="7" width="28.125" style="3287" customWidth="1"/>
    <col min="8" max="8" width="11.75" style="3287" customWidth="1"/>
    <col min="9" max="9" width="7.25" style="3287" customWidth="1"/>
    <col min="10" max="10" width="25.875" style="3338" customWidth="1"/>
    <col min="11" max="11" width="9" style="3285" customWidth="1"/>
    <col min="12" max="16384" width="9" style="3285"/>
  </cols>
  <sheetData>
    <row r="2" spans="2:10">
      <c r="B2" s="3337" t="s">
        <v>3445</v>
      </c>
      <c r="G2" s="3337" t="s">
        <v>3576</v>
      </c>
    </row>
    <row r="3" spans="2:10">
      <c r="B3" s="3286" t="s">
        <v>3386</v>
      </c>
      <c r="C3" s="3286" t="s">
        <v>3396</v>
      </c>
      <c r="D3" s="3286" t="s">
        <v>3397</v>
      </c>
      <c r="E3" s="3340" t="s">
        <v>3242</v>
      </c>
      <c r="G3" s="3286" t="s">
        <v>3386</v>
      </c>
      <c r="H3" s="3286" t="s">
        <v>3396</v>
      </c>
      <c r="I3" s="3286" t="s">
        <v>3397</v>
      </c>
      <c r="J3" s="3340" t="s">
        <v>3242</v>
      </c>
    </row>
    <row r="4" spans="2:10">
      <c r="B4" s="3286" t="s">
        <v>3446</v>
      </c>
      <c r="C4" s="3286">
        <v>350568.68</v>
      </c>
      <c r="D4" s="3286" t="s">
        <v>3401</v>
      </c>
      <c r="E4" s="3340">
        <v>525.85</v>
      </c>
      <c r="G4" s="3286" t="s">
        <v>3446</v>
      </c>
      <c r="H4" s="3286">
        <v>123089.89</v>
      </c>
      <c r="I4" s="3286" t="s">
        <v>3401</v>
      </c>
      <c r="J4" s="3340">
        <v>525.85</v>
      </c>
    </row>
    <row r="5" spans="2:10" ht="15" customHeight="1">
      <c r="B5" s="3286" t="s">
        <v>3390</v>
      </c>
      <c r="C5" s="3286">
        <v>790996.15</v>
      </c>
      <c r="D5" s="3286" t="s">
        <v>3401</v>
      </c>
      <c r="E5" s="3340"/>
      <c r="G5" s="3286" t="s">
        <v>3390</v>
      </c>
      <c r="H5" s="3286">
        <v>335928.18</v>
      </c>
      <c r="I5" s="3286" t="s">
        <v>3401</v>
      </c>
      <c r="J5" s="3340"/>
    </row>
    <row r="6" spans="2:10" ht="15" customHeight="1">
      <c r="B6" s="3286" t="s">
        <v>3447</v>
      </c>
      <c r="C6" s="3286">
        <v>122699.04</v>
      </c>
      <c r="D6" s="3286" t="s">
        <v>3401</v>
      </c>
      <c r="E6" s="3340"/>
      <c r="G6" s="3286" t="s">
        <v>3450</v>
      </c>
      <c r="H6" s="3286">
        <v>172325.84</v>
      </c>
      <c r="I6" s="3286" t="s">
        <v>3401</v>
      </c>
      <c r="J6" s="3340"/>
    </row>
    <row r="7" spans="2:10" ht="15" customHeight="1">
      <c r="B7" s="3286" t="s">
        <v>3448</v>
      </c>
      <c r="C7" s="3286">
        <v>15082.34</v>
      </c>
      <c r="D7" s="3286" t="s">
        <v>3401</v>
      </c>
      <c r="E7" s="3340" t="s">
        <v>3479</v>
      </c>
      <c r="G7" s="3286" t="s">
        <v>3451</v>
      </c>
      <c r="H7" s="3286">
        <v>171983.51</v>
      </c>
      <c r="I7" s="3286" t="s">
        <v>3401</v>
      </c>
      <c r="J7" s="3340"/>
    </row>
    <row r="8" spans="2:10">
      <c r="B8" s="3286" t="s">
        <v>3449</v>
      </c>
      <c r="C8" s="3286">
        <v>103422.07</v>
      </c>
      <c r="D8" s="3286" t="s">
        <v>3401</v>
      </c>
      <c r="E8" s="3340"/>
      <c r="G8" s="3286" t="s">
        <v>3453</v>
      </c>
      <c r="H8" s="3286">
        <v>112617.38</v>
      </c>
      <c r="I8" s="3286" t="s">
        <v>3401</v>
      </c>
      <c r="J8" s="3340"/>
    </row>
    <row r="9" spans="2:10">
      <c r="B9" s="3286" t="s">
        <v>3450</v>
      </c>
      <c r="C9" s="3286">
        <v>490796.15</v>
      </c>
      <c r="D9" s="3286" t="s">
        <v>3401</v>
      </c>
      <c r="E9" s="3340"/>
      <c r="G9" s="3286" t="s">
        <v>3454</v>
      </c>
      <c r="H9" s="3286">
        <v>59366.13</v>
      </c>
      <c r="I9" s="3286" t="s">
        <v>3401</v>
      </c>
      <c r="J9" s="3340"/>
    </row>
    <row r="10" spans="2:10" ht="15" customHeight="1">
      <c r="B10" s="3286" t="s">
        <v>3451</v>
      </c>
      <c r="C10" s="3286">
        <v>482676.63</v>
      </c>
      <c r="D10" s="3286" t="s">
        <v>3401</v>
      </c>
      <c r="E10" s="3340"/>
      <c r="G10" s="3286" t="s">
        <v>3452</v>
      </c>
      <c r="H10" s="3286">
        <v>342.33</v>
      </c>
      <c r="I10" s="3286" t="s">
        <v>3401</v>
      </c>
      <c r="J10" s="3340"/>
    </row>
    <row r="11" spans="2:10" ht="15" customHeight="1">
      <c r="B11" s="3286" t="s">
        <v>3453</v>
      </c>
      <c r="C11" s="3286">
        <v>233094.72</v>
      </c>
      <c r="D11" s="3286" t="s">
        <v>3401</v>
      </c>
      <c r="E11" s="3340"/>
      <c r="G11" s="3286" t="s">
        <v>3588</v>
      </c>
      <c r="H11" s="3286">
        <v>200</v>
      </c>
      <c r="I11" s="3286" t="s">
        <v>3401</v>
      </c>
      <c r="J11" s="3340" t="s">
        <v>3589</v>
      </c>
    </row>
    <row r="12" spans="2:10">
      <c r="B12" s="3286" t="s">
        <v>3454</v>
      </c>
      <c r="C12" s="3286">
        <v>249581.91</v>
      </c>
      <c r="D12" s="3286" t="s">
        <v>3401</v>
      </c>
      <c r="E12" s="3340"/>
      <c r="G12" s="3286" t="s">
        <v>3590</v>
      </c>
      <c r="H12" s="3286">
        <v>142.33000000000001</v>
      </c>
      <c r="I12" s="3286" t="s">
        <v>3401</v>
      </c>
      <c r="J12" s="3340" t="s">
        <v>3589</v>
      </c>
    </row>
    <row r="13" spans="2:10" ht="15" customHeight="1">
      <c r="B13" s="3286" t="s">
        <v>3452</v>
      </c>
      <c r="C13" s="3286">
        <v>8119.52</v>
      </c>
      <c r="D13" s="3286" t="s">
        <v>3401</v>
      </c>
      <c r="E13" s="3340"/>
      <c r="G13" s="3286" t="s">
        <v>3456</v>
      </c>
      <c r="H13" s="3286">
        <v>163602.34</v>
      </c>
      <c r="I13" s="3286" t="s">
        <v>3401</v>
      </c>
      <c r="J13" s="3340"/>
    </row>
    <row r="14" spans="2:10" ht="15" customHeight="1">
      <c r="B14" s="3286" t="s">
        <v>3455</v>
      </c>
      <c r="C14" s="3286">
        <v>4717.4799999999996</v>
      </c>
      <c r="D14" s="3286" t="s">
        <v>3401</v>
      </c>
      <c r="E14" s="3340" t="s">
        <v>3480</v>
      </c>
      <c r="G14" s="3286" t="s">
        <v>3457</v>
      </c>
      <c r="H14" s="3286">
        <v>98400.66</v>
      </c>
      <c r="I14" s="3286" t="s">
        <v>3401</v>
      </c>
      <c r="J14" s="3340"/>
    </row>
    <row r="15" spans="2:10">
      <c r="B15" s="3286" t="s">
        <v>3467</v>
      </c>
      <c r="C15" s="3286">
        <v>300</v>
      </c>
      <c r="D15" s="3286" t="s">
        <v>3401</v>
      </c>
      <c r="E15" s="3340" t="s">
        <v>3481</v>
      </c>
      <c r="G15" s="3286" t="s">
        <v>3591</v>
      </c>
      <c r="H15" s="3286">
        <v>90847.46</v>
      </c>
      <c r="I15" s="3286" t="s">
        <v>3401</v>
      </c>
      <c r="J15" s="3340"/>
    </row>
    <row r="16" spans="2:10">
      <c r="B16" s="3286" t="s">
        <v>3468</v>
      </c>
      <c r="C16" s="3286">
        <v>400</v>
      </c>
      <c r="D16" s="3286" t="s">
        <v>3401</v>
      </c>
      <c r="E16" s="3340" t="s">
        <v>3482</v>
      </c>
      <c r="G16" s="3286" t="s">
        <v>3592</v>
      </c>
      <c r="H16" s="3286">
        <v>7553.2</v>
      </c>
      <c r="I16" s="3286" t="s">
        <v>3401</v>
      </c>
      <c r="J16" s="3340"/>
    </row>
    <row r="17" spans="2:10">
      <c r="B17" s="3286" t="s">
        <v>3469</v>
      </c>
      <c r="C17" s="3286">
        <v>1112.04</v>
      </c>
      <c r="D17" s="3286" t="s">
        <v>3401</v>
      </c>
      <c r="E17" s="3340" t="s">
        <v>3483</v>
      </c>
      <c r="G17" s="3286" t="s">
        <v>3487</v>
      </c>
      <c r="H17" s="3286">
        <v>65201.68</v>
      </c>
      <c r="I17" s="3286" t="s">
        <v>3401</v>
      </c>
      <c r="J17" s="3340"/>
    </row>
    <row r="18" spans="2:10">
      <c r="B18" s="3286" t="s">
        <v>3470</v>
      </c>
      <c r="C18" s="3286">
        <v>750</v>
      </c>
      <c r="D18" s="3286" t="s">
        <v>3401</v>
      </c>
      <c r="E18" s="3340" t="s">
        <v>3484</v>
      </c>
      <c r="G18" s="3286" t="s">
        <v>3458</v>
      </c>
      <c r="H18" s="3286">
        <v>3640</v>
      </c>
      <c r="I18" s="3286" t="s">
        <v>3477</v>
      </c>
      <c r="J18" s="3340" t="s">
        <v>3488</v>
      </c>
    </row>
    <row r="19" spans="2:10">
      <c r="B19" s="3286" t="s">
        <v>3471</v>
      </c>
      <c r="C19" s="3286">
        <v>50</v>
      </c>
      <c r="D19" s="3286" t="s">
        <v>3401</v>
      </c>
      <c r="E19" s="3340" t="s">
        <v>3484</v>
      </c>
      <c r="G19" s="3286" t="s">
        <v>3400</v>
      </c>
      <c r="H19" s="3286">
        <v>1.4</v>
      </c>
      <c r="I19" s="3286" t="s">
        <v>3402</v>
      </c>
      <c r="J19" s="3340"/>
    </row>
    <row r="20" spans="2:10">
      <c r="B20" s="3286" t="s">
        <v>3472</v>
      </c>
      <c r="C20" s="3286">
        <v>100</v>
      </c>
      <c r="D20" s="3286" t="s">
        <v>3401</v>
      </c>
      <c r="E20" s="3340" t="s">
        <v>3482</v>
      </c>
      <c r="G20" s="3286" t="s">
        <v>3459</v>
      </c>
      <c r="H20" s="3349">
        <v>0.31040000000000001</v>
      </c>
      <c r="I20" s="3286" t="s">
        <v>3402</v>
      </c>
      <c r="J20" s="3340"/>
    </row>
    <row r="21" spans="2:10">
      <c r="B21" s="3286" t="s">
        <v>3473</v>
      </c>
      <c r="C21" s="3286">
        <v>100</v>
      </c>
      <c r="D21" s="3286" t="s">
        <v>3401</v>
      </c>
      <c r="E21" s="3340" t="s">
        <v>3482</v>
      </c>
      <c r="G21" s="3286" t="s">
        <v>3460</v>
      </c>
      <c r="H21" s="3350">
        <v>0.35</v>
      </c>
      <c r="I21" s="3286" t="s">
        <v>3402</v>
      </c>
      <c r="J21" s="3340"/>
    </row>
    <row r="22" spans="2:10">
      <c r="B22" s="3286" t="s">
        <v>3474</v>
      </c>
      <c r="C22" s="3286">
        <v>200</v>
      </c>
      <c r="D22" s="3286" t="s">
        <v>3401</v>
      </c>
      <c r="E22" s="3340" t="s">
        <v>3485</v>
      </c>
      <c r="G22" s="3286" t="s">
        <v>3461</v>
      </c>
      <c r="H22" s="3286">
        <v>1137</v>
      </c>
      <c r="I22" s="3286" t="s">
        <v>3403</v>
      </c>
      <c r="J22" s="3340"/>
    </row>
    <row r="23" spans="2:10">
      <c r="B23" s="3286" t="s">
        <v>3475</v>
      </c>
      <c r="C23" s="3286">
        <v>300</v>
      </c>
      <c r="D23" s="3286" t="s">
        <v>3401</v>
      </c>
      <c r="E23" s="3340" t="s">
        <v>3485</v>
      </c>
      <c r="G23" s="3286" t="s">
        <v>3462</v>
      </c>
      <c r="H23" s="3286">
        <v>565</v>
      </c>
      <c r="I23" s="3286" t="s">
        <v>3403</v>
      </c>
      <c r="J23" s="3340"/>
    </row>
    <row r="24" spans="2:10">
      <c r="B24" s="3286" t="s">
        <v>3476</v>
      </c>
      <c r="C24" s="3286">
        <v>90</v>
      </c>
      <c r="D24" s="3286" t="s">
        <v>3401</v>
      </c>
      <c r="E24" s="3340" t="s">
        <v>3486</v>
      </c>
      <c r="G24" s="3286" t="s">
        <v>3463</v>
      </c>
      <c r="H24" s="3286">
        <v>572</v>
      </c>
      <c r="I24" s="3286" t="s">
        <v>3403</v>
      </c>
      <c r="J24" s="3340"/>
    </row>
    <row r="25" spans="2:10">
      <c r="B25" s="3286" t="s">
        <v>3456</v>
      </c>
      <c r="C25" s="3286">
        <v>300200</v>
      </c>
      <c r="D25" s="3286" t="s">
        <v>3401</v>
      </c>
      <c r="E25" s="3340"/>
      <c r="G25" s="3286" t="s">
        <v>3464</v>
      </c>
      <c r="H25" s="3286">
        <v>1400</v>
      </c>
      <c r="I25" s="3286" t="s">
        <v>3478</v>
      </c>
      <c r="J25" s="3340"/>
    </row>
    <row r="26" spans="2:10">
      <c r="B26" s="3286" t="s">
        <v>3457</v>
      </c>
      <c r="C26" s="3286">
        <v>152000</v>
      </c>
      <c r="D26" s="3286" t="s">
        <v>3401</v>
      </c>
      <c r="E26" s="3340"/>
      <c r="G26" s="3286" t="s">
        <v>3465</v>
      </c>
      <c r="H26" s="3286">
        <v>140</v>
      </c>
      <c r="I26" s="3286" t="s">
        <v>3478</v>
      </c>
      <c r="J26" s="3340"/>
    </row>
    <row r="27" spans="2:10" ht="44.25" customHeight="1">
      <c r="B27" s="3286" t="s">
        <v>3487</v>
      </c>
      <c r="C27" s="3286">
        <v>148200</v>
      </c>
      <c r="D27" s="3286" t="s">
        <v>3401</v>
      </c>
      <c r="E27" s="3340" t="s">
        <v>3489</v>
      </c>
      <c r="G27" s="3286" t="s">
        <v>3466</v>
      </c>
      <c r="H27" s="3286">
        <v>1260</v>
      </c>
      <c r="I27" s="3286" t="s">
        <v>3478</v>
      </c>
      <c r="J27" s="3340"/>
    </row>
    <row r="28" spans="2:10">
      <c r="B28" s="3286" t="s">
        <v>3458</v>
      </c>
      <c r="C28" s="3286">
        <v>10982</v>
      </c>
      <c r="D28" s="3286" t="s">
        <v>3477</v>
      </c>
      <c r="E28" s="3340" t="s">
        <v>3488</v>
      </c>
    </row>
    <row r="29" spans="2:10">
      <c r="B29" s="3286" t="s">
        <v>3400</v>
      </c>
      <c r="C29" s="3286">
        <v>1.4</v>
      </c>
      <c r="D29" s="3286" t="s">
        <v>3402</v>
      </c>
      <c r="E29" s="3340"/>
    </row>
    <row r="30" spans="2:10">
      <c r="B30" s="3286" t="s">
        <v>3459</v>
      </c>
      <c r="C30" s="3349">
        <v>0.29499999999999998</v>
      </c>
      <c r="D30" s="3286" t="s">
        <v>3402</v>
      </c>
      <c r="E30" s="3340"/>
      <c r="G30" s="3337" t="s">
        <v>3586</v>
      </c>
    </row>
    <row r="31" spans="2:10">
      <c r="B31" s="3286" t="s">
        <v>3460</v>
      </c>
      <c r="C31" s="3350">
        <v>0.35</v>
      </c>
      <c r="D31" s="3286" t="s">
        <v>3402</v>
      </c>
      <c r="E31" s="3340"/>
      <c r="G31" s="3286" t="s">
        <v>3386</v>
      </c>
      <c r="H31" s="3286" t="s">
        <v>3396</v>
      </c>
      <c r="I31" s="3286" t="s">
        <v>3397</v>
      </c>
      <c r="J31" s="3340" t="s">
        <v>3242</v>
      </c>
    </row>
    <row r="32" spans="2:10">
      <c r="B32" s="3286" t="s">
        <v>3461</v>
      </c>
      <c r="C32" s="3286">
        <v>3432</v>
      </c>
      <c r="D32" s="3286" t="s">
        <v>3402</v>
      </c>
      <c r="E32" s="3340"/>
      <c r="G32" s="3286" t="s">
        <v>3593</v>
      </c>
      <c r="H32" s="3286">
        <v>76036.22</v>
      </c>
      <c r="I32" s="3286" t="s">
        <v>3401</v>
      </c>
      <c r="J32" s="3340">
        <v>114.05</v>
      </c>
    </row>
    <row r="33" spans="2:10">
      <c r="B33" s="3286" t="s">
        <v>3462</v>
      </c>
      <c r="C33" s="3286">
        <v>1104</v>
      </c>
      <c r="D33" s="3286" t="s">
        <v>3403</v>
      </c>
      <c r="E33" s="3340"/>
      <c r="G33" s="3286" t="s">
        <v>3390</v>
      </c>
      <c r="H33" s="3286">
        <v>282104.55</v>
      </c>
      <c r="I33" s="3286" t="s">
        <v>3401</v>
      </c>
      <c r="J33" s="3340"/>
    </row>
    <row r="34" spans="2:10">
      <c r="B34" s="3286" t="s">
        <v>3463</v>
      </c>
      <c r="C34" s="3286">
        <v>2328</v>
      </c>
      <c r="D34" s="3286" t="s">
        <v>3403</v>
      </c>
      <c r="E34" s="3340"/>
      <c r="G34" s="3286" t="s">
        <v>3450</v>
      </c>
      <c r="H34" s="3286">
        <v>217239.55</v>
      </c>
      <c r="I34" s="3286" t="s">
        <v>3401</v>
      </c>
      <c r="J34" s="3340"/>
    </row>
    <row r="35" spans="2:10">
      <c r="B35" s="3286" t="s">
        <v>3464</v>
      </c>
      <c r="C35" s="3286">
        <v>4300</v>
      </c>
      <c r="D35" s="3286" t="s">
        <v>3478</v>
      </c>
      <c r="E35" s="3340"/>
      <c r="G35" s="3286" t="s">
        <v>3451</v>
      </c>
      <c r="H35" s="3286">
        <v>194880</v>
      </c>
      <c r="I35" s="3286" t="s">
        <v>3401</v>
      </c>
      <c r="J35" s="3340"/>
    </row>
    <row r="36" spans="2:10">
      <c r="B36" s="3286" t="s">
        <v>3465</v>
      </c>
      <c r="C36" s="3286">
        <v>430</v>
      </c>
      <c r="D36" s="3286" t="s">
        <v>3478</v>
      </c>
      <c r="E36" s="3340"/>
      <c r="G36" s="3286" t="s">
        <v>3579</v>
      </c>
      <c r="H36" s="3286">
        <v>20160</v>
      </c>
      <c r="I36" s="3286" t="s">
        <v>3401</v>
      </c>
      <c r="J36" s="3340"/>
    </row>
    <row r="37" spans="2:10">
      <c r="B37" s="3286" t="s">
        <v>3466</v>
      </c>
      <c r="C37" s="3286">
        <v>3870</v>
      </c>
      <c r="D37" s="3286" t="s">
        <v>3478</v>
      </c>
      <c r="E37" s="3340"/>
      <c r="G37" s="3286" t="s">
        <v>3578</v>
      </c>
      <c r="H37" s="3286">
        <v>2199.5500000000002</v>
      </c>
      <c r="I37" s="3286" t="s">
        <v>3401</v>
      </c>
      <c r="J37" s="3340"/>
    </row>
    <row r="38" spans="2:10">
      <c r="G38" s="3286" t="s">
        <v>3142</v>
      </c>
      <c r="H38" s="3286">
        <v>64865</v>
      </c>
      <c r="I38" s="3286" t="s">
        <v>3401</v>
      </c>
      <c r="J38" s="3340"/>
    </row>
    <row r="39" spans="2:10">
      <c r="G39" s="3286" t="s">
        <v>3457</v>
      </c>
      <c r="H39" s="3286">
        <v>19488</v>
      </c>
      <c r="I39" s="3286" t="s">
        <v>3401</v>
      </c>
      <c r="J39" s="3340"/>
    </row>
    <row r="40" spans="2:10">
      <c r="B40" s="3337" t="s">
        <v>3385</v>
      </c>
      <c r="G40" s="3286" t="s">
        <v>3487</v>
      </c>
      <c r="H40" s="3286">
        <v>45377</v>
      </c>
      <c r="I40" s="3286" t="s">
        <v>3401</v>
      </c>
      <c r="J40" s="3340"/>
    </row>
    <row r="41" spans="2:10">
      <c r="B41" s="3286" t="s">
        <v>3386</v>
      </c>
      <c r="C41" s="3286" t="s">
        <v>3396</v>
      </c>
      <c r="D41" s="3286" t="s">
        <v>3397</v>
      </c>
      <c r="G41" s="3340" t="s">
        <v>3594</v>
      </c>
      <c r="H41" s="3286">
        <v>20</v>
      </c>
      <c r="I41" s="3286" t="s">
        <v>3595</v>
      </c>
      <c r="J41" s="3340"/>
    </row>
    <row r="42" spans="2:10">
      <c r="B42" s="3286" t="s">
        <v>3388</v>
      </c>
      <c r="C42" s="3286">
        <v>153878.01999999999</v>
      </c>
      <c r="D42" s="3286" t="s">
        <v>3401</v>
      </c>
      <c r="G42" s="3340" t="s">
        <v>3580</v>
      </c>
      <c r="H42" s="3286">
        <v>2320</v>
      </c>
      <c r="I42" s="3286" t="s">
        <v>3403</v>
      </c>
      <c r="J42" s="3340"/>
    </row>
    <row r="43" spans="2:10">
      <c r="B43" s="3286" t="s">
        <v>3390</v>
      </c>
      <c r="C43" s="3286">
        <v>274103.37</v>
      </c>
      <c r="D43" s="3286" t="s">
        <v>3401</v>
      </c>
      <c r="G43" s="3340" t="s">
        <v>3581</v>
      </c>
      <c r="H43" s="3348">
        <v>7424</v>
      </c>
      <c r="I43" s="3286" t="s">
        <v>3585</v>
      </c>
      <c r="J43" s="3340" t="s">
        <v>3584</v>
      </c>
    </row>
    <row r="44" spans="2:10">
      <c r="B44" s="3286" t="s">
        <v>3399</v>
      </c>
      <c r="C44" s="3286">
        <v>156448.67000000001</v>
      </c>
      <c r="D44" s="3286" t="s">
        <v>3401</v>
      </c>
      <c r="G44" s="3340" t="s">
        <v>3400</v>
      </c>
      <c r="H44" s="3348">
        <v>2.86</v>
      </c>
      <c r="I44" s="3286" t="s">
        <v>3402</v>
      </c>
      <c r="J44" s="3340"/>
    </row>
    <row r="45" spans="2:10">
      <c r="B45" s="3286" t="s">
        <v>3411</v>
      </c>
      <c r="C45" s="3286">
        <v>156448.67000000001</v>
      </c>
      <c r="D45" s="3286" t="s">
        <v>3401</v>
      </c>
      <c r="G45" s="3340" t="s">
        <v>3582</v>
      </c>
      <c r="H45" s="3349">
        <v>0.19</v>
      </c>
      <c r="I45" s="3286" t="s">
        <v>3402</v>
      </c>
      <c r="J45" s="3340"/>
    </row>
    <row r="46" spans="2:10">
      <c r="B46" s="3286" t="s">
        <v>3392</v>
      </c>
      <c r="C46" s="3286">
        <v>117654.7</v>
      </c>
      <c r="D46" s="3286" t="s">
        <v>3401</v>
      </c>
      <c r="G46" s="3340" t="s">
        <v>3583</v>
      </c>
      <c r="H46" s="3349">
        <v>0.35</v>
      </c>
      <c r="I46" s="3286" t="s">
        <v>3402</v>
      </c>
      <c r="J46" s="3340"/>
    </row>
    <row r="47" spans="2:10">
      <c r="B47" s="3286" t="s">
        <v>3409</v>
      </c>
      <c r="C47" s="3286">
        <v>83189.5</v>
      </c>
      <c r="D47" s="3286" t="s">
        <v>3401</v>
      </c>
      <c r="G47" s="3286" t="s">
        <v>3464</v>
      </c>
      <c r="H47" s="3286">
        <v>3051</v>
      </c>
      <c r="I47" s="3286" t="s">
        <v>3478</v>
      </c>
      <c r="J47" s="3340"/>
    </row>
    <row r="48" spans="2:10">
      <c r="B48" s="3286" t="s">
        <v>3410</v>
      </c>
      <c r="C48" s="3286">
        <v>34465.199999999997</v>
      </c>
      <c r="D48" s="3286" t="s">
        <v>3401</v>
      </c>
      <c r="G48" s="3286" t="s">
        <v>3465</v>
      </c>
      <c r="H48" s="3286">
        <v>781</v>
      </c>
      <c r="I48" s="3286" t="s">
        <v>3478</v>
      </c>
      <c r="J48" s="3340"/>
    </row>
    <row r="49" spans="2:10">
      <c r="B49" s="3286" t="s">
        <v>3400</v>
      </c>
      <c r="C49" s="3286">
        <v>1.02</v>
      </c>
      <c r="D49" s="3286" t="s">
        <v>3402</v>
      </c>
      <c r="G49" s="3286" t="s">
        <v>3466</v>
      </c>
      <c r="H49" s="3286">
        <v>2270</v>
      </c>
      <c r="I49" s="3286" t="s">
        <v>3478</v>
      </c>
      <c r="J49" s="3340"/>
    </row>
    <row r="50" spans="2:10">
      <c r="B50" s="3286" t="s">
        <v>3395</v>
      </c>
      <c r="C50" s="3286">
        <v>746</v>
      </c>
      <c r="D50" s="3286" t="s">
        <v>3403</v>
      </c>
      <c r="J50" s="3287"/>
    </row>
    <row r="51" spans="2:10">
      <c r="G51" s="3337" t="s">
        <v>3587</v>
      </c>
    </row>
    <row r="52" spans="2:10">
      <c r="B52" s="3337" t="s">
        <v>3404</v>
      </c>
      <c r="G52" s="3286" t="s">
        <v>3386</v>
      </c>
      <c r="H52" s="3286" t="s">
        <v>3396</v>
      </c>
      <c r="I52" s="3286" t="s">
        <v>3397</v>
      </c>
      <c r="J52" s="3340" t="s">
        <v>3242</v>
      </c>
    </row>
    <row r="53" spans="2:10">
      <c r="B53" s="3286" t="s">
        <v>3386</v>
      </c>
      <c r="C53" s="3286" t="s">
        <v>3396</v>
      </c>
      <c r="D53" s="3286" t="s">
        <v>3397</v>
      </c>
      <c r="G53" s="3286" t="s">
        <v>3446</v>
      </c>
      <c r="H53" s="3286">
        <v>47053.67</v>
      </c>
      <c r="I53" s="3286" t="s">
        <v>3401</v>
      </c>
      <c r="J53" s="3340">
        <v>70.58</v>
      </c>
    </row>
    <row r="54" spans="2:10">
      <c r="B54" s="3286" t="s">
        <v>3388</v>
      </c>
      <c r="C54" s="3286">
        <v>106846.19</v>
      </c>
      <c r="D54" s="3286" t="s">
        <v>3401</v>
      </c>
      <c r="G54" s="3286" t="s">
        <v>3390</v>
      </c>
      <c r="H54" s="3286">
        <v>136395</v>
      </c>
      <c r="I54" s="3286" t="s">
        <v>3401</v>
      </c>
      <c r="J54" s="3340"/>
    </row>
    <row r="55" spans="2:10">
      <c r="B55" s="3286" t="s">
        <v>3390</v>
      </c>
      <c r="C55" s="3286">
        <v>257822.45</v>
      </c>
      <c r="D55" s="3286" t="s">
        <v>3401</v>
      </c>
      <c r="G55" s="3286" t="s">
        <v>3450</v>
      </c>
      <c r="H55" s="3286">
        <v>107520</v>
      </c>
      <c r="I55" s="3286" t="s">
        <v>3401</v>
      </c>
      <c r="J55" s="3340"/>
    </row>
    <row r="56" spans="2:10">
      <c r="B56" s="3286" t="s">
        <v>3412</v>
      </c>
      <c r="C56" s="3286">
        <v>154838.35</v>
      </c>
      <c r="D56" s="3286" t="s">
        <v>3401</v>
      </c>
      <c r="G56" s="3286" t="s">
        <v>3451</v>
      </c>
      <c r="H56" s="3286">
        <v>107520</v>
      </c>
      <c r="I56" s="3286" t="s">
        <v>3401</v>
      </c>
      <c r="J56" s="3340"/>
    </row>
    <row r="57" spans="2:10">
      <c r="B57" s="3286" t="s">
        <v>3414</v>
      </c>
      <c r="C57" s="3286">
        <v>76646.05</v>
      </c>
      <c r="D57" s="3286" t="s">
        <v>3401</v>
      </c>
      <c r="G57" s="3286" t="s">
        <v>3142</v>
      </c>
      <c r="H57" s="3286">
        <v>28875</v>
      </c>
      <c r="I57" s="3286" t="s">
        <v>3401</v>
      </c>
      <c r="J57" s="3340"/>
    </row>
    <row r="58" spans="2:10">
      <c r="B58" s="3286" t="s">
        <v>3407</v>
      </c>
      <c r="C58" s="3286">
        <v>78192.3</v>
      </c>
      <c r="D58" s="3286" t="s">
        <v>3401</v>
      </c>
      <c r="G58" s="3286" t="s">
        <v>3457</v>
      </c>
      <c r="H58" s="3286">
        <v>10752</v>
      </c>
      <c r="I58" s="3286" t="s">
        <v>3401</v>
      </c>
      <c r="J58" s="3340"/>
    </row>
    <row r="59" spans="2:10">
      <c r="B59" s="3286" t="s">
        <v>3413</v>
      </c>
      <c r="C59" s="3286">
        <v>102984.1</v>
      </c>
      <c r="D59" s="3286" t="s">
        <v>3401</v>
      </c>
      <c r="G59" s="3286" t="s">
        <v>3487</v>
      </c>
      <c r="H59" s="3286">
        <v>18123</v>
      </c>
      <c r="I59" s="3286" t="s">
        <v>3401</v>
      </c>
      <c r="J59" s="3340"/>
    </row>
    <row r="60" spans="2:10">
      <c r="B60" s="3286" t="s">
        <v>3409</v>
      </c>
      <c r="C60" s="3286">
        <v>53180.5</v>
      </c>
      <c r="D60" s="3286" t="s">
        <v>3401</v>
      </c>
      <c r="G60" s="3340" t="s">
        <v>3594</v>
      </c>
      <c r="H60" s="3286">
        <v>20</v>
      </c>
      <c r="I60" s="3286" t="s">
        <v>3595</v>
      </c>
      <c r="J60" s="3340"/>
    </row>
    <row r="61" spans="2:10">
      <c r="B61" s="3286" t="s">
        <v>3393</v>
      </c>
      <c r="C61" s="3286">
        <v>49803.6</v>
      </c>
      <c r="D61" s="3286" t="s">
        <v>3401</v>
      </c>
      <c r="G61" s="3340" t="s">
        <v>3580</v>
      </c>
      <c r="H61" s="3286">
        <v>1280</v>
      </c>
      <c r="I61" s="3286" t="s">
        <v>3403</v>
      </c>
      <c r="J61" s="3340"/>
    </row>
    <row r="62" spans="2:10">
      <c r="B62" s="3286" t="s">
        <v>3400</v>
      </c>
      <c r="C62" s="3286">
        <v>1.45</v>
      </c>
      <c r="D62" s="3286" t="s">
        <v>3402</v>
      </c>
      <c r="G62" s="3340" t="s">
        <v>3581</v>
      </c>
      <c r="H62" s="3348">
        <v>4096</v>
      </c>
      <c r="I62" s="3286" t="s">
        <v>3585</v>
      </c>
      <c r="J62" s="3340" t="s">
        <v>3584</v>
      </c>
    </row>
    <row r="63" spans="2:10">
      <c r="B63" s="3286" t="s">
        <v>3395</v>
      </c>
      <c r="C63" s="3286">
        <v>1078</v>
      </c>
      <c r="D63" s="3286" t="s">
        <v>3403</v>
      </c>
      <c r="G63" s="3340" t="s">
        <v>3400</v>
      </c>
      <c r="H63" s="3348">
        <v>2.29</v>
      </c>
      <c r="I63" s="3286" t="s">
        <v>3402</v>
      </c>
      <c r="J63" s="3340"/>
    </row>
    <row r="64" spans="2:10">
      <c r="G64" s="3340" t="s">
        <v>3582</v>
      </c>
      <c r="H64" s="3349">
        <v>0.19500000000000001</v>
      </c>
      <c r="I64" s="3286" t="s">
        <v>3402</v>
      </c>
      <c r="J64" s="3340"/>
    </row>
    <row r="65" spans="2:10">
      <c r="B65" s="3337" t="s">
        <v>3405</v>
      </c>
      <c r="G65" s="3340" t="s">
        <v>3583</v>
      </c>
      <c r="H65" s="3349">
        <v>0.35</v>
      </c>
      <c r="I65" s="3286" t="s">
        <v>3402</v>
      </c>
      <c r="J65" s="3340"/>
    </row>
    <row r="66" spans="2:10">
      <c r="B66" s="3286" t="s">
        <v>3386</v>
      </c>
      <c r="C66" s="3286" t="s">
        <v>3396</v>
      </c>
      <c r="D66" s="3286" t="s">
        <v>3397</v>
      </c>
      <c r="G66" s="3286" t="s">
        <v>3464</v>
      </c>
      <c r="H66" s="3286">
        <v>1292</v>
      </c>
      <c r="I66" s="3286" t="s">
        <v>3478</v>
      </c>
      <c r="J66" s="3340"/>
    </row>
    <row r="67" spans="2:10">
      <c r="B67" s="3286" t="s">
        <v>3388</v>
      </c>
      <c r="C67" s="3286">
        <v>89844.47</v>
      </c>
      <c r="D67" s="3286" t="s">
        <v>3401</v>
      </c>
      <c r="G67" s="3286" t="s">
        <v>3465</v>
      </c>
      <c r="H67" s="3286">
        <v>387</v>
      </c>
      <c r="I67" s="3286" t="s">
        <v>3478</v>
      </c>
      <c r="J67" s="3340"/>
    </row>
    <row r="68" spans="2:10">
      <c r="B68" s="3286" t="s">
        <v>3390</v>
      </c>
      <c r="C68" s="3286">
        <v>259070.33</v>
      </c>
      <c r="D68" s="3286" t="s">
        <v>3401</v>
      </c>
      <c r="G68" s="3286" t="s">
        <v>3466</v>
      </c>
      <c r="H68" s="3286">
        <v>905</v>
      </c>
      <c r="I68" s="3286" t="s">
        <v>3478</v>
      </c>
      <c r="J68" s="3340"/>
    </row>
    <row r="69" spans="2:10">
      <c r="B69" s="3286" t="s">
        <v>3399</v>
      </c>
      <c r="C69" s="3286">
        <v>179509.13</v>
      </c>
      <c r="D69" s="3286" t="s">
        <v>3401</v>
      </c>
    </row>
    <row r="70" spans="2:10">
      <c r="B70" s="3286" t="s">
        <v>3406</v>
      </c>
      <c r="C70" s="3286">
        <v>8119.52</v>
      </c>
      <c r="D70" s="3286" t="s">
        <v>3401</v>
      </c>
    </row>
    <row r="71" spans="2:10">
      <c r="B71" s="3286" t="s">
        <v>3408</v>
      </c>
      <c r="C71" s="3286">
        <v>171389.61</v>
      </c>
      <c r="D71" s="3286" t="s">
        <v>3401</v>
      </c>
    </row>
    <row r="72" spans="2:10">
      <c r="B72" s="3286" t="s">
        <v>3392</v>
      </c>
      <c r="C72" s="3286">
        <v>79561.2</v>
      </c>
      <c r="D72" s="3286" t="s">
        <v>3401</v>
      </c>
    </row>
    <row r="73" spans="2:10">
      <c r="B73" s="3286" t="s">
        <v>3409</v>
      </c>
      <c r="C73" s="3286">
        <v>15630</v>
      </c>
      <c r="D73" s="3286" t="s">
        <v>3401</v>
      </c>
    </row>
    <row r="74" spans="2:10">
      <c r="B74" s="3286" t="s">
        <v>3410</v>
      </c>
      <c r="C74" s="3286">
        <v>63931.199999999997</v>
      </c>
      <c r="D74" s="3286" t="s">
        <v>3401</v>
      </c>
    </row>
    <row r="75" spans="2:10">
      <c r="B75" s="3286" t="s">
        <v>3400</v>
      </c>
      <c r="C75" s="3286">
        <v>2</v>
      </c>
      <c r="D75" s="3286" t="s">
        <v>3402</v>
      </c>
    </row>
    <row r="76" spans="2:10">
      <c r="B76" s="3286" t="s">
        <v>3395</v>
      </c>
      <c r="C76" s="3286">
        <v>1608</v>
      </c>
      <c r="D76" s="3286" t="s">
        <v>3403</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zoomScaleNormal="100" workbookViewId="0">
      <selection activeCell="B29" sqref="B29"/>
    </sheetView>
  </sheetViews>
  <sheetFormatPr defaultRowHeight="13.5"/>
  <cols>
    <col min="1" max="1" width="20.125" style="3338" customWidth="1"/>
    <col min="2" max="2" width="63.125" style="3338" customWidth="1"/>
    <col min="3" max="16384" width="9" style="3285"/>
  </cols>
  <sheetData>
    <row r="1" spans="1:2">
      <c r="A1" s="3339" t="s">
        <v>3387</v>
      </c>
      <c r="B1" s="3345"/>
    </row>
    <row r="2" spans="1:2">
      <c r="A2" s="3340" t="s">
        <v>3500</v>
      </c>
      <c r="B2" s="3340">
        <v>350568.67</v>
      </c>
    </row>
    <row r="3" spans="1:2">
      <c r="A3" s="3340" t="s">
        <v>3501</v>
      </c>
      <c r="B3" s="3340">
        <v>103422.07</v>
      </c>
    </row>
    <row r="4" spans="1:2">
      <c r="A4" s="3340" t="s">
        <v>3502</v>
      </c>
      <c r="B4" s="3340">
        <v>124447.57</v>
      </c>
    </row>
    <row r="5" spans="1:2">
      <c r="A5" s="3340" t="s">
        <v>3503</v>
      </c>
      <c r="B5" s="3340">
        <v>122699.04</v>
      </c>
    </row>
    <row r="6" spans="1:2">
      <c r="A6" s="3340" t="s">
        <v>3504</v>
      </c>
      <c r="B6" s="3340">
        <v>790996.15</v>
      </c>
    </row>
    <row r="7" spans="1:2">
      <c r="A7" s="3340" t="s">
        <v>3505</v>
      </c>
      <c r="B7" s="3340" t="s">
        <v>3507</v>
      </c>
    </row>
    <row r="8" spans="1:2">
      <c r="A8" s="3340" t="s">
        <v>3506</v>
      </c>
      <c r="B8" s="3340" t="s">
        <v>3508</v>
      </c>
    </row>
    <row r="9" spans="1:2">
      <c r="A9" s="3341" t="s">
        <v>3532</v>
      </c>
      <c r="B9" s="3346"/>
    </row>
    <row r="10" spans="1:2">
      <c r="A10" s="3340" t="s">
        <v>3509</v>
      </c>
      <c r="B10" s="3340">
        <v>153878.01999999999</v>
      </c>
    </row>
    <row r="11" spans="1:2">
      <c r="A11" s="3340" t="s">
        <v>3501</v>
      </c>
      <c r="B11" s="3340">
        <v>45394.02</v>
      </c>
    </row>
    <row r="12" spans="1:2">
      <c r="A12" s="3340" t="s">
        <v>3502</v>
      </c>
      <c r="B12" s="3340">
        <v>54626.7</v>
      </c>
    </row>
    <row r="13" spans="1:2">
      <c r="A13" s="3340" t="s">
        <v>3503</v>
      </c>
      <c r="B13" s="3340">
        <v>53857.31</v>
      </c>
    </row>
    <row r="14" spans="1:2">
      <c r="A14" s="3340" t="s">
        <v>3510</v>
      </c>
      <c r="B14" s="3340">
        <v>274103.37</v>
      </c>
    </row>
    <row r="15" spans="1:2">
      <c r="A15" s="3340" t="s">
        <v>3505</v>
      </c>
      <c r="B15" s="3340">
        <v>156448.67000000001</v>
      </c>
    </row>
    <row r="16" spans="1:2">
      <c r="A16" s="3340" t="s">
        <v>3506</v>
      </c>
      <c r="B16" s="3340">
        <v>117654.7</v>
      </c>
    </row>
    <row r="17" spans="1:2">
      <c r="A17" s="3342" t="s">
        <v>3490</v>
      </c>
      <c r="B17" s="3347"/>
    </row>
    <row r="18" spans="1:2">
      <c r="A18" s="3340" t="s">
        <v>3491</v>
      </c>
      <c r="B18" s="3340" t="s">
        <v>3492</v>
      </c>
    </row>
    <row r="19" spans="1:2" ht="27">
      <c r="A19" s="3340" t="s">
        <v>3493</v>
      </c>
      <c r="B19" s="3340" t="s">
        <v>3520</v>
      </c>
    </row>
    <row r="20" spans="1:2">
      <c r="A20" s="3340" t="s">
        <v>3494</v>
      </c>
      <c r="B20" s="3340"/>
    </row>
    <row r="21" spans="1:2">
      <c r="A21" s="3340" t="s">
        <v>3495</v>
      </c>
      <c r="B21" s="3343">
        <v>40676</v>
      </c>
    </row>
    <row r="22" spans="1:2">
      <c r="A22" s="3340" t="s">
        <v>3496</v>
      </c>
      <c r="B22" s="3340" t="s">
        <v>3497</v>
      </c>
    </row>
    <row r="23" spans="1:2">
      <c r="A23" s="3340" t="s">
        <v>3498</v>
      </c>
      <c r="B23" s="3340" t="s">
        <v>3499</v>
      </c>
    </row>
    <row r="24" spans="1:2">
      <c r="A24" s="3340" t="s">
        <v>3538</v>
      </c>
      <c r="B24" s="3340">
        <v>55128.67</v>
      </c>
    </row>
    <row r="25" spans="1:2">
      <c r="A25" s="3340" t="s">
        <v>3501</v>
      </c>
      <c r="B25" s="3340">
        <v>16262.96</v>
      </c>
    </row>
    <row r="26" spans="1:2">
      <c r="A26" s="3340" t="s">
        <v>3502</v>
      </c>
      <c r="B26" s="3340">
        <v>19570.68</v>
      </c>
    </row>
    <row r="27" spans="1:2">
      <c r="A27" s="3340" t="s">
        <v>3503</v>
      </c>
      <c r="B27" s="3340">
        <v>19295.03</v>
      </c>
    </row>
    <row r="28" spans="1:2">
      <c r="A28" s="3344" t="s">
        <v>3511</v>
      </c>
      <c r="B28" s="3340">
        <v>97755.49</v>
      </c>
    </row>
    <row r="29" spans="1:2" ht="40.5">
      <c r="A29" s="3340" t="s">
        <v>3505</v>
      </c>
      <c r="B29" s="3340" t="s">
        <v>3512</v>
      </c>
    </row>
    <row r="30" spans="1:2">
      <c r="A30" s="3340" t="s">
        <v>3506</v>
      </c>
      <c r="B30" s="3340">
        <v>42813.279999999999</v>
      </c>
    </row>
    <row r="31" spans="1:2">
      <c r="A31" s="3342" t="s">
        <v>3515</v>
      </c>
      <c r="B31" s="3347"/>
    </row>
    <row r="32" spans="1:2">
      <c r="A32" s="3340" t="s">
        <v>3491</v>
      </c>
      <c r="B32" s="3340" t="s">
        <v>3492</v>
      </c>
    </row>
    <row r="33" spans="1:2">
      <c r="A33" s="3340" t="s">
        <v>3493</v>
      </c>
      <c r="B33" s="3340" t="s">
        <v>3513</v>
      </c>
    </row>
    <row r="34" spans="1:2">
      <c r="A34" s="3340" t="s">
        <v>3494</v>
      </c>
      <c r="B34" s="3340"/>
    </row>
    <row r="35" spans="1:2">
      <c r="A35" s="3340" t="s">
        <v>3495</v>
      </c>
      <c r="B35" s="3343">
        <v>40676</v>
      </c>
    </row>
    <row r="36" spans="1:2" ht="27">
      <c r="A36" s="3340" t="s">
        <v>3496</v>
      </c>
      <c r="B36" s="3340" t="s">
        <v>3514</v>
      </c>
    </row>
    <row r="37" spans="1:2">
      <c r="A37" s="3340" t="s">
        <v>3498</v>
      </c>
      <c r="B37" s="3340" t="s">
        <v>3499</v>
      </c>
    </row>
    <row r="38" spans="1:2">
      <c r="A38" s="3340" t="s">
        <v>3537</v>
      </c>
      <c r="B38" s="3340">
        <v>48331.27</v>
      </c>
    </row>
    <row r="39" spans="1:2">
      <c r="A39" s="3340" t="s">
        <v>3501</v>
      </c>
      <c r="B39" s="3340">
        <v>14257.72</v>
      </c>
    </row>
    <row r="40" spans="1:2">
      <c r="A40" s="3340" t="s">
        <v>3502</v>
      </c>
      <c r="B40" s="3340">
        <v>17157.61</v>
      </c>
    </row>
    <row r="41" spans="1:2">
      <c r="A41" s="3340" t="s">
        <v>3503</v>
      </c>
      <c r="B41" s="3340">
        <v>16915.939999999999</v>
      </c>
    </row>
    <row r="42" spans="1:2">
      <c r="A42" s="3340" t="s">
        <v>3516</v>
      </c>
      <c r="B42" s="3340">
        <v>83171.679999999993</v>
      </c>
    </row>
    <row r="43" spans="1:2" ht="40.5">
      <c r="A43" s="3344" t="s">
        <v>3505</v>
      </c>
      <c r="B43" s="3338" t="s">
        <v>3517</v>
      </c>
    </row>
    <row r="44" spans="1:2">
      <c r="A44" s="3340" t="s">
        <v>3506</v>
      </c>
      <c r="B44" s="3340">
        <v>34915.96</v>
      </c>
    </row>
    <row r="45" spans="1:2">
      <c r="A45" s="3342" t="s">
        <v>3518</v>
      </c>
      <c r="B45" s="3347"/>
    </row>
    <row r="46" spans="1:2">
      <c r="A46" s="3340" t="s">
        <v>3491</v>
      </c>
      <c r="B46" s="3340" t="s">
        <v>3492</v>
      </c>
    </row>
    <row r="47" spans="1:2">
      <c r="A47" s="3340" t="s">
        <v>3493</v>
      </c>
      <c r="B47" s="3340" t="s">
        <v>3521</v>
      </c>
    </row>
    <row r="48" spans="1:2">
      <c r="A48" s="3340" t="s">
        <v>3494</v>
      </c>
      <c r="B48" s="3340"/>
    </row>
    <row r="49" spans="1:2">
      <c r="A49" s="3340" t="s">
        <v>3495</v>
      </c>
      <c r="B49" s="3343">
        <v>40676</v>
      </c>
    </row>
    <row r="50" spans="1:2" ht="27">
      <c r="A50" s="3340" t="s">
        <v>3496</v>
      </c>
      <c r="B50" s="3340" t="s">
        <v>3514</v>
      </c>
    </row>
    <row r="51" spans="1:2">
      <c r="A51" s="3340" t="s">
        <v>3498</v>
      </c>
      <c r="B51" s="3340" t="s">
        <v>3499</v>
      </c>
    </row>
    <row r="52" spans="1:2">
      <c r="A52" s="3340" t="s">
        <v>3536</v>
      </c>
      <c r="B52" s="3340">
        <v>50418.080000000002</v>
      </c>
    </row>
    <row r="53" spans="1:2">
      <c r="A53" s="3340" t="s">
        <v>3501</v>
      </c>
      <c r="B53" s="3340">
        <v>14873.33</v>
      </c>
    </row>
    <row r="54" spans="1:2">
      <c r="A54" s="3340" t="s">
        <v>3502</v>
      </c>
      <c r="B54" s="3340">
        <v>17898.419999999998</v>
      </c>
    </row>
    <row r="55" spans="1:2">
      <c r="A55" s="3340" t="s">
        <v>3503</v>
      </c>
      <c r="B55" s="3340">
        <v>17646.330000000002</v>
      </c>
    </row>
    <row r="56" spans="1:2">
      <c r="A56" s="3340" t="s">
        <v>3519</v>
      </c>
      <c r="B56" s="3340">
        <v>93176.2</v>
      </c>
    </row>
    <row r="57" spans="1:2" ht="40.5">
      <c r="A57" s="3344" t="s">
        <v>3505</v>
      </c>
      <c r="B57" s="3340" t="s">
        <v>3526</v>
      </c>
    </row>
    <row r="58" spans="1:2">
      <c r="A58" s="3340" t="s">
        <v>3506</v>
      </c>
      <c r="B58" s="3340">
        <v>39925.46</v>
      </c>
    </row>
    <row r="59" spans="1:2">
      <c r="A59" s="3341" t="s">
        <v>3531</v>
      </c>
      <c r="B59" s="3346"/>
    </row>
    <row r="60" spans="1:2">
      <c r="A60" s="3340" t="s">
        <v>3533</v>
      </c>
      <c r="B60" s="3340">
        <v>106846.19</v>
      </c>
    </row>
    <row r="61" spans="1:2">
      <c r="A61" s="3340" t="s">
        <v>3534</v>
      </c>
      <c r="B61" s="3340">
        <v>257822.45</v>
      </c>
    </row>
    <row r="62" spans="1:2">
      <c r="A62" s="3340" t="s">
        <v>3505</v>
      </c>
      <c r="B62" s="3340">
        <v>154838.35</v>
      </c>
    </row>
    <row r="63" spans="1:2">
      <c r="A63" s="3340" t="s">
        <v>3506</v>
      </c>
      <c r="B63" s="3340">
        <v>102984.1</v>
      </c>
    </row>
    <row r="64" spans="1:2">
      <c r="A64" s="3342" t="s">
        <v>3527</v>
      </c>
      <c r="B64" s="3347"/>
    </row>
    <row r="65" spans="1:2">
      <c r="A65" s="3340" t="s">
        <v>3491</v>
      </c>
      <c r="B65" s="3340" t="s">
        <v>3492</v>
      </c>
    </row>
    <row r="66" spans="1:2">
      <c r="A66" s="3340" t="s">
        <v>3493</v>
      </c>
      <c r="B66" s="3340" t="s">
        <v>3529</v>
      </c>
    </row>
    <row r="67" spans="1:2">
      <c r="A67" s="3340" t="s">
        <v>3494</v>
      </c>
      <c r="B67" s="3340"/>
    </row>
    <row r="68" spans="1:2">
      <c r="A68" s="3340" t="s">
        <v>3495</v>
      </c>
      <c r="B68" s="3343">
        <v>40688</v>
      </c>
    </row>
    <row r="69" spans="1:2">
      <c r="A69" s="3340" t="s">
        <v>3496</v>
      </c>
      <c r="B69" s="3340" t="s">
        <v>3530</v>
      </c>
    </row>
    <row r="70" spans="1:2">
      <c r="A70" s="3340" t="s">
        <v>3498</v>
      </c>
      <c r="B70" s="3340" t="s">
        <v>3499</v>
      </c>
    </row>
    <row r="71" spans="1:2">
      <c r="A71" s="3340" t="s">
        <v>3535</v>
      </c>
      <c r="B71" s="3340">
        <v>46673.74</v>
      </c>
    </row>
    <row r="72" spans="1:2">
      <c r="A72" s="3340" t="s">
        <v>3501</v>
      </c>
      <c r="B72" s="3340">
        <v>13768.75</v>
      </c>
    </row>
    <row r="73" spans="1:2">
      <c r="A73" s="3340" t="s">
        <v>3502</v>
      </c>
      <c r="B73" s="3340">
        <v>16569.18</v>
      </c>
    </row>
    <row r="74" spans="1:2">
      <c r="A74" s="3340" t="s">
        <v>3503</v>
      </c>
      <c r="B74" s="3340">
        <v>16335.81</v>
      </c>
    </row>
    <row r="75" spans="1:2">
      <c r="A75" s="3340" t="s">
        <v>3528</v>
      </c>
      <c r="B75" s="3340">
        <v>81267.12</v>
      </c>
    </row>
    <row r="76" spans="1:2" ht="40.5">
      <c r="A76" s="3344" t="s">
        <v>3505</v>
      </c>
      <c r="B76" s="3340" t="s">
        <v>3550</v>
      </c>
    </row>
    <row r="77" spans="1:2">
      <c r="A77" s="3340" t="s">
        <v>3506</v>
      </c>
      <c r="B77" s="3340">
        <v>42555.7</v>
      </c>
    </row>
    <row r="78" spans="1:2">
      <c r="A78" s="3342" t="s">
        <v>3540</v>
      </c>
      <c r="B78" s="3347"/>
    </row>
    <row r="79" spans="1:2">
      <c r="A79" s="3340" t="s">
        <v>3491</v>
      </c>
      <c r="B79" s="3340" t="s">
        <v>3492</v>
      </c>
    </row>
    <row r="80" spans="1:2">
      <c r="A80" s="3340" t="s">
        <v>3493</v>
      </c>
      <c r="B80" s="3340" t="s">
        <v>3571</v>
      </c>
    </row>
    <row r="81" spans="1:2">
      <c r="A81" s="3340" t="s">
        <v>3494</v>
      </c>
      <c r="B81" s="3340"/>
    </row>
    <row r="82" spans="1:2">
      <c r="A82" s="3340" t="s">
        <v>3495</v>
      </c>
      <c r="B82" s="3343">
        <v>40688</v>
      </c>
    </row>
    <row r="83" spans="1:2">
      <c r="A83" s="3340" t="s">
        <v>3496</v>
      </c>
      <c r="B83" s="3340" t="s">
        <v>3530</v>
      </c>
    </row>
    <row r="84" spans="1:2">
      <c r="A84" s="3340" t="s">
        <v>3498</v>
      </c>
      <c r="B84" s="3340" t="s">
        <v>3499</v>
      </c>
    </row>
    <row r="85" spans="1:2">
      <c r="A85" s="3340" t="s">
        <v>3541</v>
      </c>
      <c r="B85" s="3340">
        <v>31159.94</v>
      </c>
    </row>
    <row r="86" spans="1:2">
      <c r="A86" s="3340" t="s">
        <v>3501</v>
      </c>
      <c r="B86" s="3340">
        <v>9192.18</v>
      </c>
    </row>
    <row r="87" spans="1:2">
      <c r="A87" s="3340" t="s">
        <v>3502</v>
      </c>
      <c r="B87" s="3340">
        <v>11061.78</v>
      </c>
    </row>
    <row r="88" spans="1:2">
      <c r="A88" s="3340" t="s">
        <v>3503</v>
      </c>
      <c r="B88" s="3340">
        <v>10905.98</v>
      </c>
    </row>
    <row r="89" spans="1:2">
      <c r="A89" s="3340" t="s">
        <v>3542</v>
      </c>
      <c r="B89" s="3340">
        <v>68423.98</v>
      </c>
    </row>
    <row r="90" spans="1:2" ht="27">
      <c r="A90" s="3344" t="s">
        <v>3505</v>
      </c>
      <c r="B90" s="3338" t="s">
        <v>3544</v>
      </c>
    </row>
    <row r="91" spans="1:2">
      <c r="A91" s="3340" t="s">
        <v>3506</v>
      </c>
      <c r="B91" s="3340">
        <v>32667.85</v>
      </c>
    </row>
    <row r="92" spans="1:2">
      <c r="A92" s="3342" t="s">
        <v>3551</v>
      </c>
      <c r="B92" s="3347"/>
    </row>
    <row r="93" spans="1:2">
      <c r="A93" s="3340" t="s">
        <v>3491</v>
      </c>
      <c r="B93" s="3340" t="s">
        <v>3492</v>
      </c>
    </row>
    <row r="94" spans="1:2">
      <c r="A94" s="3340" t="s">
        <v>3493</v>
      </c>
      <c r="B94" s="3340" t="s">
        <v>3554</v>
      </c>
    </row>
    <row r="95" spans="1:2">
      <c r="A95" s="3340" t="s">
        <v>3494</v>
      </c>
      <c r="B95" s="3340"/>
    </row>
    <row r="96" spans="1:2">
      <c r="A96" s="3340" t="s">
        <v>3495</v>
      </c>
      <c r="B96" s="3343">
        <v>40688</v>
      </c>
    </row>
    <row r="97" spans="1:2">
      <c r="A97" s="3340" t="s">
        <v>3496</v>
      </c>
      <c r="B97" s="3340" t="s">
        <v>3530</v>
      </c>
    </row>
    <row r="98" spans="1:2">
      <c r="A98" s="3340" t="s">
        <v>3498</v>
      </c>
      <c r="B98" s="3340" t="s">
        <v>3499</v>
      </c>
    </row>
    <row r="99" spans="1:2">
      <c r="A99" s="3340" t="s">
        <v>3552</v>
      </c>
      <c r="B99" s="3340">
        <v>29012.51</v>
      </c>
    </row>
    <row r="100" spans="1:2">
      <c r="A100" s="3340" t="s">
        <v>3501</v>
      </c>
      <c r="B100" s="3340">
        <v>8558.69</v>
      </c>
    </row>
    <row r="101" spans="1:2">
      <c r="A101" s="3340" t="s">
        <v>3502</v>
      </c>
      <c r="B101" s="3340">
        <v>10299.44</v>
      </c>
    </row>
    <row r="102" spans="1:2">
      <c r="A102" s="3340" t="s">
        <v>3503</v>
      </c>
      <c r="B102" s="3340">
        <v>10154.379999999999</v>
      </c>
    </row>
    <row r="103" spans="1:2">
      <c r="A103" s="3340" t="s">
        <v>3553</v>
      </c>
      <c r="B103" s="3340">
        <v>108131.35</v>
      </c>
    </row>
    <row r="104" spans="1:2">
      <c r="A104" s="3344" t="s">
        <v>3505</v>
      </c>
      <c r="B104" s="3338" t="s">
        <v>3555</v>
      </c>
    </row>
    <row r="105" spans="1:2">
      <c r="A105" s="3340" t="s">
        <v>3506</v>
      </c>
      <c r="B105" s="3340">
        <v>27760.55</v>
      </c>
    </row>
    <row r="106" spans="1:2">
      <c r="A106" s="3341" t="s">
        <v>3556</v>
      </c>
      <c r="B106" s="3346"/>
    </row>
    <row r="107" spans="1:2">
      <c r="A107" s="3340" t="s">
        <v>3557</v>
      </c>
      <c r="B107" s="3340">
        <v>89844.47</v>
      </c>
    </row>
    <row r="108" spans="1:2">
      <c r="A108" s="3340" t="s">
        <v>3558</v>
      </c>
      <c r="B108" s="3340">
        <v>259070.33</v>
      </c>
    </row>
    <row r="109" spans="1:2">
      <c r="A109" s="3340" t="s">
        <v>3505</v>
      </c>
      <c r="B109" s="3340">
        <v>179509.13</v>
      </c>
    </row>
    <row r="110" spans="1:2">
      <c r="A110" s="3340" t="s">
        <v>3506</v>
      </c>
      <c r="B110" s="3340">
        <v>79561.2</v>
      </c>
    </row>
    <row r="111" spans="1:2">
      <c r="A111" s="3342" t="s">
        <v>3559</v>
      </c>
      <c r="B111" s="3347"/>
    </row>
    <row r="112" spans="1:2">
      <c r="A112" s="3340" t="s">
        <v>3491</v>
      </c>
      <c r="B112" s="3340" t="s">
        <v>3492</v>
      </c>
    </row>
    <row r="113" spans="1:2" ht="27">
      <c r="A113" s="3340" t="s">
        <v>3493</v>
      </c>
      <c r="B113" s="3340" t="s">
        <v>3562</v>
      </c>
    </row>
    <row r="114" spans="1:2">
      <c r="A114" s="3340" t="s">
        <v>3494</v>
      </c>
      <c r="B114" s="3340"/>
    </row>
    <row r="115" spans="1:2">
      <c r="A115" s="3340" t="s">
        <v>3495</v>
      </c>
      <c r="B115" s="3343">
        <v>40688</v>
      </c>
    </row>
    <row r="116" spans="1:2">
      <c r="A116" s="3340" t="s">
        <v>3496</v>
      </c>
      <c r="B116" s="3340" t="s">
        <v>3563</v>
      </c>
    </row>
    <row r="117" spans="1:2">
      <c r="A117" s="3340" t="s">
        <v>3498</v>
      </c>
      <c r="B117" s="3340" t="s">
        <v>3499</v>
      </c>
    </row>
    <row r="118" spans="1:2">
      <c r="A118" s="3340" t="s">
        <v>3560</v>
      </c>
      <c r="B118" s="3340">
        <v>35224.54</v>
      </c>
    </row>
    <row r="119" spans="1:2">
      <c r="A119" s="3340" t="s">
        <v>3501</v>
      </c>
      <c r="B119" s="3340">
        <v>10391.24</v>
      </c>
    </row>
    <row r="120" spans="1:2">
      <c r="A120" s="3340" t="s">
        <v>3502</v>
      </c>
      <c r="B120" s="3340">
        <v>12504.71</v>
      </c>
    </row>
    <row r="121" spans="1:2">
      <c r="A121" s="3340" t="s">
        <v>3503</v>
      </c>
      <c r="B121" s="3340">
        <v>12328.59</v>
      </c>
    </row>
    <row r="122" spans="1:2">
      <c r="A122" s="3340" t="s">
        <v>3561</v>
      </c>
      <c r="B122" s="3340">
        <v>147792.9</v>
      </c>
    </row>
    <row r="123" spans="1:2">
      <c r="A123" s="3344" t="s">
        <v>3505</v>
      </c>
      <c r="B123" s="3338" t="s">
        <v>3564</v>
      </c>
    </row>
    <row r="124" spans="1:2">
      <c r="A124" s="3340" t="s">
        <v>3506</v>
      </c>
      <c r="B124" s="3340">
        <v>70995.95</v>
      </c>
    </row>
    <row r="125" spans="1:2">
      <c r="A125" s="3342" t="s">
        <v>3565</v>
      </c>
      <c r="B125" s="3347"/>
    </row>
    <row r="126" spans="1:2">
      <c r="A126" s="3340" t="s">
        <v>3491</v>
      </c>
      <c r="B126" s="3340" t="s">
        <v>3492</v>
      </c>
    </row>
    <row r="127" spans="1:2" ht="27">
      <c r="A127" s="3340" t="s">
        <v>3493</v>
      </c>
      <c r="B127" s="3340" t="s">
        <v>3568</v>
      </c>
    </row>
    <row r="128" spans="1:2">
      <c r="A128" s="3340" t="s">
        <v>3494</v>
      </c>
      <c r="B128" s="3340"/>
    </row>
    <row r="129" spans="1:2">
      <c r="A129" s="3340" t="s">
        <v>3495</v>
      </c>
      <c r="B129" s="3343">
        <v>40688</v>
      </c>
    </row>
    <row r="130" spans="1:2">
      <c r="A130" s="3340" t="s">
        <v>3496</v>
      </c>
      <c r="B130" s="3340" t="s">
        <v>3569</v>
      </c>
    </row>
    <row r="131" spans="1:2">
      <c r="A131" s="3340" t="s">
        <v>3498</v>
      </c>
      <c r="B131" s="3340" t="s">
        <v>3499</v>
      </c>
    </row>
    <row r="132" spans="1:2">
      <c r="A132" s="3340" t="s">
        <v>3566</v>
      </c>
      <c r="B132" s="3340">
        <v>54619.93</v>
      </c>
    </row>
    <row r="133" spans="1:2">
      <c r="A133" s="3340" t="s">
        <v>3501</v>
      </c>
      <c r="B133" s="3340">
        <v>16112.88</v>
      </c>
    </row>
    <row r="134" spans="1:2">
      <c r="A134" s="3340" t="s">
        <v>3502</v>
      </c>
      <c r="B134" s="3340">
        <v>19390.080000000002</v>
      </c>
    </row>
    <row r="135" spans="1:2">
      <c r="A135" s="3340" t="s">
        <v>3503</v>
      </c>
      <c r="B135" s="3340">
        <v>19116.98</v>
      </c>
    </row>
    <row r="136" spans="1:2">
      <c r="A136" s="3340" t="s">
        <v>3567</v>
      </c>
      <c r="B136" s="3340">
        <v>111277.43</v>
      </c>
    </row>
    <row r="137" spans="1:2" ht="27">
      <c r="A137" s="3344" t="s">
        <v>3505</v>
      </c>
      <c r="B137" s="3340" t="s">
        <v>3570</v>
      </c>
    </row>
    <row r="138" spans="1:2">
      <c r="A138" s="3340" t="s">
        <v>3506</v>
      </c>
      <c r="B138" s="3340">
        <v>8565.25</v>
      </c>
    </row>
  </sheetData>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opLeftCell="A7" zoomScaleNormal="100" workbookViewId="0">
      <selection activeCell="B29" sqref="B29"/>
    </sheetView>
  </sheetViews>
  <sheetFormatPr defaultRowHeight="13.5"/>
  <cols>
    <col min="1" max="1" width="23.375" style="3338" customWidth="1"/>
    <col min="2" max="2" width="63.125" style="3338" customWidth="1"/>
    <col min="3" max="16384" width="9" style="3285"/>
  </cols>
  <sheetData>
    <row r="1" spans="1:2">
      <c r="A1" s="3339" t="s">
        <v>3572</v>
      </c>
      <c r="B1" s="3345"/>
    </row>
    <row r="2" spans="1:2">
      <c r="A2" s="3340" t="s">
        <v>3500</v>
      </c>
      <c r="B2" s="3286">
        <v>123089.89</v>
      </c>
    </row>
    <row r="3" spans="1:2">
      <c r="A3" s="3340" t="s">
        <v>3504</v>
      </c>
      <c r="B3" s="3286">
        <v>335928.18</v>
      </c>
    </row>
    <row r="4" spans="1:2">
      <c r="A4" s="3340" t="s">
        <v>3505</v>
      </c>
      <c r="B4" s="3340">
        <v>172325.84</v>
      </c>
    </row>
    <row r="5" spans="1:2">
      <c r="A5" s="3340" t="s">
        <v>3506</v>
      </c>
      <c r="B5" s="3340">
        <v>163602.34</v>
      </c>
    </row>
    <row r="6" spans="1:2">
      <c r="A6" s="3341" t="s">
        <v>3575</v>
      </c>
      <c r="B6" s="3346"/>
    </row>
    <row r="7" spans="1:2">
      <c r="A7" s="3340" t="s">
        <v>3491</v>
      </c>
      <c r="B7" s="3340" t="s">
        <v>3573</v>
      </c>
    </row>
    <row r="8" spans="1:2">
      <c r="A8" s="3340" t="s">
        <v>3493</v>
      </c>
      <c r="B8" s="3340" t="s">
        <v>3574</v>
      </c>
    </row>
    <row r="9" spans="1:2">
      <c r="A9" s="3340" t="s">
        <v>3601</v>
      </c>
      <c r="B9" s="3340">
        <v>76036.22</v>
      </c>
    </row>
    <row r="10" spans="1:2">
      <c r="A10" s="3340" t="s">
        <v>3501</v>
      </c>
      <c r="B10" s="3340">
        <v>14446.88</v>
      </c>
    </row>
    <row r="11" spans="1:2">
      <c r="A11" s="3340" t="s">
        <v>3502</v>
      </c>
      <c r="B11" s="3340">
        <v>34976.660000000003</v>
      </c>
    </row>
    <row r="12" spans="1:2">
      <c r="A12" s="3340" t="s">
        <v>3503</v>
      </c>
      <c r="B12" s="3340">
        <v>26612.68</v>
      </c>
    </row>
    <row r="13" spans="1:2">
      <c r="A13" s="3340" t="s">
        <v>3534</v>
      </c>
      <c r="B13" s="3340">
        <v>282104.55</v>
      </c>
    </row>
    <row r="14" spans="1:2" ht="27">
      <c r="A14" s="3340" t="s">
        <v>3597</v>
      </c>
      <c r="B14" s="3340" t="s">
        <v>3600</v>
      </c>
    </row>
    <row r="15" spans="1:2">
      <c r="A15" s="3286" t="s">
        <v>3577</v>
      </c>
      <c r="B15" s="3340">
        <v>20160</v>
      </c>
    </row>
    <row r="16" spans="1:2">
      <c r="A16" s="3286" t="s">
        <v>3596</v>
      </c>
      <c r="B16" s="3340">
        <v>2199.5500000000002</v>
      </c>
    </row>
    <row r="17" spans="1:2">
      <c r="A17" s="3340" t="s">
        <v>3598</v>
      </c>
      <c r="B17" s="3340">
        <v>64865</v>
      </c>
    </row>
    <row r="18" spans="1:2">
      <c r="A18" s="3340" t="s">
        <v>3607</v>
      </c>
      <c r="B18" s="3340">
        <v>19488</v>
      </c>
    </row>
    <row r="19" spans="1:2">
      <c r="A19" s="3340" t="s">
        <v>3599</v>
      </c>
      <c r="B19" s="3340">
        <v>45377</v>
      </c>
    </row>
    <row r="20" spans="1:2">
      <c r="A20" s="3341" t="s">
        <v>3602</v>
      </c>
      <c r="B20" s="3346"/>
    </row>
    <row r="21" spans="1:2">
      <c r="A21" s="3340" t="s">
        <v>3491</v>
      </c>
      <c r="B21" s="3340" t="s">
        <v>3573</v>
      </c>
    </row>
    <row r="22" spans="1:2">
      <c r="A22" s="3340" t="s">
        <v>3493</v>
      </c>
      <c r="B22" s="3340" t="s">
        <v>3603</v>
      </c>
    </row>
    <row r="23" spans="1:2">
      <c r="A23" s="3340" t="s">
        <v>3601</v>
      </c>
      <c r="B23" s="3340">
        <v>47053.67</v>
      </c>
    </row>
    <row r="24" spans="1:2">
      <c r="A24" s="3340" t="s">
        <v>3501</v>
      </c>
      <c r="B24" s="3340">
        <v>9175.4699999999993</v>
      </c>
    </row>
    <row r="25" spans="1:2">
      <c r="A25" s="3340" t="s">
        <v>3502</v>
      </c>
      <c r="B25" s="3340">
        <v>21409.42</v>
      </c>
    </row>
    <row r="26" spans="1:2">
      <c r="A26" s="3340" t="s">
        <v>3503</v>
      </c>
      <c r="B26" s="3340">
        <v>16468.78</v>
      </c>
    </row>
    <row r="27" spans="1:2">
      <c r="A27" s="3340" t="s">
        <v>3604</v>
      </c>
      <c r="B27" s="3340">
        <v>136395</v>
      </c>
    </row>
    <row r="28" spans="1:2">
      <c r="A28" s="3340" t="s">
        <v>3597</v>
      </c>
      <c r="B28" s="3340" t="s">
        <v>3605</v>
      </c>
    </row>
    <row r="29" spans="1:2">
      <c r="A29" s="3340" t="s">
        <v>3598</v>
      </c>
      <c r="B29" s="3340">
        <v>28875</v>
      </c>
    </row>
    <row r="30" spans="1:2">
      <c r="A30" s="3340" t="s">
        <v>3606</v>
      </c>
      <c r="B30" s="3340">
        <v>10752</v>
      </c>
    </row>
    <row r="31" spans="1:2">
      <c r="A31" s="3340" t="s">
        <v>3599</v>
      </c>
      <c r="B31" s="3340">
        <v>18123</v>
      </c>
    </row>
  </sheetData>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Y129"/>
  <sheetViews>
    <sheetView topLeftCell="B106" zoomScale="80" zoomScaleNormal="80" workbookViewId="0">
      <selection activeCell="H155" sqref="H155"/>
    </sheetView>
  </sheetViews>
  <sheetFormatPr defaultColWidth="9" defaultRowHeight="13.5"/>
  <cols>
    <col min="1" max="2" width="9" style="3189"/>
    <col min="3" max="3" width="5.375" style="3189" customWidth="1"/>
    <col min="4" max="4" width="11.625" style="3189" bestFit="1" customWidth="1"/>
    <col min="5" max="5" width="9" style="3189"/>
    <col min="6" max="6" width="12.125" style="3189" customWidth="1"/>
    <col min="7" max="7" width="35.75" style="3189" customWidth="1"/>
    <col min="8" max="9" width="9" style="3189"/>
    <col min="10" max="10" width="15.375" style="3189" customWidth="1"/>
    <col min="11" max="11" width="5.5" style="3189" customWidth="1"/>
    <col min="12" max="12" width="14.375" style="3189" customWidth="1"/>
    <col min="13" max="13" width="14" style="3189" customWidth="1"/>
    <col min="14" max="17" width="13.125" style="3189" customWidth="1"/>
    <col min="18" max="18" width="22.625" style="3189" customWidth="1"/>
    <col min="19" max="19" width="12" style="3189" customWidth="1"/>
    <col min="20" max="20" width="10.5" style="3189" bestFit="1" customWidth="1"/>
    <col min="21" max="24" width="9" style="3189"/>
    <col min="25" max="25" width="10" style="3189" customWidth="1"/>
    <col min="26" max="16384" width="9" style="3189"/>
  </cols>
  <sheetData>
    <row r="1" spans="5:25" ht="14.25" thickBot="1"/>
    <row r="2" spans="5:25" ht="62.25" customHeight="1" thickBot="1">
      <c r="E2" s="3698" t="s">
        <v>3159</v>
      </c>
      <c r="F2" s="3699"/>
      <c r="G2" s="3699"/>
      <c r="H2" s="3699"/>
      <c r="I2" s="3699"/>
      <c r="J2" s="3699"/>
      <c r="K2" s="3699"/>
      <c r="L2" s="3699"/>
      <c r="M2" s="3699"/>
      <c r="N2" s="3699"/>
      <c r="O2" s="3699"/>
      <c r="P2" s="3699"/>
      <c r="Q2" s="3699"/>
      <c r="R2" s="3700"/>
      <c r="T2" s="3701"/>
      <c r="U2" s="3701"/>
      <c r="W2" s="3701"/>
      <c r="X2" s="3701"/>
    </row>
    <row r="3" spans="5:25" ht="28.5">
      <c r="E3" s="3702" t="s">
        <v>3160</v>
      </c>
      <c r="F3" s="3703"/>
      <c r="G3" s="3190" t="s">
        <v>3161</v>
      </c>
      <c r="H3" s="3190" t="s">
        <v>3162</v>
      </c>
      <c r="I3" s="3191" t="s">
        <v>3163</v>
      </c>
      <c r="J3" s="3191" t="s">
        <v>3164</v>
      </c>
      <c r="K3" s="3191"/>
      <c r="L3" s="3191" t="s">
        <v>3165</v>
      </c>
      <c r="M3" s="3191" t="s">
        <v>3166</v>
      </c>
      <c r="N3" s="3191" t="s">
        <v>3167</v>
      </c>
      <c r="O3" s="3276" t="s">
        <v>3168</v>
      </c>
      <c r="P3" s="3191" t="s">
        <v>3169</v>
      </c>
      <c r="Q3" s="3191" t="s">
        <v>3170</v>
      </c>
      <c r="R3" s="3192" t="s">
        <v>3171</v>
      </c>
      <c r="T3" s="3193"/>
      <c r="U3" s="3193"/>
      <c r="W3" s="3193"/>
      <c r="X3" s="3193"/>
      <c r="Y3" s="3194"/>
    </row>
    <row r="4" spans="5:25" ht="14.25">
      <c r="E4" s="3695" t="s">
        <v>3172</v>
      </c>
      <c r="F4" s="3195" t="s">
        <v>3173</v>
      </c>
      <c r="G4" s="3196" t="s">
        <v>3174</v>
      </c>
      <c r="H4" s="3195">
        <v>1</v>
      </c>
      <c r="I4" s="3195"/>
      <c r="J4" s="3197" t="s">
        <v>3175</v>
      </c>
      <c r="K4" s="3197"/>
      <c r="L4" s="3195">
        <v>3402.04</v>
      </c>
      <c r="M4" s="3195">
        <v>0</v>
      </c>
      <c r="N4" s="3195">
        <f t="shared" ref="N4:N29" si="0">L4+M4</f>
        <v>3402.04</v>
      </c>
      <c r="O4" s="3268">
        <f>L4*H4</f>
        <v>3402.04</v>
      </c>
      <c r="P4" s="3195">
        <f>M4*H4</f>
        <v>0</v>
      </c>
      <c r="Q4" s="3195">
        <f>N4*H4</f>
        <v>3402.04</v>
      </c>
      <c r="R4" s="3198" t="s">
        <v>3172</v>
      </c>
      <c r="S4" s="3273">
        <f>Q4</f>
        <v>3402.04</v>
      </c>
      <c r="X4" s="3194"/>
      <c r="Y4" s="3194"/>
    </row>
    <row r="5" spans="5:25" ht="14.25">
      <c r="E5" s="3697"/>
      <c r="F5" s="3195" t="s">
        <v>3176</v>
      </c>
      <c r="G5" s="3196" t="s">
        <v>3177</v>
      </c>
      <c r="H5" s="3195">
        <v>1</v>
      </c>
      <c r="I5" s="3195"/>
      <c r="J5" s="3197" t="s">
        <v>3178</v>
      </c>
      <c r="K5" s="3197"/>
      <c r="L5" s="3195">
        <v>4717.4799999999996</v>
      </c>
      <c r="M5" s="3195">
        <v>0</v>
      </c>
      <c r="N5" s="3195">
        <f t="shared" si="0"/>
        <v>4717.4799999999996</v>
      </c>
      <c r="O5" s="3271">
        <f t="shared" ref="O5:O29" si="1">L5*H5</f>
        <v>4717.4799999999996</v>
      </c>
      <c r="P5" s="3195">
        <f t="shared" ref="P5:P29" si="2">M5*H5</f>
        <v>0</v>
      </c>
      <c r="Q5" s="3195">
        <f t="shared" ref="Q5:Q29" si="3">N5*H5</f>
        <v>4717.4799999999996</v>
      </c>
      <c r="R5" s="3198" t="s">
        <v>3179</v>
      </c>
      <c r="S5" s="3275">
        <f>Q5</f>
        <v>4717.4799999999996</v>
      </c>
      <c r="X5" s="3194"/>
      <c r="Y5" s="3194"/>
    </row>
    <row r="6" spans="5:25" ht="14.25">
      <c r="E6" s="3695" t="s">
        <v>3180</v>
      </c>
      <c r="F6" s="3195" t="s">
        <v>3181</v>
      </c>
      <c r="G6" s="3196" t="s">
        <v>3182</v>
      </c>
      <c r="H6" s="3195">
        <v>1</v>
      </c>
      <c r="I6" s="3195">
        <f>H6*6*4</f>
        <v>24</v>
      </c>
      <c r="J6" s="3197" t="s">
        <v>3183</v>
      </c>
      <c r="K6" s="3197"/>
      <c r="L6" s="3195">
        <v>2405.0100000000002</v>
      </c>
      <c r="M6" s="3199">
        <v>411.36</v>
      </c>
      <c r="N6" s="3195">
        <f t="shared" si="0"/>
        <v>2816.3700000000003</v>
      </c>
      <c r="O6" s="3373">
        <f t="shared" si="1"/>
        <v>2405.0100000000002</v>
      </c>
      <c r="P6" s="3195">
        <f t="shared" si="2"/>
        <v>411.36</v>
      </c>
      <c r="Q6" s="3195">
        <f t="shared" si="3"/>
        <v>2816.3700000000003</v>
      </c>
      <c r="R6" s="3198" t="s">
        <v>3184</v>
      </c>
      <c r="S6" s="3374">
        <f>O6</f>
        <v>2405.0100000000002</v>
      </c>
      <c r="T6" s="3189" t="s">
        <v>3692</v>
      </c>
      <c r="X6" s="3194"/>
      <c r="Y6" s="3194"/>
    </row>
    <row r="7" spans="5:25" ht="14.25">
      <c r="E7" s="3696"/>
      <c r="F7" s="3195" t="s">
        <v>3181</v>
      </c>
      <c r="G7" s="3196" t="s">
        <v>3185</v>
      </c>
      <c r="H7" s="3195">
        <v>2</v>
      </c>
      <c r="I7" s="3195">
        <f>H7*18*4</f>
        <v>144</v>
      </c>
      <c r="J7" s="3197" t="s">
        <v>3186</v>
      </c>
      <c r="K7" s="3197"/>
      <c r="L7" s="3195">
        <v>7509.52</v>
      </c>
      <c r="M7" s="3199">
        <v>436.22</v>
      </c>
      <c r="N7" s="3195">
        <f t="shared" si="0"/>
        <v>7945.7400000000007</v>
      </c>
      <c r="O7" s="3270">
        <f t="shared" si="1"/>
        <v>15019.04</v>
      </c>
      <c r="P7" s="3195">
        <f t="shared" si="2"/>
        <v>872.44</v>
      </c>
      <c r="Q7" s="3195">
        <f t="shared" si="3"/>
        <v>15891.480000000001</v>
      </c>
      <c r="R7" s="3198" t="s">
        <v>3187</v>
      </c>
      <c r="X7" s="3194"/>
      <c r="Y7" s="3194"/>
    </row>
    <row r="8" spans="5:25" ht="14.25">
      <c r="E8" s="3696"/>
      <c r="F8" s="3195" t="s">
        <v>3188</v>
      </c>
      <c r="G8" s="3196" t="s">
        <v>3189</v>
      </c>
      <c r="H8" s="3195">
        <v>2</v>
      </c>
      <c r="I8" s="3195">
        <f>H8*18*8</f>
        <v>288</v>
      </c>
      <c r="J8" s="3197" t="s">
        <v>3186</v>
      </c>
      <c r="K8" s="3197"/>
      <c r="L8" s="3195">
        <v>15312.52</v>
      </c>
      <c r="M8" s="3199">
        <v>871.97</v>
      </c>
      <c r="N8" s="3195">
        <f t="shared" si="0"/>
        <v>16184.49</v>
      </c>
      <c r="O8" s="3270">
        <f t="shared" si="1"/>
        <v>30625.040000000001</v>
      </c>
      <c r="P8" s="3195">
        <f t="shared" si="2"/>
        <v>1743.94</v>
      </c>
      <c r="Q8" s="3195">
        <f t="shared" si="3"/>
        <v>32368.98</v>
      </c>
      <c r="R8" s="3198" t="s">
        <v>3187</v>
      </c>
      <c r="X8" s="3194"/>
      <c r="Y8" s="3194"/>
    </row>
    <row r="9" spans="5:25" ht="36" customHeight="1">
      <c r="E9" s="3696"/>
      <c r="F9" s="3195" t="s">
        <v>3188</v>
      </c>
      <c r="G9" s="3196" t="s">
        <v>3190</v>
      </c>
      <c r="H9" s="3195">
        <v>6</v>
      </c>
      <c r="I9" s="3195">
        <f>H9*18*8</f>
        <v>864</v>
      </c>
      <c r="J9" s="3197" t="s">
        <v>3191</v>
      </c>
      <c r="K9" s="3197"/>
      <c r="L9" s="3195">
        <v>15312.52</v>
      </c>
      <c r="M9" s="3199">
        <v>871.97</v>
      </c>
      <c r="N9" s="3195">
        <f t="shared" si="0"/>
        <v>16184.49</v>
      </c>
      <c r="O9" s="3270">
        <f t="shared" si="1"/>
        <v>91875.12</v>
      </c>
      <c r="P9" s="3195">
        <f t="shared" si="2"/>
        <v>5231.82</v>
      </c>
      <c r="Q9" s="3195">
        <f t="shared" si="3"/>
        <v>97106.94</v>
      </c>
      <c r="R9" s="3200" t="s">
        <v>3192</v>
      </c>
      <c r="X9" s="3194"/>
      <c r="Y9" s="3194"/>
    </row>
    <row r="10" spans="5:25" ht="54" customHeight="1">
      <c r="E10" s="3696"/>
      <c r="F10" s="3195" t="s">
        <v>3188</v>
      </c>
      <c r="G10" s="3196" t="s">
        <v>3193</v>
      </c>
      <c r="H10" s="3195">
        <v>1</v>
      </c>
      <c r="I10" s="3195">
        <f>H10*18*8</f>
        <v>144</v>
      </c>
      <c r="J10" s="3197" t="s">
        <v>3191</v>
      </c>
      <c r="K10" s="3197"/>
      <c r="L10" s="3195">
        <v>15385.22</v>
      </c>
      <c r="M10" s="3199">
        <v>871.97</v>
      </c>
      <c r="N10" s="3195">
        <f t="shared" si="0"/>
        <v>16257.189999999999</v>
      </c>
      <c r="O10" s="3270">
        <f t="shared" si="1"/>
        <v>15385.22</v>
      </c>
      <c r="P10" s="3195">
        <f t="shared" si="2"/>
        <v>871.97</v>
      </c>
      <c r="Q10" s="3195">
        <f t="shared" si="3"/>
        <v>16257.189999999999</v>
      </c>
      <c r="R10" s="3200" t="s">
        <v>3194</v>
      </c>
      <c r="X10" s="3194"/>
      <c r="Y10" s="3194"/>
    </row>
    <row r="11" spans="5:25" ht="14.25">
      <c r="E11" s="3696"/>
      <c r="F11" s="3195" t="s">
        <v>3195</v>
      </c>
      <c r="G11" s="3196" t="s">
        <v>3196</v>
      </c>
      <c r="H11" s="3195">
        <v>2</v>
      </c>
      <c r="I11" s="3195">
        <f>H11*18*12</f>
        <v>432</v>
      </c>
      <c r="J11" s="3197" t="s">
        <v>3186</v>
      </c>
      <c r="K11" s="3197"/>
      <c r="L11" s="3195">
        <v>23173.08</v>
      </c>
      <c r="M11" s="3199">
        <v>1317.4</v>
      </c>
      <c r="N11" s="3195">
        <f t="shared" si="0"/>
        <v>24490.480000000003</v>
      </c>
      <c r="O11" s="3270">
        <f t="shared" si="1"/>
        <v>46346.16</v>
      </c>
      <c r="P11" s="3195">
        <f t="shared" si="2"/>
        <v>2634.8</v>
      </c>
      <c r="Q11" s="3195">
        <f t="shared" si="3"/>
        <v>48980.960000000006</v>
      </c>
      <c r="R11" s="3198" t="s">
        <v>3187</v>
      </c>
      <c r="X11" s="3194"/>
      <c r="Y11" s="3194"/>
    </row>
    <row r="12" spans="5:25" ht="14.25">
      <c r="E12" s="3697"/>
      <c r="F12" s="3195" t="s">
        <v>3195</v>
      </c>
      <c r="G12" s="3196" t="s">
        <v>3197</v>
      </c>
      <c r="H12" s="3195">
        <v>2</v>
      </c>
      <c r="I12" s="3195">
        <f>H12*18*12</f>
        <v>432</v>
      </c>
      <c r="J12" s="3197" t="s">
        <v>3191</v>
      </c>
      <c r="K12" s="3197"/>
      <c r="L12" s="3195">
        <v>23173.08</v>
      </c>
      <c r="M12" s="3195">
        <v>1317.4</v>
      </c>
      <c r="N12" s="3195">
        <f t="shared" si="0"/>
        <v>24490.480000000003</v>
      </c>
      <c r="O12" s="3270">
        <f t="shared" si="1"/>
        <v>46346.16</v>
      </c>
      <c r="P12" s="3195">
        <f t="shared" si="2"/>
        <v>2634.8</v>
      </c>
      <c r="Q12" s="3195">
        <f t="shared" si="3"/>
        <v>48980.960000000006</v>
      </c>
      <c r="R12" s="3198" t="s">
        <v>3187</v>
      </c>
      <c r="S12" s="3274">
        <f>SUM(O7:O12)</f>
        <v>245596.74000000002</v>
      </c>
      <c r="T12" s="3189" t="s">
        <v>3691</v>
      </c>
      <c r="X12" s="3194"/>
      <c r="Y12" s="3194"/>
    </row>
    <row r="13" spans="5:25" ht="14.25">
      <c r="E13" s="3695" t="s">
        <v>3198</v>
      </c>
      <c r="F13" s="3195" t="s">
        <v>3199</v>
      </c>
      <c r="G13" s="3196" t="s">
        <v>3200</v>
      </c>
      <c r="H13" s="3195">
        <v>12</v>
      </c>
      <c r="I13" s="3195">
        <f>H13*6</f>
        <v>72</v>
      </c>
      <c r="J13" s="3197" t="s">
        <v>3201</v>
      </c>
      <c r="K13" s="3197"/>
      <c r="L13" s="3195">
        <v>1127.08</v>
      </c>
      <c r="M13" s="3195">
        <v>768.3</v>
      </c>
      <c r="N13" s="3195">
        <f t="shared" si="0"/>
        <v>1895.3799999999999</v>
      </c>
      <c r="O13" s="3269">
        <f t="shared" si="1"/>
        <v>13524.96</v>
      </c>
      <c r="P13" s="3195">
        <f t="shared" si="2"/>
        <v>9219.5999999999985</v>
      </c>
      <c r="Q13" s="3195">
        <f t="shared" si="3"/>
        <v>22744.559999999998</v>
      </c>
      <c r="R13" s="3198" t="s">
        <v>3184</v>
      </c>
      <c r="T13" s="3201"/>
      <c r="W13" s="3201"/>
      <c r="X13" s="3194"/>
      <c r="Y13" s="3194"/>
    </row>
    <row r="14" spans="5:25" ht="14.25">
      <c r="E14" s="3696"/>
      <c r="F14" s="3195" t="s">
        <v>3202</v>
      </c>
      <c r="G14" s="3196" t="s">
        <v>3203</v>
      </c>
      <c r="H14" s="3195">
        <v>2</v>
      </c>
      <c r="I14" s="3195">
        <f>H14*4</f>
        <v>8</v>
      </c>
      <c r="J14" s="3197" t="s">
        <v>3201</v>
      </c>
      <c r="K14" s="3197"/>
      <c r="L14" s="3195">
        <v>1086.99</v>
      </c>
      <c r="M14" s="3195">
        <v>867.21</v>
      </c>
      <c r="N14" s="3195">
        <f t="shared" si="0"/>
        <v>1954.2</v>
      </c>
      <c r="O14" s="3269">
        <f t="shared" si="1"/>
        <v>2173.98</v>
      </c>
      <c r="P14" s="3195">
        <f t="shared" si="2"/>
        <v>1734.42</v>
      </c>
      <c r="Q14" s="3195">
        <f t="shared" si="3"/>
        <v>3908.4</v>
      </c>
      <c r="R14" s="3198" t="s">
        <v>3184</v>
      </c>
      <c r="X14" s="3194"/>
      <c r="Y14" s="3194"/>
    </row>
    <row r="15" spans="5:25" ht="20.25" customHeight="1">
      <c r="E15" s="3696"/>
      <c r="F15" s="3195" t="s">
        <v>3202</v>
      </c>
      <c r="G15" s="3196" t="s">
        <v>3204</v>
      </c>
      <c r="H15" s="3195">
        <v>1</v>
      </c>
      <c r="I15" s="3195">
        <f>H15*4</f>
        <v>4</v>
      </c>
      <c r="J15" s="3197" t="s">
        <v>3201</v>
      </c>
      <c r="K15" s="3197"/>
      <c r="L15" s="3195">
        <v>1086.99</v>
      </c>
      <c r="M15" s="3195">
        <v>859.57</v>
      </c>
      <c r="N15" s="3195">
        <f t="shared" si="0"/>
        <v>1946.56</v>
      </c>
      <c r="O15" s="3269">
        <f t="shared" si="1"/>
        <v>1086.99</v>
      </c>
      <c r="P15" s="3195">
        <f t="shared" si="2"/>
        <v>859.57</v>
      </c>
      <c r="Q15" s="3195">
        <f t="shared" si="3"/>
        <v>1946.56</v>
      </c>
      <c r="R15" s="3198" t="s">
        <v>3184</v>
      </c>
      <c r="X15" s="3194"/>
      <c r="Y15" s="3194"/>
    </row>
    <row r="16" spans="5:25" ht="30.75" customHeight="1">
      <c r="E16" s="3696"/>
      <c r="F16" s="3195" t="s">
        <v>3205</v>
      </c>
      <c r="G16" s="3196" t="s">
        <v>3206</v>
      </c>
      <c r="H16" s="3195">
        <v>10</v>
      </c>
      <c r="I16" s="3195">
        <f>H16*6</f>
        <v>60</v>
      </c>
      <c r="J16" s="3197" t="s">
        <v>3201</v>
      </c>
      <c r="K16" s="3197"/>
      <c r="L16" s="3195">
        <v>1624.29</v>
      </c>
      <c r="M16" s="3195">
        <v>1223.47</v>
      </c>
      <c r="N16" s="3195">
        <f t="shared" si="0"/>
        <v>2847.76</v>
      </c>
      <c r="O16" s="3269">
        <f t="shared" si="1"/>
        <v>16242.9</v>
      </c>
      <c r="P16" s="3195">
        <f t="shared" si="2"/>
        <v>12234.7</v>
      </c>
      <c r="Q16" s="3195">
        <f t="shared" si="3"/>
        <v>28477.600000000002</v>
      </c>
      <c r="R16" s="3198" t="s">
        <v>3184</v>
      </c>
      <c r="X16" s="3194"/>
      <c r="Y16" s="3194"/>
    </row>
    <row r="17" spans="5:25" ht="30.75" customHeight="1">
      <c r="E17" s="3697"/>
      <c r="F17" s="3195" t="s">
        <v>3205</v>
      </c>
      <c r="G17" s="3196" t="s">
        <v>3207</v>
      </c>
      <c r="H17" s="3195">
        <v>2</v>
      </c>
      <c r="I17" s="3195">
        <f>H17*6</f>
        <v>12</v>
      </c>
      <c r="J17" s="3197" t="s">
        <v>3201</v>
      </c>
      <c r="K17" s="3197"/>
      <c r="L17" s="3195">
        <v>1624.29</v>
      </c>
      <c r="M17" s="3195">
        <v>1212.71</v>
      </c>
      <c r="N17" s="3195">
        <f t="shared" si="0"/>
        <v>2837</v>
      </c>
      <c r="O17" s="3269">
        <f t="shared" si="1"/>
        <v>3248.58</v>
      </c>
      <c r="P17" s="3195">
        <f t="shared" si="2"/>
        <v>2425.42</v>
      </c>
      <c r="Q17" s="3195">
        <f t="shared" si="3"/>
        <v>5674</v>
      </c>
      <c r="R17" s="3198" t="s">
        <v>3184</v>
      </c>
      <c r="X17" s="3194"/>
      <c r="Y17" s="3194"/>
    </row>
    <row r="18" spans="5:25" ht="105" customHeight="1">
      <c r="E18" s="3695" t="s">
        <v>3208</v>
      </c>
      <c r="F18" s="3195" t="s">
        <v>3209</v>
      </c>
      <c r="G18" s="3196" t="s">
        <v>3210</v>
      </c>
      <c r="H18" s="3195">
        <v>70</v>
      </c>
      <c r="I18" s="3195">
        <f>H18*2*4</f>
        <v>560</v>
      </c>
      <c r="J18" s="3197" t="s">
        <v>3201</v>
      </c>
      <c r="K18" s="3197"/>
      <c r="L18" s="3195">
        <v>1534.4</v>
      </c>
      <c r="M18" s="3195">
        <v>651.26</v>
      </c>
      <c r="N18" s="3195">
        <f t="shared" si="0"/>
        <v>2185.66</v>
      </c>
      <c r="O18" s="3269">
        <f t="shared" si="1"/>
        <v>107408</v>
      </c>
      <c r="P18" s="3195">
        <f t="shared" si="2"/>
        <v>45588.2</v>
      </c>
      <c r="Q18" s="3195">
        <f t="shared" si="3"/>
        <v>152996.19999999998</v>
      </c>
      <c r="R18" s="3198" t="s">
        <v>3184</v>
      </c>
      <c r="X18" s="3194"/>
    </row>
    <row r="19" spans="5:25" ht="26.25" customHeight="1">
      <c r="E19" s="3696"/>
      <c r="F19" s="3195" t="s">
        <v>3209</v>
      </c>
      <c r="G19" s="3196" t="s">
        <v>3211</v>
      </c>
      <c r="H19" s="3195">
        <v>6</v>
      </c>
      <c r="I19" s="3195">
        <f>H19*2*4</f>
        <v>48</v>
      </c>
      <c r="J19" s="3197" t="s">
        <v>3201</v>
      </c>
      <c r="K19" s="3197"/>
      <c r="L19" s="3195">
        <v>1534.4</v>
      </c>
      <c r="M19" s="3195">
        <v>601.01</v>
      </c>
      <c r="N19" s="3195">
        <f t="shared" si="0"/>
        <v>2135.41</v>
      </c>
      <c r="O19" s="3269">
        <f t="shared" si="1"/>
        <v>9206.4000000000015</v>
      </c>
      <c r="P19" s="3195">
        <f t="shared" si="2"/>
        <v>3606.06</v>
      </c>
      <c r="Q19" s="3195">
        <f t="shared" si="3"/>
        <v>12812.46</v>
      </c>
      <c r="R19" s="3198" t="s">
        <v>3184</v>
      </c>
      <c r="X19" s="3194"/>
    </row>
    <row r="20" spans="5:25" ht="41.25" customHeight="1">
      <c r="E20" s="3696"/>
      <c r="F20" s="3195" t="s">
        <v>3209</v>
      </c>
      <c r="G20" s="3196" t="s">
        <v>3212</v>
      </c>
      <c r="H20" s="3195">
        <v>1</v>
      </c>
      <c r="I20" s="3195">
        <f>H20*2*4</f>
        <v>8</v>
      </c>
      <c r="J20" s="3197" t="s">
        <v>3201</v>
      </c>
      <c r="K20" s="3197"/>
      <c r="L20" s="3195">
        <v>1560.82</v>
      </c>
      <c r="M20" s="3195">
        <v>601.01</v>
      </c>
      <c r="N20" s="3195">
        <f t="shared" si="0"/>
        <v>2161.83</v>
      </c>
      <c r="O20" s="3269">
        <f t="shared" si="1"/>
        <v>1560.82</v>
      </c>
      <c r="P20" s="3195">
        <f t="shared" si="2"/>
        <v>601.01</v>
      </c>
      <c r="Q20" s="3195">
        <f t="shared" si="3"/>
        <v>2161.83</v>
      </c>
      <c r="R20" s="3200" t="s">
        <v>3213</v>
      </c>
      <c r="X20" s="3194"/>
    </row>
    <row r="21" spans="5:25" ht="57">
      <c r="E21" s="3696"/>
      <c r="F21" s="3195" t="s">
        <v>3195</v>
      </c>
      <c r="G21" s="3196" t="s">
        <v>3214</v>
      </c>
      <c r="H21" s="3195">
        <v>21</v>
      </c>
      <c r="I21" s="3195">
        <f>H21*3*4</f>
        <v>252</v>
      </c>
      <c r="J21" s="3197" t="s">
        <v>3201</v>
      </c>
      <c r="K21" s="3197"/>
      <c r="L21" s="3195">
        <v>2292.1</v>
      </c>
      <c r="M21" s="3195">
        <v>934.72</v>
      </c>
      <c r="N21" s="3195">
        <f t="shared" si="0"/>
        <v>3226.8199999999997</v>
      </c>
      <c r="O21" s="3269">
        <f t="shared" si="1"/>
        <v>48134.1</v>
      </c>
      <c r="P21" s="3195">
        <f t="shared" si="2"/>
        <v>19629.12</v>
      </c>
      <c r="Q21" s="3195">
        <f t="shared" si="3"/>
        <v>67763.22</v>
      </c>
      <c r="R21" s="3198" t="s">
        <v>3184</v>
      </c>
      <c r="X21" s="3194"/>
    </row>
    <row r="22" spans="5:25" ht="14.25">
      <c r="E22" s="3697"/>
      <c r="F22" s="3195" t="s">
        <v>3195</v>
      </c>
      <c r="G22" s="3196" t="s">
        <v>3215</v>
      </c>
      <c r="H22" s="3195">
        <v>1</v>
      </c>
      <c r="I22" s="3195">
        <f>H22*3*4</f>
        <v>12</v>
      </c>
      <c r="J22" s="3197" t="s">
        <v>3201</v>
      </c>
      <c r="K22" s="3197"/>
      <c r="L22" s="3195">
        <v>2292.1</v>
      </c>
      <c r="M22" s="3195">
        <v>884.47</v>
      </c>
      <c r="N22" s="3195">
        <f t="shared" si="0"/>
        <v>3176.5699999999997</v>
      </c>
      <c r="O22" s="3269">
        <f t="shared" si="1"/>
        <v>2292.1</v>
      </c>
      <c r="P22" s="3195">
        <f t="shared" si="2"/>
        <v>884.47</v>
      </c>
      <c r="Q22" s="3195">
        <f t="shared" si="3"/>
        <v>3176.5699999999997</v>
      </c>
      <c r="R22" s="3198" t="s">
        <v>3184</v>
      </c>
      <c r="X22" s="3194"/>
    </row>
    <row r="23" spans="5:25" ht="35.25" customHeight="1">
      <c r="E23" s="3695" t="s">
        <v>3216</v>
      </c>
      <c r="F23" s="3195" t="s">
        <v>3209</v>
      </c>
      <c r="G23" s="3196" t="s">
        <v>3217</v>
      </c>
      <c r="H23" s="3195">
        <v>15</v>
      </c>
      <c r="I23" s="3195">
        <f>H23*2</f>
        <v>30</v>
      </c>
      <c r="J23" s="3197" t="s">
        <v>3218</v>
      </c>
      <c r="K23" s="3197"/>
      <c r="L23" s="3195">
        <v>876.25</v>
      </c>
      <c r="M23" s="3195">
        <v>960.43</v>
      </c>
      <c r="N23" s="3195">
        <f t="shared" si="0"/>
        <v>1836.6799999999998</v>
      </c>
      <c r="O23" s="3269">
        <f t="shared" si="1"/>
        <v>13143.75</v>
      </c>
      <c r="P23" s="3195">
        <f t="shared" si="2"/>
        <v>14406.449999999999</v>
      </c>
      <c r="Q23" s="3195">
        <f t="shared" si="3"/>
        <v>27550.199999999997</v>
      </c>
      <c r="R23" s="3198" t="s">
        <v>3184</v>
      </c>
      <c r="X23" s="3194"/>
    </row>
    <row r="24" spans="5:25" ht="14.25">
      <c r="E24" s="3696"/>
      <c r="F24" s="3195" t="s">
        <v>3209</v>
      </c>
      <c r="G24" s="3196" t="s">
        <v>3219</v>
      </c>
      <c r="H24" s="3195">
        <v>7</v>
      </c>
      <c r="I24" s="3195">
        <f t="shared" ref="I24:I26" si="4">H24*2</f>
        <v>14</v>
      </c>
      <c r="J24" s="3197" t="s">
        <v>3218</v>
      </c>
      <c r="K24" s="3197"/>
      <c r="L24" s="3195">
        <v>876.25</v>
      </c>
      <c r="M24" s="3195">
        <v>960.43</v>
      </c>
      <c r="N24" s="3195">
        <f t="shared" si="0"/>
        <v>1836.6799999999998</v>
      </c>
      <c r="O24" s="3269">
        <f t="shared" si="1"/>
        <v>6133.75</v>
      </c>
      <c r="P24" s="3195">
        <f t="shared" si="2"/>
        <v>6723.0099999999993</v>
      </c>
      <c r="Q24" s="3195">
        <f t="shared" si="3"/>
        <v>12856.759999999998</v>
      </c>
      <c r="R24" s="3198"/>
      <c r="X24" s="3194"/>
    </row>
    <row r="25" spans="5:25" ht="14.25">
      <c r="E25" s="3696"/>
      <c r="F25" s="3195" t="s">
        <v>3209</v>
      </c>
      <c r="G25" s="3196" t="s">
        <v>3220</v>
      </c>
      <c r="H25" s="3195">
        <v>2</v>
      </c>
      <c r="I25" s="3195">
        <f t="shared" si="4"/>
        <v>4</v>
      </c>
      <c r="J25" s="3197" t="s">
        <v>3218</v>
      </c>
      <c r="K25" s="3197"/>
      <c r="L25" s="3195">
        <v>876.25</v>
      </c>
      <c r="M25" s="3195">
        <v>960.43</v>
      </c>
      <c r="N25" s="3195">
        <f t="shared" si="0"/>
        <v>1836.6799999999998</v>
      </c>
      <c r="O25" s="3269">
        <f t="shared" si="1"/>
        <v>1752.5</v>
      </c>
      <c r="P25" s="3195">
        <f t="shared" si="2"/>
        <v>1920.86</v>
      </c>
      <c r="Q25" s="3195">
        <f t="shared" si="3"/>
        <v>3673.3599999999997</v>
      </c>
      <c r="R25" s="3198"/>
      <c r="X25" s="3194"/>
    </row>
    <row r="26" spans="5:25" ht="14.25">
      <c r="E26" s="3696"/>
      <c r="F26" s="3195" t="s">
        <v>3209</v>
      </c>
      <c r="G26" s="3196" t="s">
        <v>3221</v>
      </c>
      <c r="H26" s="3195">
        <v>4</v>
      </c>
      <c r="I26" s="3195">
        <f t="shared" si="4"/>
        <v>8</v>
      </c>
      <c r="J26" s="3197" t="s">
        <v>3218</v>
      </c>
      <c r="K26" s="3197"/>
      <c r="L26" s="3195">
        <v>876.25</v>
      </c>
      <c r="M26" s="3195">
        <v>960.76</v>
      </c>
      <c r="N26" s="3195">
        <f t="shared" si="0"/>
        <v>1837.01</v>
      </c>
      <c r="O26" s="3269">
        <f t="shared" si="1"/>
        <v>3505</v>
      </c>
      <c r="P26" s="3195">
        <f t="shared" si="2"/>
        <v>3843.04</v>
      </c>
      <c r="Q26" s="3195">
        <f t="shared" si="3"/>
        <v>7348.04</v>
      </c>
      <c r="R26" s="3198"/>
      <c r="X26" s="3194"/>
    </row>
    <row r="27" spans="5:25" ht="14.25">
      <c r="E27" s="3696"/>
      <c r="F27" s="3195" t="s">
        <v>3195</v>
      </c>
      <c r="G27" s="3196" t="s">
        <v>3222</v>
      </c>
      <c r="H27" s="3195">
        <v>1</v>
      </c>
      <c r="I27" s="3195">
        <f>H27*3</f>
        <v>3</v>
      </c>
      <c r="J27" s="3197" t="s">
        <v>3218</v>
      </c>
      <c r="K27" s="3197"/>
      <c r="L27" s="3195">
        <v>1314.52</v>
      </c>
      <c r="M27" s="3195">
        <v>1441.13</v>
      </c>
      <c r="N27" s="3195">
        <f t="shared" si="0"/>
        <v>2755.65</v>
      </c>
      <c r="O27" s="3269">
        <f t="shared" si="1"/>
        <v>1314.52</v>
      </c>
      <c r="P27" s="3195">
        <f t="shared" si="2"/>
        <v>1441.13</v>
      </c>
      <c r="Q27" s="3195">
        <f t="shared" si="3"/>
        <v>2755.65</v>
      </c>
      <c r="R27" s="3198" t="s">
        <v>3184</v>
      </c>
      <c r="T27" s="3202"/>
      <c r="X27" s="3194"/>
    </row>
    <row r="28" spans="5:25" ht="14.25">
      <c r="E28" s="3696"/>
      <c r="F28" s="3195" t="s">
        <v>3195</v>
      </c>
      <c r="G28" s="3196" t="s">
        <v>3223</v>
      </c>
      <c r="H28" s="3195">
        <v>2</v>
      </c>
      <c r="I28" s="3195">
        <f>H28*3</f>
        <v>6</v>
      </c>
      <c r="J28" s="3197" t="s">
        <v>3218</v>
      </c>
      <c r="K28" s="3197"/>
      <c r="L28" s="3195">
        <v>1314.53</v>
      </c>
      <c r="M28" s="3195">
        <v>1400.15</v>
      </c>
      <c r="N28" s="3195">
        <f t="shared" si="0"/>
        <v>2714.6800000000003</v>
      </c>
      <c r="O28" s="3269">
        <f t="shared" si="1"/>
        <v>2629.06</v>
      </c>
      <c r="P28" s="3195">
        <f t="shared" si="2"/>
        <v>2800.3</v>
      </c>
      <c r="Q28" s="3195">
        <f t="shared" si="3"/>
        <v>5429.3600000000006</v>
      </c>
      <c r="R28" s="3198" t="s">
        <v>3184</v>
      </c>
      <c r="T28" s="3202"/>
      <c r="X28" s="3194"/>
    </row>
    <row r="29" spans="5:25" ht="14.25">
      <c r="E29" s="3697"/>
      <c r="F29" s="3195" t="s">
        <v>3195</v>
      </c>
      <c r="G29" s="3196" t="s">
        <v>3224</v>
      </c>
      <c r="H29" s="3195">
        <v>1</v>
      </c>
      <c r="I29" s="3195">
        <f>H29*3</f>
        <v>3</v>
      </c>
      <c r="J29" s="3197" t="s">
        <v>3218</v>
      </c>
      <c r="K29" s="3197"/>
      <c r="L29" s="3195">
        <v>1314.52</v>
      </c>
      <c r="M29" s="3195">
        <v>1442.56</v>
      </c>
      <c r="N29" s="3195">
        <f t="shared" si="0"/>
        <v>2757.08</v>
      </c>
      <c r="O29" s="3269">
        <f t="shared" si="1"/>
        <v>1314.52</v>
      </c>
      <c r="P29" s="3195">
        <f t="shared" si="2"/>
        <v>1442.56</v>
      </c>
      <c r="Q29" s="3195">
        <f t="shared" si="3"/>
        <v>2757.08</v>
      </c>
      <c r="R29" s="3198" t="s">
        <v>3184</v>
      </c>
      <c r="S29" s="3272">
        <f>SUM(O13:O29)</f>
        <v>234671.93</v>
      </c>
      <c r="T29" s="3189" t="s">
        <v>3614</v>
      </c>
      <c r="X29" s="3194"/>
    </row>
    <row r="30" spans="5:25" ht="14.25">
      <c r="E30" s="3203" t="s">
        <v>3225</v>
      </c>
      <c r="F30" s="3195"/>
      <c r="G30" s="3204"/>
      <c r="H30" s="3195"/>
      <c r="I30" s="3195"/>
      <c r="J30" s="3197" t="s">
        <v>3226</v>
      </c>
      <c r="K30" s="3197"/>
      <c r="L30" s="3195"/>
      <c r="M30" s="3195"/>
      <c r="N30" s="3195"/>
      <c r="O30" s="3195">
        <v>0</v>
      </c>
      <c r="P30" s="3195">
        <f>P45+P56+P65+P79+P86+P96+P105</f>
        <v>156438.94999999998</v>
      </c>
      <c r="Q30" s="3195">
        <f>P30</f>
        <v>156438.94999999998</v>
      </c>
      <c r="R30" s="3198" t="s">
        <v>3227</v>
      </c>
      <c r="S30" s="3277"/>
      <c r="T30" s="3202"/>
    </row>
    <row r="31" spans="5:25" ht="15" thickBot="1">
      <c r="E31" s="3714" t="s">
        <v>3143</v>
      </c>
      <c r="F31" s="3715"/>
      <c r="G31" s="3205"/>
      <c r="H31" s="3206">
        <f>SUM(H4:H29)</f>
        <v>176</v>
      </c>
      <c r="I31" s="3206">
        <f>SUM(I4:I29)</f>
        <v>3432</v>
      </c>
      <c r="J31" s="3207"/>
      <c r="K31" s="3207"/>
      <c r="L31" s="3206"/>
      <c r="M31" s="3206"/>
      <c r="N31" s="3206"/>
      <c r="O31" s="3206">
        <f>SUM(O4:O30)</f>
        <v>490793.2</v>
      </c>
      <c r="P31" s="3206">
        <f>SUM(P4:P30)</f>
        <v>300199.99999999994</v>
      </c>
      <c r="Q31" s="3206">
        <f>SUM(Q4:Q30)</f>
        <v>790993.19999999984</v>
      </c>
      <c r="R31" s="3208"/>
      <c r="T31" s="3209"/>
      <c r="U31" s="3209"/>
      <c r="V31" s="3209"/>
      <c r="W31" s="3209"/>
      <c r="X31" s="3210"/>
    </row>
    <row r="32" spans="5:25" ht="35.25" customHeight="1">
      <c r="O32" s="3189">
        <v>490796.15</v>
      </c>
      <c r="P32" s="3189">
        <v>300200</v>
      </c>
      <c r="R32" s="3211"/>
      <c r="S32" s="3189">
        <f>P31-P30</f>
        <v>143761.04999999996</v>
      </c>
      <c r="T32" s="3209" t="s">
        <v>3611</v>
      </c>
      <c r="U32" s="3212"/>
      <c r="V32" s="3209"/>
      <c r="W32" s="3209"/>
      <c r="X32" s="3209"/>
    </row>
    <row r="33" spans="4:20" ht="34.5" customHeight="1" thickBot="1">
      <c r="I33" s="3189">
        <f>I46+I57</f>
        <v>484</v>
      </c>
      <c r="J33" s="3189">
        <f>I33*2</f>
        <v>968</v>
      </c>
      <c r="O33" s="3189">
        <f>O31-O32</f>
        <v>-2.9500000000116415</v>
      </c>
      <c r="P33" s="3189">
        <f>P31-P32</f>
        <v>0</v>
      </c>
      <c r="S33" s="3189">
        <f>O31</f>
        <v>490793.2</v>
      </c>
      <c r="T33" s="3209" t="s">
        <v>3612</v>
      </c>
    </row>
    <row r="34" spans="4:20" ht="18" customHeight="1">
      <c r="D34" s="3213"/>
      <c r="E34" s="3214" t="s">
        <v>3228</v>
      </c>
      <c r="F34" s="3215"/>
      <c r="G34" s="3716" t="s">
        <v>3228</v>
      </c>
      <c r="H34" s="3717"/>
      <c r="I34" s="3717"/>
      <c r="J34" s="3717"/>
      <c r="K34" s="3717"/>
      <c r="L34" s="3717"/>
      <c r="M34" s="3717"/>
      <c r="N34" s="3717"/>
      <c r="O34" s="3717"/>
      <c r="P34" s="3717"/>
      <c r="Q34" s="3717"/>
      <c r="R34" s="3718"/>
      <c r="S34" s="3189">
        <f>P30</f>
        <v>156438.94999999998</v>
      </c>
      <c r="T34" s="3189" t="s">
        <v>3613</v>
      </c>
    </row>
    <row r="35" spans="4:20" ht="57">
      <c r="D35" s="3704" t="s">
        <v>3229</v>
      </c>
      <c r="E35" s="3705" t="s">
        <v>3230</v>
      </c>
      <c r="F35" s="3706"/>
      <c r="G35" s="3216" t="s">
        <v>3231</v>
      </c>
      <c r="H35" s="3217" t="s">
        <v>3232</v>
      </c>
      <c r="I35" s="3218" t="s">
        <v>3233</v>
      </c>
      <c r="J35" s="3218" t="s">
        <v>3234</v>
      </c>
      <c r="K35" s="3218" t="s">
        <v>3235</v>
      </c>
      <c r="L35" s="3219" t="s">
        <v>3236</v>
      </c>
      <c r="M35" s="3219" t="s">
        <v>3237</v>
      </c>
      <c r="N35" s="3219" t="s">
        <v>3238</v>
      </c>
      <c r="O35" s="3219" t="s">
        <v>3239</v>
      </c>
      <c r="P35" s="3219" t="s">
        <v>3240</v>
      </c>
      <c r="Q35" s="3219" t="s">
        <v>3241</v>
      </c>
      <c r="R35" s="3220" t="s">
        <v>3242</v>
      </c>
    </row>
    <row r="36" spans="4:20" ht="14.25">
      <c r="D36" s="3704"/>
      <c r="E36" s="3705" t="s">
        <v>3216</v>
      </c>
      <c r="F36" s="3221" t="s">
        <v>3243</v>
      </c>
      <c r="G36" s="3222" t="s">
        <v>3244</v>
      </c>
      <c r="H36" s="3217">
        <v>6</v>
      </c>
      <c r="I36" s="3217">
        <f>H36*2</f>
        <v>12</v>
      </c>
      <c r="J36" s="3217" t="s">
        <v>3218</v>
      </c>
      <c r="K36" s="3223">
        <v>14</v>
      </c>
      <c r="L36" s="3217">
        <f t="shared" ref="L36:M38" si="5">L23</f>
        <v>876.25</v>
      </c>
      <c r="M36" s="3217">
        <f t="shared" si="5"/>
        <v>960.43</v>
      </c>
      <c r="N36" s="3217">
        <f>L36+M36</f>
        <v>1836.6799999999998</v>
      </c>
      <c r="O36" s="3217">
        <f>L36*H36</f>
        <v>5257.5</v>
      </c>
      <c r="P36" s="3217">
        <f>M36*H36</f>
        <v>5762.58</v>
      </c>
      <c r="Q36" s="3217">
        <f>N36*H36</f>
        <v>11020.079999999998</v>
      </c>
      <c r="R36" s="3220" t="s">
        <v>3184</v>
      </c>
    </row>
    <row r="37" spans="4:20" ht="14.25">
      <c r="D37" s="3704"/>
      <c r="E37" s="3705"/>
      <c r="F37" s="3221" t="s">
        <v>3243</v>
      </c>
      <c r="G37" s="3222" t="s">
        <v>3245</v>
      </c>
      <c r="H37" s="3217">
        <v>4</v>
      </c>
      <c r="I37" s="3217">
        <f>H37*2</f>
        <v>8</v>
      </c>
      <c r="J37" s="3217" t="s">
        <v>3218</v>
      </c>
      <c r="K37" s="3223">
        <v>14</v>
      </c>
      <c r="L37" s="3217">
        <f t="shared" si="5"/>
        <v>876.25</v>
      </c>
      <c r="M37" s="3217">
        <f t="shared" si="5"/>
        <v>960.43</v>
      </c>
      <c r="N37" s="3217">
        <f>L37+M37</f>
        <v>1836.6799999999998</v>
      </c>
      <c r="O37" s="3217">
        <f>L37*H37</f>
        <v>3505</v>
      </c>
      <c r="P37" s="3217">
        <f>M37*H37</f>
        <v>3841.72</v>
      </c>
      <c r="Q37" s="3217">
        <f>N37*H37</f>
        <v>7346.7199999999993</v>
      </c>
      <c r="R37" s="3220" t="s">
        <v>3184</v>
      </c>
    </row>
    <row r="38" spans="4:20" ht="14.25">
      <c r="D38" s="3704"/>
      <c r="E38" s="3705"/>
      <c r="F38" s="3221" t="s">
        <v>3243</v>
      </c>
      <c r="G38" s="3222" t="s">
        <v>3246</v>
      </c>
      <c r="H38" s="3217">
        <v>2</v>
      </c>
      <c r="I38" s="3217">
        <f>H38*2</f>
        <v>4</v>
      </c>
      <c r="J38" s="3217" t="s">
        <v>3218</v>
      </c>
      <c r="K38" s="3223">
        <v>14</v>
      </c>
      <c r="L38" s="3217">
        <f t="shared" si="5"/>
        <v>876.25</v>
      </c>
      <c r="M38" s="3217">
        <f t="shared" si="5"/>
        <v>960.43</v>
      </c>
      <c r="N38" s="3217">
        <f>L38+M38</f>
        <v>1836.6799999999998</v>
      </c>
      <c r="O38" s="3217">
        <f>L38*H38</f>
        <v>1752.5</v>
      </c>
      <c r="P38" s="3217">
        <f>M38*H38</f>
        <v>1920.86</v>
      </c>
      <c r="Q38" s="3217">
        <f>N38*H38</f>
        <v>3673.3599999999997</v>
      </c>
      <c r="R38" s="3220" t="s">
        <v>3184</v>
      </c>
    </row>
    <row r="39" spans="4:20" ht="14.25">
      <c r="D39" s="3704"/>
      <c r="E39" s="3705"/>
      <c r="F39" s="3221" t="s">
        <v>3247</v>
      </c>
      <c r="G39" s="3216" t="s">
        <v>3223</v>
      </c>
      <c r="H39" s="3217">
        <v>2</v>
      </c>
      <c r="I39" s="3217">
        <f>H39*3</f>
        <v>6</v>
      </c>
      <c r="J39" s="3217" t="s">
        <v>3218</v>
      </c>
      <c r="K39" s="3223">
        <v>14</v>
      </c>
      <c r="L39" s="3217">
        <f>L28</f>
        <v>1314.53</v>
      </c>
      <c r="M39" s="3217">
        <f>M28</f>
        <v>1400.15</v>
      </c>
      <c r="N39" s="3217">
        <f t="shared" ref="N39:N45" si="6">L39+M39</f>
        <v>2714.6800000000003</v>
      </c>
      <c r="O39" s="3217">
        <f t="shared" ref="O39:O44" si="7">L39*H39</f>
        <v>2629.06</v>
      </c>
      <c r="P39" s="3217">
        <f t="shared" ref="P39:P44" si="8">M39*H39</f>
        <v>2800.3</v>
      </c>
      <c r="Q39" s="3217">
        <f t="shared" ref="Q39:Q44" si="9">N39*H39</f>
        <v>5429.3600000000006</v>
      </c>
      <c r="R39" s="3220" t="s">
        <v>3184</v>
      </c>
    </row>
    <row r="40" spans="4:20" ht="28.5">
      <c r="D40" s="3704"/>
      <c r="E40" s="3707" t="s">
        <v>3248</v>
      </c>
      <c r="F40" s="3710" t="s">
        <v>3249</v>
      </c>
      <c r="G40" s="3222" t="s">
        <v>3250</v>
      </c>
      <c r="H40" s="3217">
        <v>10</v>
      </c>
      <c r="I40" s="3217">
        <f>H40*8</f>
        <v>80</v>
      </c>
      <c r="J40" s="3217" t="s">
        <v>3201</v>
      </c>
      <c r="K40" s="3223">
        <v>13.8</v>
      </c>
      <c r="L40" s="3217">
        <f t="shared" ref="L40:M44" si="10">L18</f>
        <v>1534.4</v>
      </c>
      <c r="M40" s="3217">
        <f t="shared" si="10"/>
        <v>651.26</v>
      </c>
      <c r="N40" s="3217">
        <f t="shared" si="6"/>
        <v>2185.66</v>
      </c>
      <c r="O40" s="3217">
        <f t="shared" si="7"/>
        <v>15344</v>
      </c>
      <c r="P40" s="3217">
        <f t="shared" si="8"/>
        <v>6512.6</v>
      </c>
      <c r="Q40" s="3217">
        <f t="shared" si="9"/>
        <v>21856.6</v>
      </c>
      <c r="R40" s="3220" t="s">
        <v>3184</v>
      </c>
    </row>
    <row r="41" spans="4:20" ht="14.25">
      <c r="D41" s="3224"/>
      <c r="E41" s="3708"/>
      <c r="F41" s="3711"/>
      <c r="G41" s="3225" t="s">
        <v>3211</v>
      </c>
      <c r="H41" s="3217">
        <v>6</v>
      </c>
      <c r="I41" s="3217">
        <f>H41*8</f>
        <v>48</v>
      </c>
      <c r="J41" s="3217" t="s">
        <v>3201</v>
      </c>
      <c r="K41" s="3223">
        <v>13.8</v>
      </c>
      <c r="L41" s="3217">
        <f t="shared" si="10"/>
        <v>1534.4</v>
      </c>
      <c r="M41" s="3217">
        <f t="shared" si="10"/>
        <v>601.01</v>
      </c>
      <c r="N41" s="3217">
        <f t="shared" si="6"/>
        <v>2135.41</v>
      </c>
      <c r="O41" s="3217">
        <f t="shared" si="7"/>
        <v>9206.4000000000015</v>
      </c>
      <c r="P41" s="3217">
        <f t="shared" si="8"/>
        <v>3606.06</v>
      </c>
      <c r="Q41" s="3217">
        <f t="shared" si="9"/>
        <v>12812.46</v>
      </c>
      <c r="R41" s="3220" t="s">
        <v>3184</v>
      </c>
    </row>
    <row r="42" spans="4:20" ht="38.25" customHeight="1">
      <c r="D42" s="3224"/>
      <c r="E42" s="3708"/>
      <c r="F42" s="3712"/>
      <c r="G42" s="3222" t="s">
        <v>3212</v>
      </c>
      <c r="H42" s="3217">
        <v>1</v>
      </c>
      <c r="I42" s="3217">
        <f>H42*8</f>
        <v>8</v>
      </c>
      <c r="J42" s="3217" t="s">
        <v>3251</v>
      </c>
      <c r="K42" s="3223">
        <v>13.8</v>
      </c>
      <c r="L42" s="3217">
        <f t="shared" si="10"/>
        <v>1560.82</v>
      </c>
      <c r="M42" s="3217">
        <f t="shared" si="10"/>
        <v>601.01</v>
      </c>
      <c r="N42" s="3217">
        <f t="shared" si="6"/>
        <v>2161.83</v>
      </c>
      <c r="O42" s="3217">
        <f t="shared" si="7"/>
        <v>1560.82</v>
      </c>
      <c r="P42" s="3217">
        <f t="shared" si="8"/>
        <v>601.01</v>
      </c>
      <c r="Q42" s="3217">
        <f t="shared" si="9"/>
        <v>2161.83</v>
      </c>
      <c r="R42" s="3226" t="s">
        <v>3252</v>
      </c>
    </row>
    <row r="43" spans="4:20" ht="14.25">
      <c r="D43" s="3704">
        <v>55128.67</v>
      </c>
      <c r="E43" s="3708"/>
      <c r="F43" s="3710" t="s">
        <v>3253</v>
      </c>
      <c r="G43" s="3222" t="s">
        <v>3254</v>
      </c>
      <c r="H43" s="3217">
        <v>6</v>
      </c>
      <c r="I43" s="3217">
        <f>H43*12</f>
        <v>72</v>
      </c>
      <c r="J43" s="3217" t="s">
        <v>3251</v>
      </c>
      <c r="K43" s="3223">
        <v>13.8</v>
      </c>
      <c r="L43" s="3217">
        <f t="shared" si="10"/>
        <v>2292.1</v>
      </c>
      <c r="M43" s="3217">
        <f t="shared" si="10"/>
        <v>934.72</v>
      </c>
      <c r="N43" s="3217">
        <f t="shared" si="6"/>
        <v>3226.8199999999997</v>
      </c>
      <c r="O43" s="3217">
        <f t="shared" si="7"/>
        <v>13752.599999999999</v>
      </c>
      <c r="P43" s="3217">
        <f t="shared" si="8"/>
        <v>5608.32</v>
      </c>
      <c r="Q43" s="3217">
        <f t="shared" si="9"/>
        <v>19360.919999999998</v>
      </c>
      <c r="R43" s="3220" t="s">
        <v>3255</v>
      </c>
    </row>
    <row r="44" spans="4:20" ht="14.25">
      <c r="D44" s="3704"/>
      <c r="E44" s="3709"/>
      <c r="F44" s="3712"/>
      <c r="G44" s="3222" t="s">
        <v>3256</v>
      </c>
      <c r="H44" s="3217">
        <v>1</v>
      </c>
      <c r="I44" s="3217">
        <f>H44*12</f>
        <v>12</v>
      </c>
      <c r="J44" s="3217" t="s">
        <v>3201</v>
      </c>
      <c r="K44" s="3223">
        <v>13.8</v>
      </c>
      <c r="L44" s="3217">
        <f t="shared" si="10"/>
        <v>2292.1</v>
      </c>
      <c r="M44" s="3217">
        <f t="shared" si="10"/>
        <v>884.47</v>
      </c>
      <c r="N44" s="3217">
        <f t="shared" si="6"/>
        <v>3176.5699999999997</v>
      </c>
      <c r="O44" s="3217">
        <f t="shared" si="7"/>
        <v>2292.1</v>
      </c>
      <c r="P44" s="3217">
        <f t="shared" si="8"/>
        <v>884.47</v>
      </c>
      <c r="Q44" s="3217">
        <f t="shared" si="9"/>
        <v>3176.5699999999997</v>
      </c>
      <c r="R44" s="3220" t="s">
        <v>3184</v>
      </c>
    </row>
    <row r="45" spans="4:20" ht="14.25">
      <c r="D45" s="3704"/>
      <c r="E45" s="3227" t="s">
        <v>3225</v>
      </c>
      <c r="F45" s="3228"/>
      <c r="G45" s="3216" t="s">
        <v>3227</v>
      </c>
      <c r="H45" s="3217"/>
      <c r="I45" s="3217"/>
      <c r="J45" s="3217" t="s">
        <v>3226</v>
      </c>
      <c r="K45" s="3217"/>
      <c r="L45" s="3217"/>
      <c r="M45" s="3217">
        <f>28999.35</f>
        <v>28999.35</v>
      </c>
      <c r="N45" s="3217">
        <f t="shared" si="6"/>
        <v>28999.35</v>
      </c>
      <c r="O45" s="3217"/>
      <c r="P45" s="3217">
        <f>M45</f>
        <v>28999.35</v>
      </c>
      <c r="Q45" s="3217">
        <f>N45</f>
        <v>28999.35</v>
      </c>
      <c r="R45" s="3220" t="s">
        <v>3227</v>
      </c>
      <c r="S45" s="3189">
        <f>O46</f>
        <v>55299.979999999996</v>
      </c>
      <c r="T45" s="3202" t="s">
        <v>3257</v>
      </c>
    </row>
    <row r="46" spans="4:20" ht="21" customHeight="1" thickBot="1">
      <c r="D46" s="3704"/>
      <c r="E46" s="3713" t="s">
        <v>3258</v>
      </c>
      <c r="F46" s="3713"/>
      <c r="G46" s="3229" t="s">
        <v>3258</v>
      </c>
      <c r="H46" s="3230">
        <f>SUM(H36:H45)</f>
        <v>38</v>
      </c>
      <c r="I46" s="3230">
        <f>SUM(I36:I45)</f>
        <v>250</v>
      </c>
      <c r="J46" s="3230"/>
      <c r="K46" s="3230"/>
      <c r="L46" s="3230"/>
      <c r="M46" s="3230"/>
      <c r="N46" s="3230"/>
      <c r="O46" s="3230">
        <f>SUM(O36:O45)</f>
        <v>55299.979999999996</v>
      </c>
      <c r="P46" s="3230">
        <f>SUM(P36:P45)</f>
        <v>60537.27</v>
      </c>
      <c r="Q46" s="3230">
        <f>SUM(Q36:Q45)</f>
        <v>115837.25</v>
      </c>
      <c r="R46" s="3231"/>
      <c r="S46" s="3189">
        <f>P46-P45</f>
        <v>31537.919999999998</v>
      </c>
      <c r="T46" s="3202" t="s">
        <v>3259</v>
      </c>
    </row>
    <row r="47" spans="4:20" ht="5.25" customHeight="1" thickBot="1">
      <c r="D47" s="3232"/>
      <c r="E47" s="3233"/>
      <c r="F47" s="3233"/>
      <c r="G47" s="3234"/>
      <c r="H47" s="3234"/>
      <c r="I47" s="3234"/>
      <c r="J47" s="3234"/>
      <c r="K47" s="3234"/>
      <c r="L47" s="3234"/>
      <c r="M47" s="3234"/>
      <c r="N47" s="3234"/>
      <c r="O47" s="3234"/>
      <c r="P47" s="3234"/>
      <c r="Q47" s="3234"/>
      <c r="R47" s="3235"/>
    </row>
    <row r="48" spans="4:20" ht="14.25">
      <c r="D48" s="3213"/>
      <c r="E48" s="3214" t="s">
        <v>3260</v>
      </c>
      <c r="F48" s="3215"/>
      <c r="G48" s="3719" t="s">
        <v>3260</v>
      </c>
      <c r="H48" s="3720"/>
      <c r="I48" s="3720"/>
      <c r="J48" s="3720"/>
      <c r="K48" s="3720"/>
      <c r="L48" s="3720"/>
      <c r="M48" s="3720"/>
      <c r="N48" s="3720"/>
      <c r="O48" s="3720"/>
      <c r="P48" s="3720"/>
      <c r="Q48" s="3720"/>
      <c r="R48" s="3721"/>
      <c r="S48" s="3189">
        <f>P45</f>
        <v>28999.35</v>
      </c>
      <c r="T48" s="3202" t="s">
        <v>3261</v>
      </c>
    </row>
    <row r="49" spans="4:20" ht="57">
      <c r="D49" s="3704" t="s">
        <v>3262</v>
      </c>
      <c r="E49" s="3705" t="s">
        <v>3230</v>
      </c>
      <c r="F49" s="3706"/>
      <c r="G49" s="3216" t="s">
        <v>3231</v>
      </c>
      <c r="H49" s="3217" t="s">
        <v>3232</v>
      </c>
      <c r="I49" s="3218" t="s">
        <v>3233</v>
      </c>
      <c r="J49" s="3218" t="s">
        <v>3234</v>
      </c>
      <c r="K49" s="3218" t="s">
        <v>3235</v>
      </c>
      <c r="L49" s="3219" t="s">
        <v>3236</v>
      </c>
      <c r="M49" s="3219" t="s">
        <v>3237</v>
      </c>
      <c r="N49" s="3219" t="s">
        <v>3238</v>
      </c>
      <c r="O49" s="3219" t="s">
        <v>3239</v>
      </c>
      <c r="P49" s="3219" t="s">
        <v>3240</v>
      </c>
      <c r="Q49" s="3219" t="s">
        <v>3241</v>
      </c>
      <c r="R49" s="3220" t="s">
        <v>3242</v>
      </c>
    </row>
    <row r="50" spans="4:20" ht="14.25">
      <c r="D50" s="3704"/>
      <c r="E50" s="3707" t="s">
        <v>3216</v>
      </c>
      <c r="F50" s="3221" t="s">
        <v>3243</v>
      </c>
      <c r="G50" s="3222" t="s">
        <v>3263</v>
      </c>
      <c r="H50" s="3217">
        <v>4</v>
      </c>
      <c r="I50" s="3217">
        <f>H50*2</f>
        <v>8</v>
      </c>
      <c r="J50" s="3217" t="s">
        <v>3218</v>
      </c>
      <c r="K50" s="3223">
        <v>14</v>
      </c>
      <c r="L50" s="3217">
        <f>L23</f>
        <v>876.25</v>
      </c>
      <c r="M50" s="3217">
        <f>M23</f>
        <v>960.43</v>
      </c>
      <c r="N50" s="3217">
        <f>L50+M50</f>
        <v>1836.6799999999998</v>
      </c>
      <c r="O50" s="3217">
        <f>L50*H50</f>
        <v>3505</v>
      </c>
      <c r="P50" s="3217">
        <f>M50*H50</f>
        <v>3841.72</v>
      </c>
      <c r="Q50" s="3217">
        <f>N50*H50</f>
        <v>7346.7199999999993</v>
      </c>
      <c r="R50" s="3220" t="s">
        <v>3184</v>
      </c>
    </row>
    <row r="51" spans="4:20" ht="14.25">
      <c r="D51" s="3704"/>
      <c r="E51" s="3709"/>
      <c r="F51" s="3221" t="s">
        <v>3243</v>
      </c>
      <c r="G51" s="3222" t="s">
        <v>3264</v>
      </c>
      <c r="H51" s="3217">
        <v>1</v>
      </c>
      <c r="I51" s="3217">
        <f>H51*2</f>
        <v>2</v>
      </c>
      <c r="J51" s="3217" t="s">
        <v>3218</v>
      </c>
      <c r="K51" s="3223">
        <v>14</v>
      </c>
      <c r="L51" s="3217">
        <f>L24</f>
        <v>876.25</v>
      </c>
      <c r="M51" s="3217">
        <f>M24</f>
        <v>960.43</v>
      </c>
      <c r="N51" s="3217">
        <f>L51+M51</f>
        <v>1836.6799999999998</v>
      </c>
      <c r="O51" s="3217">
        <f>L51*H51</f>
        <v>876.25</v>
      </c>
      <c r="P51" s="3217">
        <f>M51*H51</f>
        <v>960.43</v>
      </c>
      <c r="Q51" s="3217">
        <f>N51*H51</f>
        <v>1836.6799999999998</v>
      </c>
      <c r="R51" s="3220" t="s">
        <v>3184</v>
      </c>
    </row>
    <row r="52" spans="4:20" ht="42.75">
      <c r="D52" s="3704"/>
      <c r="E52" s="3705" t="s">
        <v>3248</v>
      </c>
      <c r="F52" s="3221" t="s">
        <v>3249</v>
      </c>
      <c r="G52" s="3222" t="s">
        <v>3265</v>
      </c>
      <c r="H52" s="3217">
        <v>17</v>
      </c>
      <c r="I52" s="3217">
        <f>H52*8</f>
        <v>136</v>
      </c>
      <c r="J52" s="3217" t="s">
        <v>3201</v>
      </c>
      <c r="K52" s="3223">
        <v>13.8</v>
      </c>
      <c r="L52" s="3217">
        <f>L18</f>
        <v>1534.4</v>
      </c>
      <c r="M52" s="3217">
        <f>M18</f>
        <v>651.26</v>
      </c>
      <c r="N52" s="3217">
        <f t="shared" ref="N52:N56" si="11">L52+M52</f>
        <v>2185.66</v>
      </c>
      <c r="O52" s="3217">
        <f t="shared" ref="O52:O55" si="12">L52*H52</f>
        <v>26084.800000000003</v>
      </c>
      <c r="P52" s="3217">
        <f t="shared" ref="P52:P55" si="13">M52*H52</f>
        <v>11071.42</v>
      </c>
      <c r="Q52" s="3217">
        <f t="shared" ref="Q52:Q55" si="14">N52*H52</f>
        <v>37156.22</v>
      </c>
      <c r="R52" s="3220" t="s">
        <v>3184</v>
      </c>
    </row>
    <row r="53" spans="4:20" ht="14.25">
      <c r="D53" s="3704"/>
      <c r="E53" s="3705"/>
      <c r="F53" s="3221" t="s">
        <v>3247</v>
      </c>
      <c r="G53" s="3222" t="s">
        <v>3266</v>
      </c>
      <c r="H53" s="3217">
        <v>6</v>
      </c>
      <c r="I53" s="3217">
        <f>H53*12</f>
        <v>72</v>
      </c>
      <c r="J53" s="3217" t="s">
        <v>3201</v>
      </c>
      <c r="K53" s="3223">
        <v>13.8</v>
      </c>
      <c r="L53" s="3217">
        <f>L21</f>
        <v>2292.1</v>
      </c>
      <c r="M53" s="3217">
        <f>M21</f>
        <v>934.72</v>
      </c>
      <c r="N53" s="3217">
        <f t="shared" si="11"/>
        <v>3226.8199999999997</v>
      </c>
      <c r="O53" s="3217">
        <f t="shared" si="12"/>
        <v>13752.599999999999</v>
      </c>
      <c r="P53" s="3217">
        <f t="shared" si="13"/>
        <v>5608.32</v>
      </c>
      <c r="Q53" s="3217">
        <f t="shared" si="14"/>
        <v>19360.919999999998</v>
      </c>
      <c r="R53" s="3220" t="s">
        <v>3184</v>
      </c>
    </row>
    <row r="54" spans="4:20" ht="14.25">
      <c r="D54" s="3722">
        <v>48331.27</v>
      </c>
      <c r="E54" s="3705" t="s">
        <v>3267</v>
      </c>
      <c r="F54" s="3221" t="s">
        <v>3202</v>
      </c>
      <c r="G54" s="3216" t="s">
        <v>3204</v>
      </c>
      <c r="H54" s="3217">
        <v>1</v>
      </c>
      <c r="I54" s="3217">
        <f>H54*4</f>
        <v>4</v>
      </c>
      <c r="J54" s="3217" t="s">
        <v>3201</v>
      </c>
      <c r="K54" s="3223">
        <v>13.7</v>
      </c>
      <c r="L54" s="3217">
        <f>L15</f>
        <v>1086.99</v>
      </c>
      <c r="M54" s="3217">
        <f>M15</f>
        <v>859.57</v>
      </c>
      <c r="N54" s="3217">
        <f t="shared" si="11"/>
        <v>1946.56</v>
      </c>
      <c r="O54" s="3217">
        <f t="shared" si="12"/>
        <v>1086.99</v>
      </c>
      <c r="P54" s="3217">
        <f t="shared" si="13"/>
        <v>859.57</v>
      </c>
      <c r="Q54" s="3217">
        <f t="shared" si="14"/>
        <v>1946.56</v>
      </c>
      <c r="R54" s="3220" t="s">
        <v>3184</v>
      </c>
    </row>
    <row r="55" spans="4:20" ht="14.25">
      <c r="D55" s="3722"/>
      <c r="E55" s="3705"/>
      <c r="F55" s="3221" t="s">
        <v>3205</v>
      </c>
      <c r="G55" s="3216" t="s">
        <v>3207</v>
      </c>
      <c r="H55" s="3217">
        <v>2</v>
      </c>
      <c r="I55" s="3217">
        <f>H55*6</f>
        <v>12</v>
      </c>
      <c r="J55" s="3217" t="s">
        <v>3201</v>
      </c>
      <c r="K55" s="3223">
        <v>13.7</v>
      </c>
      <c r="L55" s="3217">
        <f>L17</f>
        <v>1624.29</v>
      </c>
      <c r="M55" s="3217">
        <f>M17</f>
        <v>1212.71</v>
      </c>
      <c r="N55" s="3217">
        <f t="shared" si="11"/>
        <v>2837</v>
      </c>
      <c r="O55" s="3217">
        <f t="shared" si="12"/>
        <v>3248.58</v>
      </c>
      <c r="P55" s="3217">
        <f t="shared" si="13"/>
        <v>2425.42</v>
      </c>
      <c r="Q55" s="3217">
        <f t="shared" si="14"/>
        <v>5674</v>
      </c>
      <c r="R55" s="3220" t="s">
        <v>3184</v>
      </c>
      <c r="S55" s="3189">
        <f>O57</f>
        <v>48554.22</v>
      </c>
      <c r="T55" s="3202" t="s">
        <v>3257</v>
      </c>
    </row>
    <row r="56" spans="4:20" ht="14.25">
      <c r="D56" s="3722"/>
      <c r="E56" s="3227" t="s">
        <v>3225</v>
      </c>
      <c r="F56" s="3228"/>
      <c r="G56" s="3216" t="s">
        <v>3227</v>
      </c>
      <c r="H56" s="3217"/>
      <c r="I56" s="3217"/>
      <c r="J56" s="3217" t="s">
        <v>3226</v>
      </c>
      <c r="K56" s="3217"/>
      <c r="L56" s="3217"/>
      <c r="M56" s="3217">
        <v>21897.91</v>
      </c>
      <c r="N56" s="3217">
        <f t="shared" si="11"/>
        <v>21897.91</v>
      </c>
      <c r="O56" s="3217"/>
      <c r="P56" s="3217">
        <f>M56</f>
        <v>21897.91</v>
      </c>
      <c r="Q56" s="3217">
        <f>N56</f>
        <v>21897.91</v>
      </c>
      <c r="R56" s="3220" t="s">
        <v>3227</v>
      </c>
      <c r="S56" s="3189">
        <f>P57-P56</f>
        <v>24766.879999999994</v>
      </c>
      <c r="T56" s="3202" t="s">
        <v>3259</v>
      </c>
    </row>
    <row r="57" spans="4:20" ht="21" customHeight="1" thickBot="1">
      <c r="D57" s="3722"/>
      <c r="E57" s="3713" t="s">
        <v>3258</v>
      </c>
      <c r="F57" s="3713"/>
      <c r="G57" s="3229" t="s">
        <v>3258</v>
      </c>
      <c r="H57" s="3230">
        <f>SUM(H50:H56)</f>
        <v>31</v>
      </c>
      <c r="I57" s="3230">
        <f>SUM(I50:I56)</f>
        <v>234</v>
      </c>
      <c r="J57" s="3230"/>
      <c r="K57" s="3230"/>
      <c r="L57" s="3230"/>
      <c r="M57" s="3230"/>
      <c r="N57" s="3230"/>
      <c r="O57" s="3230">
        <f>SUM(O50:O56)</f>
        <v>48554.22</v>
      </c>
      <c r="P57" s="3230">
        <f t="shared" ref="P57:Q57" si="15">SUM(P50:P56)</f>
        <v>46664.789999999994</v>
      </c>
      <c r="Q57" s="3230">
        <f t="shared" si="15"/>
        <v>95219.010000000009</v>
      </c>
      <c r="R57" s="3236"/>
      <c r="S57" s="3189">
        <f>P56</f>
        <v>21897.91</v>
      </c>
    </row>
    <row r="58" spans="4:20" ht="3.75" customHeight="1" thickBot="1">
      <c r="D58" s="3232"/>
      <c r="E58" s="3233"/>
      <c r="F58" s="3233"/>
      <c r="G58" s="3234"/>
      <c r="H58" s="3234"/>
      <c r="I58" s="3234"/>
      <c r="J58" s="3234"/>
      <c r="K58" s="3234"/>
      <c r="L58" s="3234"/>
      <c r="M58" s="3234"/>
      <c r="N58" s="3234"/>
      <c r="O58" s="3234"/>
      <c r="P58" s="3234"/>
      <c r="Q58" s="3234"/>
      <c r="R58" s="3235"/>
      <c r="T58" s="3202" t="s">
        <v>3261</v>
      </c>
    </row>
    <row r="59" spans="4:20" ht="18" customHeight="1">
      <c r="D59" s="3213"/>
      <c r="E59" s="3214" t="s">
        <v>3268</v>
      </c>
      <c r="F59" s="3215"/>
      <c r="G59" s="3719" t="s">
        <v>3268</v>
      </c>
      <c r="H59" s="3720"/>
      <c r="I59" s="3720"/>
      <c r="J59" s="3720"/>
      <c r="K59" s="3720"/>
      <c r="L59" s="3720"/>
      <c r="M59" s="3720"/>
      <c r="N59" s="3720"/>
      <c r="O59" s="3720"/>
      <c r="P59" s="3720"/>
      <c r="Q59" s="3720"/>
      <c r="R59" s="3721"/>
    </row>
    <row r="60" spans="4:20" ht="57">
      <c r="D60" s="3704" t="s">
        <v>3269</v>
      </c>
      <c r="E60" s="3705" t="s">
        <v>3230</v>
      </c>
      <c r="F60" s="3706"/>
      <c r="G60" s="3216" t="s">
        <v>3231</v>
      </c>
      <c r="H60" s="3217" t="s">
        <v>3232</v>
      </c>
      <c r="I60" s="3218" t="s">
        <v>3233</v>
      </c>
      <c r="J60" s="3218" t="s">
        <v>3234</v>
      </c>
      <c r="K60" s="3218" t="s">
        <v>3235</v>
      </c>
      <c r="L60" s="3219" t="s">
        <v>3236</v>
      </c>
      <c r="M60" s="3219" t="s">
        <v>3237</v>
      </c>
      <c r="N60" s="3219" t="s">
        <v>3238</v>
      </c>
      <c r="O60" s="3219" t="s">
        <v>3239</v>
      </c>
      <c r="P60" s="3219" t="s">
        <v>3240</v>
      </c>
      <c r="Q60" s="3219" t="s">
        <v>3241</v>
      </c>
      <c r="R60" s="3220" t="s">
        <v>3242</v>
      </c>
    </row>
    <row r="61" spans="4:20" ht="14.25">
      <c r="D61" s="3704"/>
      <c r="E61" s="3707" t="s">
        <v>3216</v>
      </c>
      <c r="F61" s="3221" t="s">
        <v>3243</v>
      </c>
      <c r="G61" s="3222" t="s">
        <v>3522</v>
      </c>
      <c r="H61" s="3217">
        <v>2</v>
      </c>
      <c r="I61" s="3217">
        <f>H61*2</f>
        <v>4</v>
      </c>
      <c r="J61" s="3217" t="s">
        <v>3218</v>
      </c>
      <c r="K61" s="3223">
        <v>14</v>
      </c>
      <c r="L61" s="3217">
        <f>L24</f>
        <v>876.25</v>
      </c>
      <c r="M61" s="3217">
        <f>M24</f>
        <v>960.43</v>
      </c>
      <c r="N61" s="3217">
        <f>L61+M61</f>
        <v>1836.6799999999998</v>
      </c>
      <c r="O61" s="3217">
        <f>L61*H61</f>
        <v>1752.5</v>
      </c>
      <c r="P61" s="3217">
        <f>M61*H61</f>
        <v>1920.86</v>
      </c>
      <c r="Q61" s="3217">
        <f>N61*H61</f>
        <v>3673.3599999999997</v>
      </c>
      <c r="R61" s="3220" t="s">
        <v>3184</v>
      </c>
    </row>
    <row r="62" spans="4:20" ht="14.25">
      <c r="D62" s="3704"/>
      <c r="E62" s="3709"/>
      <c r="F62" s="3221" t="s">
        <v>3243</v>
      </c>
      <c r="G62" s="3222" t="s">
        <v>3523</v>
      </c>
      <c r="H62" s="3217">
        <v>5</v>
      </c>
      <c r="I62" s="3217">
        <f>H62*2</f>
        <v>10</v>
      </c>
      <c r="J62" s="3217" t="s">
        <v>3218</v>
      </c>
      <c r="K62" s="3223">
        <v>14</v>
      </c>
      <c r="L62" s="3217">
        <f>L23</f>
        <v>876.25</v>
      </c>
      <c r="M62" s="3217">
        <f>M23</f>
        <v>960.43</v>
      </c>
      <c r="N62" s="3217">
        <f>L62+M62</f>
        <v>1836.6799999999998</v>
      </c>
      <c r="O62" s="3217">
        <f>L62*H62</f>
        <v>4381.25</v>
      </c>
      <c r="P62" s="3217">
        <f>M62*H62</f>
        <v>4802.1499999999996</v>
      </c>
      <c r="Q62" s="3217">
        <f>N62*H62</f>
        <v>9183.4</v>
      </c>
      <c r="R62" s="3220" t="s">
        <v>3184</v>
      </c>
    </row>
    <row r="63" spans="4:20" ht="42.75">
      <c r="D63" s="3704"/>
      <c r="E63" s="3705" t="s">
        <v>3248</v>
      </c>
      <c r="F63" s="3221" t="s">
        <v>3249</v>
      </c>
      <c r="G63" s="3222" t="s">
        <v>3524</v>
      </c>
      <c r="H63" s="3217">
        <v>19</v>
      </c>
      <c r="I63" s="3217">
        <f>H63*8</f>
        <v>152</v>
      </c>
      <c r="J63" s="3217" t="s">
        <v>3201</v>
      </c>
      <c r="K63" s="3223">
        <v>13.8</v>
      </c>
      <c r="L63" s="3217">
        <f>L18</f>
        <v>1534.4</v>
      </c>
      <c r="M63" s="3217">
        <f>M18</f>
        <v>651.26</v>
      </c>
      <c r="N63" s="3217">
        <f t="shared" ref="N63:N65" si="16">L63+M63</f>
        <v>2185.66</v>
      </c>
      <c r="O63" s="3217">
        <f t="shared" ref="O63:O64" si="17">L63*H63</f>
        <v>29153.600000000002</v>
      </c>
      <c r="P63" s="3217">
        <f t="shared" ref="P63:P64" si="18">M63*H63</f>
        <v>12373.94</v>
      </c>
      <c r="Q63" s="3217">
        <f t="shared" ref="Q63:Q64" si="19">N63*H63</f>
        <v>41527.539999999994</v>
      </c>
      <c r="R63" s="3220" t="s">
        <v>3184</v>
      </c>
    </row>
    <row r="64" spans="4:20" ht="28.5">
      <c r="D64" s="3704">
        <v>50418.080000000002</v>
      </c>
      <c r="E64" s="3705"/>
      <c r="F64" s="3221" t="s">
        <v>3247</v>
      </c>
      <c r="G64" s="3222" t="s">
        <v>3525</v>
      </c>
      <c r="H64" s="3217">
        <v>8</v>
      </c>
      <c r="I64" s="3217">
        <f>H64*12</f>
        <v>96</v>
      </c>
      <c r="J64" s="3217" t="s">
        <v>3201</v>
      </c>
      <c r="K64" s="3223">
        <v>13.8</v>
      </c>
      <c r="L64" s="3217">
        <f>L21</f>
        <v>2292.1</v>
      </c>
      <c r="M64" s="3217">
        <f>M21</f>
        <v>934.72</v>
      </c>
      <c r="N64" s="3217">
        <f t="shared" si="16"/>
        <v>3226.8199999999997</v>
      </c>
      <c r="O64" s="3217">
        <f t="shared" si="17"/>
        <v>18336.8</v>
      </c>
      <c r="P64" s="3217">
        <f t="shared" si="18"/>
        <v>7477.76</v>
      </c>
      <c r="Q64" s="3217">
        <f t="shared" si="19"/>
        <v>25814.559999999998</v>
      </c>
      <c r="R64" s="3220" t="s">
        <v>3255</v>
      </c>
    </row>
    <row r="65" spans="4:20" ht="14.25">
      <c r="D65" s="3704"/>
      <c r="E65" s="3227" t="s">
        <v>3270</v>
      </c>
      <c r="F65" s="3228"/>
      <c r="G65" s="3216" t="s">
        <v>3271</v>
      </c>
      <c r="H65" s="3217"/>
      <c r="I65" s="3217"/>
      <c r="J65" s="3217" t="s">
        <v>3272</v>
      </c>
      <c r="K65" s="3217"/>
      <c r="L65" s="3217"/>
      <c r="M65" s="3217">
        <v>26440.2</v>
      </c>
      <c r="N65" s="3217">
        <f t="shared" si="16"/>
        <v>26440.2</v>
      </c>
      <c r="O65" s="3217"/>
      <c r="P65" s="3217">
        <f>M65</f>
        <v>26440.2</v>
      </c>
      <c r="Q65" s="3217">
        <f>N65</f>
        <v>26440.2</v>
      </c>
      <c r="R65" s="3220" t="s">
        <v>3227</v>
      </c>
      <c r="S65" s="3189">
        <f>O66</f>
        <v>53624.150000000009</v>
      </c>
      <c r="T65" s="3202" t="s">
        <v>3257</v>
      </c>
    </row>
    <row r="66" spans="4:20" ht="20.25" customHeight="1" thickBot="1">
      <c r="D66" s="3704"/>
      <c r="E66" s="3713" t="s">
        <v>3258</v>
      </c>
      <c r="F66" s="3713"/>
      <c r="G66" s="3229" t="s">
        <v>3258</v>
      </c>
      <c r="H66" s="3230">
        <f>SUM(H61:H65)</f>
        <v>34</v>
      </c>
      <c r="I66" s="3230">
        <f>SUM(I61:I65)</f>
        <v>262</v>
      </c>
      <c r="J66" s="3230"/>
      <c r="K66" s="3230"/>
      <c r="L66" s="3230"/>
      <c r="M66" s="3230"/>
      <c r="N66" s="3230"/>
      <c r="O66" s="3230">
        <f>SUM(O61:O65)</f>
        <v>53624.150000000009</v>
      </c>
      <c r="P66" s="3230">
        <f t="shared" ref="P66:Q66" si="20">SUM(P61:P65)</f>
        <v>53014.91</v>
      </c>
      <c r="Q66" s="3230">
        <f t="shared" si="20"/>
        <v>106639.05999999998</v>
      </c>
      <c r="R66" s="3236"/>
      <c r="S66" s="3189">
        <f>P66-P65</f>
        <v>26574.710000000003</v>
      </c>
      <c r="T66" s="3202" t="s">
        <v>3259</v>
      </c>
    </row>
    <row r="67" spans="4:20" ht="3.75" customHeight="1" thickBot="1">
      <c r="D67" s="3232"/>
      <c r="E67" s="3233"/>
      <c r="F67" s="3233"/>
      <c r="G67" s="3234"/>
      <c r="H67" s="3234"/>
      <c r="I67" s="3234"/>
      <c r="J67" s="3234"/>
      <c r="K67" s="3234"/>
      <c r="L67" s="3234"/>
      <c r="M67" s="3234"/>
      <c r="N67" s="3234"/>
      <c r="O67" s="3234"/>
      <c r="P67" s="3234"/>
      <c r="Q67" s="3234"/>
      <c r="R67" s="3235"/>
    </row>
    <row r="68" spans="4:20" ht="17.25" customHeight="1" thickBot="1">
      <c r="D68" s="3237">
        <f>D43+D54+D64</f>
        <v>153878.02000000002</v>
      </c>
      <c r="E68" s="3723" t="s">
        <v>3273</v>
      </c>
      <c r="F68" s="3724"/>
      <c r="G68" s="3238"/>
      <c r="H68" s="3239">
        <f>H46+H57+H66</f>
        <v>103</v>
      </c>
      <c r="I68" s="3239">
        <f>I46+I57+I66</f>
        <v>746</v>
      </c>
      <c r="J68" s="3239"/>
      <c r="K68" s="3239"/>
      <c r="L68" s="3239"/>
      <c r="M68" s="3239"/>
      <c r="N68" s="3239"/>
      <c r="O68" s="3239">
        <f>O46+O57+O66</f>
        <v>157478.35</v>
      </c>
      <c r="P68" s="3239">
        <f>P46+P57+P66</f>
        <v>160216.97</v>
      </c>
      <c r="Q68" s="3239">
        <f>Q46+Q57+Q66</f>
        <v>317695.32</v>
      </c>
      <c r="R68" s="3240"/>
      <c r="S68" s="3189">
        <f>P65</f>
        <v>26440.2</v>
      </c>
      <c r="T68" s="3202" t="s">
        <v>3261</v>
      </c>
    </row>
    <row r="69" spans="4:20" ht="31.5" customHeight="1">
      <c r="E69" s="3241"/>
      <c r="F69" s="3241"/>
      <c r="G69" s="3234"/>
      <c r="H69" s="3242"/>
      <c r="I69" s="3242"/>
      <c r="J69" s="3242"/>
      <c r="K69" s="3242"/>
      <c r="L69" s="3242"/>
      <c r="M69" s="3242"/>
      <c r="N69" s="3242"/>
      <c r="O69" s="3234">
        <v>156448.67000000001</v>
      </c>
      <c r="P69" s="3234">
        <v>117654.7</v>
      </c>
      <c r="Q69" s="3242"/>
      <c r="R69" s="3234">
        <f>P65+P56+P45</f>
        <v>77337.459999999992</v>
      </c>
      <c r="T69" s="3209"/>
    </row>
    <row r="70" spans="4:20" ht="48" customHeight="1" thickBot="1">
      <c r="D70" s="3233"/>
      <c r="E70" s="3233"/>
      <c r="F70" s="3233"/>
      <c r="G70" s="3234"/>
      <c r="H70" s="3234"/>
      <c r="I70" s="3234"/>
      <c r="J70" s="3234"/>
      <c r="K70" s="3234"/>
      <c r="L70" s="3234"/>
      <c r="M70" s="3234"/>
      <c r="N70" s="3234" t="s">
        <v>3274</v>
      </c>
      <c r="O70" s="3243">
        <f>O68-O69</f>
        <v>1029.679999999993</v>
      </c>
      <c r="P70" s="3243">
        <f>P68-P69</f>
        <v>42562.270000000004</v>
      </c>
      <c r="Q70" s="3234">
        <f>P68-P69</f>
        <v>42562.270000000004</v>
      </c>
      <c r="R70" s="3234">
        <f>P68-R69</f>
        <v>82879.510000000009</v>
      </c>
    </row>
    <row r="71" spans="4:20" ht="19.5" customHeight="1">
      <c r="D71" s="3244"/>
      <c r="E71" s="3245" t="s">
        <v>3275</v>
      </c>
      <c r="F71" s="3246"/>
      <c r="G71" s="3719" t="s">
        <v>3275</v>
      </c>
      <c r="H71" s="3720"/>
      <c r="I71" s="3720"/>
      <c r="J71" s="3720"/>
      <c r="K71" s="3720"/>
      <c r="L71" s="3720"/>
      <c r="M71" s="3720"/>
      <c r="N71" s="3720"/>
      <c r="O71" s="3720"/>
      <c r="P71" s="3720"/>
      <c r="Q71" s="3720"/>
      <c r="R71" s="3721"/>
    </row>
    <row r="72" spans="4:20" ht="57">
      <c r="D72" s="3704" t="s">
        <v>3276</v>
      </c>
      <c r="E72" s="3705" t="s">
        <v>3230</v>
      </c>
      <c r="F72" s="3706"/>
      <c r="G72" s="3216" t="s">
        <v>3231</v>
      </c>
      <c r="H72" s="3217" t="s">
        <v>3232</v>
      </c>
      <c r="I72" s="3218" t="s">
        <v>3233</v>
      </c>
      <c r="J72" s="3218" t="s">
        <v>3234</v>
      </c>
      <c r="K72" s="3218" t="s">
        <v>3235</v>
      </c>
      <c r="L72" s="3219" t="s">
        <v>3236</v>
      </c>
      <c r="M72" s="3219" t="s">
        <v>3237</v>
      </c>
      <c r="N72" s="3219" t="s">
        <v>3238</v>
      </c>
      <c r="O72" s="3219" t="s">
        <v>3239</v>
      </c>
      <c r="P72" s="3219" t="s">
        <v>3240</v>
      </c>
      <c r="Q72" s="3219" t="s">
        <v>3241</v>
      </c>
      <c r="R72" s="3220" t="s">
        <v>3242</v>
      </c>
    </row>
    <row r="73" spans="4:20" ht="14.25">
      <c r="D73" s="3704"/>
      <c r="E73" s="3725" t="s">
        <v>3216</v>
      </c>
      <c r="F73" s="3221" t="s">
        <v>3243</v>
      </c>
      <c r="G73" s="3222" t="s">
        <v>3539</v>
      </c>
      <c r="H73" s="3217">
        <v>3</v>
      </c>
      <c r="I73" s="3217">
        <f>H73*2</f>
        <v>6</v>
      </c>
      <c r="J73" s="3217" t="s">
        <v>3218</v>
      </c>
      <c r="K73" s="3223">
        <v>14</v>
      </c>
      <c r="L73" s="3217">
        <f>L26</f>
        <v>876.25</v>
      </c>
      <c r="M73" s="3217">
        <f>M26</f>
        <v>960.76</v>
      </c>
      <c r="N73" s="3217">
        <f>L73+M73</f>
        <v>1837.01</v>
      </c>
      <c r="O73" s="3217">
        <f>L73*H73</f>
        <v>2628.75</v>
      </c>
      <c r="P73" s="3217">
        <f>M73*H73</f>
        <v>2882.2799999999997</v>
      </c>
      <c r="Q73" s="3217">
        <f>N73*H73</f>
        <v>5511.03</v>
      </c>
      <c r="R73" s="3220" t="s">
        <v>3184</v>
      </c>
    </row>
    <row r="74" spans="4:20" ht="14.25">
      <c r="D74" s="3704"/>
      <c r="E74" s="3726"/>
      <c r="F74" s="3221" t="s">
        <v>3247</v>
      </c>
      <c r="G74" s="3222" t="s">
        <v>3545</v>
      </c>
      <c r="H74" s="3217">
        <v>1</v>
      </c>
      <c r="I74" s="3217">
        <f>H74*3</f>
        <v>3</v>
      </c>
      <c r="J74" s="3217" t="s">
        <v>3218</v>
      </c>
      <c r="K74" s="3223">
        <v>14</v>
      </c>
      <c r="L74" s="3217">
        <f>L27</f>
        <v>1314.52</v>
      </c>
      <c r="M74" s="3217">
        <f>M27</f>
        <v>1441.13</v>
      </c>
      <c r="N74" s="3217">
        <f t="shared" ref="N74:N79" si="21">L74+M74</f>
        <v>2755.65</v>
      </c>
      <c r="O74" s="3217">
        <f t="shared" ref="O74:O78" si="22">L74*H74</f>
        <v>1314.52</v>
      </c>
      <c r="P74" s="3217">
        <f t="shared" ref="P74:P78" si="23">M74*H74</f>
        <v>1441.13</v>
      </c>
      <c r="Q74" s="3217">
        <f t="shared" ref="Q74:Q78" si="24">N74*H74</f>
        <v>2755.65</v>
      </c>
      <c r="R74" s="3220" t="s">
        <v>3255</v>
      </c>
    </row>
    <row r="75" spans="4:20" ht="14.25">
      <c r="D75" s="3704"/>
      <c r="E75" s="3247" t="s">
        <v>3277</v>
      </c>
      <c r="F75" s="3221" t="s">
        <v>3278</v>
      </c>
      <c r="G75" s="3222" t="s">
        <v>3546</v>
      </c>
      <c r="H75" s="3217">
        <v>2</v>
      </c>
      <c r="I75" s="3217">
        <f>H75*8</f>
        <v>16</v>
      </c>
      <c r="J75" s="3217" t="s">
        <v>3201</v>
      </c>
      <c r="K75" s="3223">
        <v>13.8</v>
      </c>
      <c r="L75" s="3217">
        <f>L18</f>
        <v>1534.4</v>
      </c>
      <c r="M75" s="3217">
        <f>M18</f>
        <v>651.26</v>
      </c>
      <c r="N75" s="3217">
        <f t="shared" si="21"/>
        <v>2185.66</v>
      </c>
      <c r="O75" s="3217">
        <f t="shared" si="22"/>
        <v>3068.8</v>
      </c>
      <c r="P75" s="3217">
        <f t="shared" si="23"/>
        <v>1302.52</v>
      </c>
      <c r="Q75" s="3217">
        <f t="shared" si="24"/>
        <v>4371.32</v>
      </c>
      <c r="R75" s="3220" t="s">
        <v>3184</v>
      </c>
    </row>
    <row r="76" spans="4:20" ht="14.25">
      <c r="D76" s="3704"/>
      <c r="E76" s="3725" t="s">
        <v>3267</v>
      </c>
      <c r="F76" s="3221" t="s">
        <v>3202</v>
      </c>
      <c r="G76" s="3216" t="s">
        <v>3547</v>
      </c>
      <c r="H76" s="3217">
        <v>2</v>
      </c>
      <c r="I76" s="3217">
        <f>H76*4</f>
        <v>8</v>
      </c>
      <c r="J76" s="3217" t="s">
        <v>3201</v>
      </c>
      <c r="K76" s="3223">
        <v>13.7</v>
      </c>
      <c r="L76" s="3217">
        <f>L14</f>
        <v>1086.99</v>
      </c>
      <c r="M76" s="3217">
        <f>M14</f>
        <v>867.21</v>
      </c>
      <c r="N76" s="3217">
        <f t="shared" si="21"/>
        <v>1954.2</v>
      </c>
      <c r="O76" s="3217">
        <f t="shared" si="22"/>
        <v>2173.98</v>
      </c>
      <c r="P76" s="3217">
        <f t="shared" si="23"/>
        <v>1734.42</v>
      </c>
      <c r="Q76" s="3217">
        <f t="shared" si="24"/>
        <v>3908.4</v>
      </c>
      <c r="R76" s="3220" t="s">
        <v>3184</v>
      </c>
    </row>
    <row r="77" spans="4:20" ht="28.5">
      <c r="D77" s="3704">
        <v>46673.74</v>
      </c>
      <c r="E77" s="3727"/>
      <c r="F77" s="3221" t="s">
        <v>3205</v>
      </c>
      <c r="G77" s="3222" t="s">
        <v>3548</v>
      </c>
      <c r="H77" s="3217">
        <v>10</v>
      </c>
      <c r="I77" s="3217">
        <f>H77*6</f>
        <v>60</v>
      </c>
      <c r="J77" s="3217" t="s">
        <v>3201</v>
      </c>
      <c r="K77" s="3223">
        <v>13.7</v>
      </c>
      <c r="L77" s="3217">
        <f>L16</f>
        <v>1624.29</v>
      </c>
      <c r="M77" s="3217">
        <f>M16</f>
        <v>1223.47</v>
      </c>
      <c r="N77" s="3217">
        <f t="shared" si="21"/>
        <v>2847.76</v>
      </c>
      <c r="O77" s="3217">
        <f t="shared" si="22"/>
        <v>16242.9</v>
      </c>
      <c r="P77" s="3217">
        <f t="shared" si="23"/>
        <v>12234.7</v>
      </c>
      <c r="Q77" s="3217">
        <f t="shared" si="24"/>
        <v>28477.600000000002</v>
      </c>
      <c r="R77" s="3220" t="s">
        <v>3184</v>
      </c>
    </row>
    <row r="78" spans="4:20" ht="14.25">
      <c r="D78" s="3704"/>
      <c r="E78" s="3726"/>
      <c r="F78" s="3221" t="s">
        <v>3199</v>
      </c>
      <c r="G78" s="3216" t="s">
        <v>3549</v>
      </c>
      <c r="H78" s="3217">
        <v>12</v>
      </c>
      <c r="I78" s="3217">
        <f>H78*6</f>
        <v>72</v>
      </c>
      <c r="J78" s="3217" t="s">
        <v>3201</v>
      </c>
      <c r="K78" s="3223">
        <v>13.7</v>
      </c>
      <c r="L78" s="3217">
        <f>L13</f>
        <v>1127.08</v>
      </c>
      <c r="M78" s="3217">
        <f>M13</f>
        <v>768.3</v>
      </c>
      <c r="N78" s="3217">
        <f t="shared" si="21"/>
        <v>1895.3799999999999</v>
      </c>
      <c r="O78" s="3217">
        <f t="shared" si="22"/>
        <v>13524.96</v>
      </c>
      <c r="P78" s="3217">
        <f t="shared" si="23"/>
        <v>9219.5999999999985</v>
      </c>
      <c r="Q78" s="3217">
        <f t="shared" si="24"/>
        <v>22744.559999999998</v>
      </c>
      <c r="R78" s="3220" t="s">
        <v>3184</v>
      </c>
      <c r="S78" s="3189">
        <f>O80</f>
        <v>38953.909999999996</v>
      </c>
      <c r="T78" s="3202" t="s">
        <v>3257</v>
      </c>
    </row>
    <row r="79" spans="4:20" ht="14.25">
      <c r="D79" s="3704"/>
      <c r="E79" s="3227" t="s">
        <v>3225</v>
      </c>
      <c r="F79" s="3228"/>
      <c r="G79" s="3216" t="s">
        <v>3227</v>
      </c>
      <c r="H79" s="3217"/>
      <c r="I79" s="3217"/>
      <c r="J79" s="3217" t="s">
        <v>3226</v>
      </c>
      <c r="K79" s="3217"/>
      <c r="L79" s="3217"/>
      <c r="M79" s="3217">
        <f>15336.12</f>
        <v>15336.12</v>
      </c>
      <c r="N79" s="3217">
        <f t="shared" si="21"/>
        <v>15336.12</v>
      </c>
      <c r="O79" s="3217"/>
      <c r="P79" s="3217">
        <f>M79</f>
        <v>15336.12</v>
      </c>
      <c r="Q79" s="3217">
        <f>N79</f>
        <v>15336.12</v>
      </c>
      <c r="R79" s="3220" t="s">
        <v>3227</v>
      </c>
      <c r="S79" s="3189">
        <f>P80-P79</f>
        <v>28814.65</v>
      </c>
      <c r="T79" s="3202" t="s">
        <v>3259</v>
      </c>
    </row>
    <row r="80" spans="4:20" ht="20.25" customHeight="1" thickBot="1">
      <c r="D80" s="3704"/>
      <c r="E80" s="3713" t="s">
        <v>3258</v>
      </c>
      <c r="F80" s="3713"/>
      <c r="G80" s="3229" t="s">
        <v>3258</v>
      </c>
      <c r="H80" s="3230">
        <f>SUM(H73:H79)</f>
        <v>30</v>
      </c>
      <c r="I80" s="3230">
        <f>SUM(I73:I79)</f>
        <v>165</v>
      </c>
      <c r="J80" s="3230"/>
      <c r="K80" s="3230"/>
      <c r="L80" s="3230"/>
      <c r="M80" s="3230"/>
      <c r="N80" s="3230"/>
      <c r="O80" s="3230">
        <f>SUM(O73:O79)</f>
        <v>38953.909999999996</v>
      </c>
      <c r="P80" s="3230">
        <f t="shared" ref="P80:Q80" si="25">SUM(P73:P79)</f>
        <v>44150.770000000004</v>
      </c>
      <c r="Q80" s="3230">
        <f t="shared" si="25"/>
        <v>83104.679999999993</v>
      </c>
      <c r="R80" s="3236"/>
      <c r="S80" s="3189">
        <f>P79</f>
        <v>15336.12</v>
      </c>
    </row>
    <row r="81" spans="4:21" ht="6.75" customHeight="1" thickBot="1">
      <c r="E81" s="3248"/>
      <c r="F81" s="3233"/>
      <c r="G81" s="3234"/>
      <c r="H81" s="3234"/>
      <c r="I81" s="3234"/>
      <c r="J81" s="3234"/>
      <c r="K81" s="3234"/>
      <c r="L81" s="3234"/>
      <c r="M81" s="3234"/>
      <c r="N81" s="3234"/>
      <c r="O81" s="3234"/>
      <c r="P81" s="3234"/>
      <c r="Q81" s="3234"/>
      <c r="R81" s="3235"/>
      <c r="T81" s="3202" t="s">
        <v>3261</v>
      </c>
    </row>
    <row r="82" spans="4:21" ht="20.25" customHeight="1">
      <c r="D82" s="3244"/>
      <c r="E82" s="3245" t="s">
        <v>3279</v>
      </c>
      <c r="F82" s="3246"/>
      <c r="G82" s="3719" t="s">
        <v>3279</v>
      </c>
      <c r="H82" s="3720"/>
      <c r="I82" s="3720"/>
      <c r="J82" s="3720"/>
      <c r="K82" s="3720"/>
      <c r="L82" s="3720"/>
      <c r="M82" s="3720"/>
      <c r="N82" s="3720"/>
      <c r="O82" s="3720"/>
      <c r="P82" s="3720"/>
      <c r="Q82" s="3720"/>
      <c r="R82" s="3721"/>
    </row>
    <row r="83" spans="4:21" ht="28.5" customHeight="1">
      <c r="D83" s="3704" t="s">
        <v>3280</v>
      </c>
      <c r="E83" s="3705" t="s">
        <v>3230</v>
      </c>
      <c r="F83" s="3706"/>
      <c r="G83" s="3216" t="s">
        <v>3231</v>
      </c>
      <c r="H83" s="3217" t="s">
        <v>3232</v>
      </c>
      <c r="I83" s="3218" t="s">
        <v>3233</v>
      </c>
      <c r="J83" s="3218" t="s">
        <v>3234</v>
      </c>
      <c r="K83" s="3218" t="s">
        <v>3235</v>
      </c>
      <c r="L83" s="3219" t="s">
        <v>3236</v>
      </c>
      <c r="M83" s="3219" t="s">
        <v>3237</v>
      </c>
      <c r="N83" s="3219" t="s">
        <v>3238</v>
      </c>
      <c r="O83" s="3219" t="s">
        <v>3239</v>
      </c>
      <c r="P83" s="3219" t="s">
        <v>3240</v>
      </c>
      <c r="Q83" s="3219" t="s">
        <v>3241</v>
      </c>
      <c r="R83" s="3220" t="s">
        <v>3242</v>
      </c>
    </row>
    <row r="84" spans="4:21" ht="28.5" customHeight="1">
      <c r="D84" s="3704"/>
      <c r="E84" s="3725" t="s">
        <v>3248</v>
      </c>
      <c r="F84" s="3221" t="s">
        <v>3249</v>
      </c>
      <c r="G84" s="3222" t="s">
        <v>3543</v>
      </c>
      <c r="H84" s="3217">
        <v>22</v>
      </c>
      <c r="I84" s="3217">
        <f>H84*8</f>
        <v>176</v>
      </c>
      <c r="J84" s="3217" t="s">
        <v>3201</v>
      </c>
      <c r="K84" s="3223">
        <v>13.8</v>
      </c>
      <c r="L84" s="3217">
        <f>L18</f>
        <v>1534.4</v>
      </c>
      <c r="M84" s="3217">
        <f>M18</f>
        <v>651.26</v>
      </c>
      <c r="N84" s="3217">
        <f t="shared" ref="N84:N86" si="26">L84+M84</f>
        <v>2185.66</v>
      </c>
      <c r="O84" s="3217">
        <f t="shared" ref="O84:O85" si="27">L84*H84</f>
        <v>33756.800000000003</v>
      </c>
      <c r="P84" s="3217">
        <f t="shared" ref="P84:P85" si="28">M84*H84</f>
        <v>14327.72</v>
      </c>
      <c r="Q84" s="3217">
        <f t="shared" ref="Q84:Q85" si="29">N84*H84</f>
        <v>48084.52</v>
      </c>
      <c r="R84" s="3220" t="s">
        <v>3184</v>
      </c>
      <c r="S84" s="3189">
        <f>O87</f>
        <v>36048.9</v>
      </c>
      <c r="T84" s="3202" t="s">
        <v>3281</v>
      </c>
    </row>
    <row r="85" spans="4:21" ht="20.25" customHeight="1">
      <c r="D85" s="3704"/>
      <c r="E85" s="3726"/>
      <c r="F85" s="3221" t="s">
        <v>3253</v>
      </c>
      <c r="G85" s="3222">
        <v>73</v>
      </c>
      <c r="H85" s="3217">
        <v>1</v>
      </c>
      <c r="I85" s="3217">
        <f>H85*12</f>
        <v>12</v>
      </c>
      <c r="J85" s="3217" t="s">
        <v>3251</v>
      </c>
      <c r="K85" s="3223">
        <v>13.8</v>
      </c>
      <c r="L85" s="3217">
        <f>L21</f>
        <v>2292.1</v>
      </c>
      <c r="M85" s="3217">
        <f>M21</f>
        <v>934.72</v>
      </c>
      <c r="N85" s="3217">
        <f t="shared" si="26"/>
        <v>3226.8199999999997</v>
      </c>
      <c r="O85" s="3217">
        <f t="shared" si="27"/>
        <v>2292.1</v>
      </c>
      <c r="P85" s="3217">
        <f t="shared" si="28"/>
        <v>934.72</v>
      </c>
      <c r="Q85" s="3217">
        <f t="shared" si="29"/>
        <v>3226.8199999999997</v>
      </c>
      <c r="R85" s="3220" t="s">
        <v>3282</v>
      </c>
      <c r="S85" s="3189">
        <f>P87-P86</f>
        <v>15262.439999999995</v>
      </c>
      <c r="T85" s="3202" t="s">
        <v>3283</v>
      </c>
    </row>
    <row r="86" spans="4:21" ht="21.75" customHeight="1">
      <c r="D86" s="3704">
        <v>31159.94</v>
      </c>
      <c r="E86" s="3227" t="s">
        <v>3284</v>
      </c>
      <c r="F86" s="3228"/>
      <c r="G86" s="3216" t="s">
        <v>3285</v>
      </c>
      <c r="H86" s="3217"/>
      <c r="I86" s="3217"/>
      <c r="J86" s="3217" t="s">
        <v>3286</v>
      </c>
      <c r="K86" s="3217"/>
      <c r="L86" s="3217"/>
      <c r="M86" s="3217">
        <v>18196.400000000001</v>
      </c>
      <c r="N86" s="3217">
        <f t="shared" si="26"/>
        <v>18196.400000000001</v>
      </c>
      <c r="O86" s="3217"/>
      <c r="P86" s="3217">
        <f>M86</f>
        <v>18196.400000000001</v>
      </c>
      <c r="Q86" s="3217">
        <f>N86</f>
        <v>18196.400000000001</v>
      </c>
      <c r="R86" s="3220" t="s">
        <v>3287</v>
      </c>
      <c r="S86" s="3189">
        <f>P86</f>
        <v>18196.400000000001</v>
      </c>
      <c r="T86" s="3202" t="s">
        <v>3288</v>
      </c>
    </row>
    <row r="87" spans="4:21" ht="21.75" customHeight="1" thickBot="1">
      <c r="D87" s="3704"/>
      <c r="E87" s="3713" t="s">
        <v>3289</v>
      </c>
      <c r="F87" s="3713"/>
      <c r="G87" s="3229" t="s">
        <v>3289</v>
      </c>
      <c r="H87" s="3230">
        <f>SUM(H84:H86)</f>
        <v>23</v>
      </c>
      <c r="I87" s="3230">
        <f>SUM(I84:I86)</f>
        <v>188</v>
      </c>
      <c r="J87" s="3230"/>
      <c r="K87" s="3230"/>
      <c r="L87" s="3230"/>
      <c r="M87" s="3230"/>
      <c r="N87" s="3230"/>
      <c r="O87" s="3230">
        <f>SUM(O84:O86)</f>
        <v>36048.9</v>
      </c>
      <c r="P87" s="3230">
        <f>SUM(P84:P86)</f>
        <v>33458.839999999997</v>
      </c>
      <c r="Q87" s="3230">
        <f>SUM(Q84:Q86)</f>
        <v>69507.739999999991</v>
      </c>
      <c r="R87" s="3236"/>
      <c r="T87" s="3202"/>
    </row>
    <row r="88" spans="4:21" ht="4.5" customHeight="1" thickBot="1">
      <c r="E88" s="3248"/>
      <c r="F88" s="3233"/>
      <c r="G88" s="3234"/>
      <c r="H88" s="3234"/>
      <c r="I88" s="3234"/>
      <c r="J88" s="3234"/>
      <c r="K88" s="3234"/>
      <c r="L88" s="3234"/>
      <c r="M88" s="3234"/>
      <c r="N88" s="3234"/>
      <c r="O88" s="3234"/>
      <c r="P88" s="3234"/>
      <c r="Q88" s="3234"/>
      <c r="R88" s="3235"/>
    </row>
    <row r="89" spans="4:21" ht="18.75" customHeight="1">
      <c r="D89" s="3244"/>
      <c r="E89" s="3245" t="s">
        <v>3290</v>
      </c>
      <c r="F89" s="3246"/>
      <c r="G89" s="3719" t="s">
        <v>3290</v>
      </c>
      <c r="H89" s="3720"/>
      <c r="I89" s="3720"/>
      <c r="J89" s="3720"/>
      <c r="K89" s="3720"/>
      <c r="L89" s="3720"/>
      <c r="M89" s="3720"/>
      <c r="N89" s="3720"/>
      <c r="O89" s="3720"/>
      <c r="P89" s="3720"/>
      <c r="Q89" s="3720"/>
      <c r="R89" s="3721"/>
    </row>
    <row r="90" spans="4:21" ht="57">
      <c r="D90" s="3704" t="s">
        <v>3291</v>
      </c>
      <c r="E90" s="3705" t="s">
        <v>3292</v>
      </c>
      <c r="F90" s="3706"/>
      <c r="G90" s="3216" t="s">
        <v>3293</v>
      </c>
      <c r="H90" s="3217" t="s">
        <v>3294</v>
      </c>
      <c r="I90" s="3218" t="s">
        <v>3295</v>
      </c>
      <c r="J90" s="3218" t="s">
        <v>3296</v>
      </c>
      <c r="K90" s="3218" t="s">
        <v>3297</v>
      </c>
      <c r="L90" s="3219" t="s">
        <v>3298</v>
      </c>
      <c r="M90" s="3219" t="s">
        <v>3299</v>
      </c>
      <c r="N90" s="3219" t="s">
        <v>3300</v>
      </c>
      <c r="O90" s="3219" t="s">
        <v>3301</v>
      </c>
      <c r="P90" s="3219" t="s">
        <v>3302</v>
      </c>
      <c r="Q90" s="3219" t="s">
        <v>3303</v>
      </c>
      <c r="R90" s="3220" t="s">
        <v>3304</v>
      </c>
      <c r="S90" s="3189">
        <f>O97</f>
        <v>79234.670000000013</v>
      </c>
      <c r="T90" s="3202" t="s">
        <v>3305</v>
      </c>
    </row>
    <row r="91" spans="4:21" ht="14.25">
      <c r="D91" s="3704"/>
      <c r="E91" s="3725" t="s">
        <v>3306</v>
      </c>
      <c r="F91" s="3221" t="s">
        <v>3307</v>
      </c>
      <c r="G91" s="3222" t="s">
        <v>3308</v>
      </c>
      <c r="H91" s="3217">
        <v>1</v>
      </c>
      <c r="I91" s="3217">
        <f>H91*2</f>
        <v>2</v>
      </c>
      <c r="J91" s="3217" t="s">
        <v>3218</v>
      </c>
      <c r="K91" s="3223">
        <v>14</v>
      </c>
      <c r="L91" s="3217">
        <f>L26</f>
        <v>876.25</v>
      </c>
      <c r="M91" s="3217">
        <f>M26</f>
        <v>960.76</v>
      </c>
      <c r="N91" s="3217">
        <f>L91+M91</f>
        <v>1837.01</v>
      </c>
      <c r="O91" s="3217">
        <f>L91*H91</f>
        <v>876.25</v>
      </c>
      <c r="P91" s="3217">
        <f>M91*H91</f>
        <v>960.76</v>
      </c>
      <c r="Q91" s="3217">
        <f>N91*H91</f>
        <v>1837.01</v>
      </c>
      <c r="R91" s="3220" t="s">
        <v>3184</v>
      </c>
      <c r="S91" s="3189">
        <f>P97-P96</f>
        <v>6782.0600000000013</v>
      </c>
      <c r="T91" s="3202" t="s">
        <v>3259</v>
      </c>
    </row>
    <row r="92" spans="4:21" ht="14.25">
      <c r="D92" s="3704"/>
      <c r="E92" s="3726"/>
      <c r="F92" s="3221" t="s">
        <v>3247</v>
      </c>
      <c r="G92" s="3222" t="s">
        <v>3224</v>
      </c>
      <c r="H92" s="3217">
        <v>1</v>
      </c>
      <c r="I92" s="3217">
        <f>H92*3</f>
        <v>3</v>
      </c>
      <c r="J92" s="3217" t="s">
        <v>3218</v>
      </c>
      <c r="K92" s="3223">
        <v>14</v>
      </c>
      <c r="L92" s="3217">
        <f>L29</f>
        <v>1314.52</v>
      </c>
      <c r="M92" s="3217">
        <f>M29</f>
        <v>1442.56</v>
      </c>
      <c r="N92" s="3217">
        <f t="shared" ref="N92:N96" si="30">L92+M92</f>
        <v>2757.08</v>
      </c>
      <c r="O92" s="3217">
        <f t="shared" ref="O92:O95" si="31">L92*H92</f>
        <v>1314.52</v>
      </c>
      <c r="P92" s="3217">
        <f t="shared" ref="P92:P95" si="32">M92*H92</f>
        <v>1442.56</v>
      </c>
      <c r="Q92" s="3217">
        <f t="shared" ref="Q92:Q95" si="33">N92*H92</f>
        <v>2757.08</v>
      </c>
      <c r="R92" s="3220" t="s">
        <v>3184</v>
      </c>
      <c r="S92" s="3189">
        <f>P96</f>
        <v>23798.35</v>
      </c>
      <c r="T92" s="3202" t="s">
        <v>3261</v>
      </c>
    </row>
    <row r="93" spans="4:21" ht="14.25">
      <c r="D93" s="3704"/>
      <c r="E93" s="3705" t="s">
        <v>3309</v>
      </c>
      <c r="F93" s="3221" t="s">
        <v>3310</v>
      </c>
      <c r="G93" s="3222" t="s">
        <v>3311</v>
      </c>
      <c r="H93" s="3217">
        <v>1</v>
      </c>
      <c r="I93" s="3217">
        <f>H93*18*8</f>
        <v>144</v>
      </c>
      <c r="J93" s="3217" t="s">
        <v>3191</v>
      </c>
      <c r="K93" s="3223">
        <v>53.9</v>
      </c>
      <c r="L93" s="3217">
        <f>L9</f>
        <v>15312.52</v>
      </c>
      <c r="M93" s="3217">
        <f>M9</f>
        <v>871.97</v>
      </c>
      <c r="N93" s="3217">
        <f t="shared" si="30"/>
        <v>16184.49</v>
      </c>
      <c r="O93" s="3217">
        <f t="shared" si="31"/>
        <v>15312.52</v>
      </c>
      <c r="P93" s="3217">
        <f t="shared" si="32"/>
        <v>871.97</v>
      </c>
      <c r="Q93" s="3217">
        <f t="shared" si="33"/>
        <v>16184.49</v>
      </c>
      <c r="R93" s="3220" t="s">
        <v>3312</v>
      </c>
      <c r="T93" s="3202"/>
    </row>
    <row r="94" spans="4:21" ht="51.75" customHeight="1">
      <c r="D94" s="3704">
        <v>29012.51</v>
      </c>
      <c r="E94" s="3705"/>
      <c r="F94" s="3221" t="s">
        <v>3313</v>
      </c>
      <c r="G94" s="3222" t="s">
        <v>3314</v>
      </c>
      <c r="H94" s="3217">
        <v>1</v>
      </c>
      <c r="I94" s="3217">
        <f>H94*18*8</f>
        <v>144</v>
      </c>
      <c r="J94" s="3217" t="s">
        <v>3315</v>
      </c>
      <c r="K94" s="3223">
        <v>53.9</v>
      </c>
      <c r="L94" s="3217">
        <f>L10</f>
        <v>15385.22</v>
      </c>
      <c r="M94" s="3217">
        <f>M10</f>
        <v>871.97</v>
      </c>
      <c r="N94" s="3217">
        <f t="shared" si="30"/>
        <v>16257.189999999999</v>
      </c>
      <c r="O94" s="3217">
        <f t="shared" si="31"/>
        <v>15385.22</v>
      </c>
      <c r="P94" s="3217">
        <f t="shared" si="32"/>
        <v>871.97</v>
      </c>
      <c r="Q94" s="3217">
        <f t="shared" si="33"/>
        <v>16257.189999999999</v>
      </c>
      <c r="R94" s="3226" t="s">
        <v>3316</v>
      </c>
      <c r="T94" s="3189">
        <f>P99-T95</f>
        <v>50859.15</v>
      </c>
      <c r="U94" s="3189">
        <f>O99-U95</f>
        <v>77193.58</v>
      </c>
    </row>
    <row r="95" spans="4:21" ht="36.75" customHeight="1">
      <c r="D95" s="3704"/>
      <c r="E95" s="3705"/>
      <c r="F95" s="3221" t="s">
        <v>3317</v>
      </c>
      <c r="G95" s="3222" t="s">
        <v>3318</v>
      </c>
      <c r="H95" s="3217">
        <v>2</v>
      </c>
      <c r="I95" s="3217">
        <f>H95*18*12</f>
        <v>432</v>
      </c>
      <c r="J95" s="3217" t="s">
        <v>3319</v>
      </c>
      <c r="K95" s="3223">
        <v>53.9</v>
      </c>
      <c r="L95" s="3217">
        <f>L12</f>
        <v>23173.08</v>
      </c>
      <c r="M95" s="3217">
        <f>M12</f>
        <v>1317.4</v>
      </c>
      <c r="N95" s="3217">
        <f t="shared" si="30"/>
        <v>24490.480000000003</v>
      </c>
      <c r="O95" s="3217">
        <f t="shared" si="31"/>
        <v>46346.16</v>
      </c>
      <c r="P95" s="3217">
        <f t="shared" si="32"/>
        <v>2634.8</v>
      </c>
      <c r="Q95" s="3217">
        <f t="shared" si="33"/>
        <v>48980.960000000006</v>
      </c>
      <c r="R95" s="3226" t="s">
        <v>3320</v>
      </c>
      <c r="T95" s="3189">
        <f>M96+M86+M79</f>
        <v>57330.87</v>
      </c>
      <c r="U95" s="3189">
        <f>O95+O94+O93</f>
        <v>77043.900000000009</v>
      </c>
    </row>
    <row r="96" spans="4:21" ht="14.25">
      <c r="D96" s="3704"/>
      <c r="E96" s="3227" t="s">
        <v>3225</v>
      </c>
      <c r="F96" s="3228"/>
      <c r="G96" s="3216" t="s">
        <v>3227</v>
      </c>
      <c r="H96" s="3217"/>
      <c r="I96" s="3217"/>
      <c r="J96" s="3217" t="s">
        <v>3226</v>
      </c>
      <c r="K96" s="3217"/>
      <c r="L96" s="3217"/>
      <c r="M96" s="3217">
        <v>23798.35</v>
      </c>
      <c r="N96" s="3217">
        <f t="shared" si="30"/>
        <v>23798.35</v>
      </c>
      <c r="O96" s="3217"/>
      <c r="P96" s="3217">
        <f>M96</f>
        <v>23798.35</v>
      </c>
      <c r="Q96" s="3217">
        <f>N96</f>
        <v>23798.35</v>
      </c>
      <c r="R96" s="3220" t="s">
        <v>3227</v>
      </c>
    </row>
    <row r="97" spans="4:20" ht="19.5" customHeight="1" thickBot="1">
      <c r="D97" s="3704"/>
      <c r="E97" s="3713" t="s">
        <v>3258</v>
      </c>
      <c r="F97" s="3713"/>
      <c r="G97" s="3229" t="s">
        <v>3258</v>
      </c>
      <c r="H97" s="3230">
        <f>SUM(H91:H96)</f>
        <v>6</v>
      </c>
      <c r="I97" s="3230">
        <f>SUM(I91:I96)</f>
        <v>725</v>
      </c>
      <c r="J97" s="3230"/>
      <c r="K97" s="3230"/>
      <c r="L97" s="3230"/>
      <c r="M97" s="3230"/>
      <c r="N97" s="3230"/>
      <c r="O97" s="3230">
        <f>SUM(O91:O96)</f>
        <v>79234.670000000013</v>
      </c>
      <c r="P97" s="3230">
        <f>SUM(P91:P96)</f>
        <v>30580.41</v>
      </c>
      <c r="Q97" s="3230">
        <f>SUM(Q91:Q96)</f>
        <v>109815.08000000002</v>
      </c>
      <c r="R97" s="3236"/>
    </row>
    <row r="98" spans="4:20" ht="3.75" customHeight="1" thickBot="1">
      <c r="D98" s="3232"/>
      <c r="E98" s="3249"/>
      <c r="F98" s="3249"/>
      <c r="G98" s="3250"/>
      <c r="H98" s="3250"/>
      <c r="I98" s="3250"/>
      <c r="J98" s="3250"/>
      <c r="K98" s="3250"/>
      <c r="L98" s="3250"/>
      <c r="M98" s="3250"/>
      <c r="N98" s="3250"/>
      <c r="O98" s="3250"/>
      <c r="P98" s="3250"/>
      <c r="Q98" s="3250"/>
      <c r="R98" s="3251"/>
    </row>
    <row r="99" spans="4:20" ht="18.75" customHeight="1" thickBot="1">
      <c r="D99" s="3252">
        <f>D77+D86+D94</f>
        <v>106846.18999999999</v>
      </c>
      <c r="E99" s="3723" t="s">
        <v>3321</v>
      </c>
      <c r="F99" s="3724"/>
      <c r="G99" s="3239"/>
      <c r="H99" s="3239">
        <f>H80+H87+H97</f>
        <v>59</v>
      </c>
      <c r="I99" s="3239">
        <f>I80+I87+I97</f>
        <v>1078</v>
      </c>
      <c r="J99" s="3239"/>
      <c r="K99" s="3239"/>
      <c r="L99" s="3239"/>
      <c r="M99" s="3239"/>
      <c r="N99" s="3239"/>
      <c r="O99" s="3239">
        <f>O80+O97+O87</f>
        <v>154237.48000000001</v>
      </c>
      <c r="P99" s="3239">
        <f>P80+P97+P87</f>
        <v>108190.02</v>
      </c>
      <c r="Q99" s="3239">
        <f>Q80+Q87+Q97</f>
        <v>262427.5</v>
      </c>
      <c r="R99" s="3253"/>
    </row>
    <row r="100" spans="4:20" ht="18.75" customHeight="1">
      <c r="E100" s="3241"/>
      <c r="F100" s="3241"/>
      <c r="G100" s="3242"/>
      <c r="H100" s="3242"/>
      <c r="I100" s="3242"/>
      <c r="J100" s="3242"/>
      <c r="K100" s="3242"/>
      <c r="L100" s="3242"/>
      <c r="M100" s="3242"/>
      <c r="N100" s="3242" t="s">
        <v>3322</v>
      </c>
      <c r="O100" s="3243">
        <v>154838.35</v>
      </c>
      <c r="P100" s="3243">
        <v>102984.1</v>
      </c>
      <c r="Q100" s="3242"/>
      <c r="R100" s="3242"/>
      <c r="S100" s="3209">
        <f>P96+P86+P79</f>
        <v>57330.87</v>
      </c>
    </row>
    <row r="101" spans="4:20" ht="45" customHeight="1" thickBot="1">
      <c r="G101" s="3243"/>
      <c r="H101" s="3243"/>
      <c r="I101" s="3243"/>
      <c r="J101" s="3243"/>
      <c r="K101" s="3243"/>
      <c r="L101" s="3243"/>
      <c r="M101" s="3243"/>
      <c r="N101" s="3243" t="s">
        <v>3274</v>
      </c>
      <c r="O101" s="3243">
        <f>O99-O100</f>
        <v>-600.86999999999534</v>
      </c>
      <c r="P101" s="3243">
        <f>P99-P100</f>
        <v>5205.9199999999983</v>
      </c>
      <c r="Q101" s="3243">
        <f>O99-R101</f>
        <v>77193.580000000016</v>
      </c>
      <c r="R101" s="3243">
        <f>O93+O94+O95</f>
        <v>77043.899999999994</v>
      </c>
      <c r="S101" s="3189">
        <f>P99-S100</f>
        <v>50859.15</v>
      </c>
    </row>
    <row r="102" spans="4:20" ht="21" customHeight="1">
      <c r="D102" s="3254"/>
      <c r="E102" s="3255" t="s">
        <v>3323</v>
      </c>
      <c r="F102" s="3256"/>
      <c r="G102" s="3719" t="s">
        <v>3323</v>
      </c>
      <c r="H102" s="3720"/>
      <c r="I102" s="3720"/>
      <c r="J102" s="3720"/>
      <c r="K102" s="3720"/>
      <c r="L102" s="3720"/>
      <c r="M102" s="3720"/>
      <c r="N102" s="3720"/>
      <c r="O102" s="3720"/>
      <c r="P102" s="3720"/>
      <c r="Q102" s="3720"/>
      <c r="R102" s="3721"/>
    </row>
    <row r="103" spans="4:20" ht="57">
      <c r="D103" s="3704" t="s">
        <v>3324</v>
      </c>
      <c r="E103" s="3705" t="s">
        <v>3325</v>
      </c>
      <c r="F103" s="3706"/>
      <c r="G103" s="3216" t="s">
        <v>3326</v>
      </c>
      <c r="H103" s="3217" t="s">
        <v>3327</v>
      </c>
      <c r="I103" s="3218" t="s">
        <v>3163</v>
      </c>
      <c r="J103" s="3218" t="s">
        <v>3164</v>
      </c>
      <c r="K103" s="3218" t="s">
        <v>3328</v>
      </c>
      <c r="L103" s="3219" t="s">
        <v>3165</v>
      </c>
      <c r="M103" s="3219" t="s">
        <v>3166</v>
      </c>
      <c r="N103" s="3219" t="s">
        <v>3167</v>
      </c>
      <c r="O103" s="3219" t="s">
        <v>3329</v>
      </c>
      <c r="P103" s="3219" t="s">
        <v>3330</v>
      </c>
      <c r="Q103" s="3219" t="s">
        <v>3331</v>
      </c>
      <c r="R103" s="3220" t="s">
        <v>3332</v>
      </c>
    </row>
    <row r="104" spans="4:20" ht="18.75" customHeight="1">
      <c r="D104" s="3704"/>
      <c r="E104" s="3227" t="s">
        <v>3333</v>
      </c>
      <c r="F104" s="3221" t="s">
        <v>3334</v>
      </c>
      <c r="G104" s="3222" t="s">
        <v>3335</v>
      </c>
      <c r="H104" s="3217">
        <v>5</v>
      </c>
      <c r="I104" s="3217">
        <f>H104*18*8</f>
        <v>720</v>
      </c>
      <c r="J104" s="3217" t="s">
        <v>3315</v>
      </c>
      <c r="K104" s="3223">
        <v>53.9</v>
      </c>
      <c r="L104" s="3217">
        <f>L9</f>
        <v>15312.52</v>
      </c>
      <c r="M104" s="3217">
        <f>M9</f>
        <v>871.97</v>
      </c>
      <c r="N104" s="3217">
        <f t="shared" ref="N104:N105" si="34">L104+M104</f>
        <v>16184.49</v>
      </c>
      <c r="O104" s="3217">
        <f t="shared" ref="O104" si="35">L104*H104</f>
        <v>76562.600000000006</v>
      </c>
      <c r="P104" s="3217">
        <f t="shared" ref="P104" si="36">M104*H104</f>
        <v>4359.8500000000004</v>
      </c>
      <c r="Q104" s="3217">
        <f t="shared" ref="Q104" si="37">N104*H104</f>
        <v>80922.45</v>
      </c>
      <c r="R104" s="3220" t="s">
        <v>3187</v>
      </c>
      <c r="S104" s="3189">
        <f>O106</f>
        <v>76562.600000000006</v>
      </c>
      <c r="T104" s="3202" t="s">
        <v>3257</v>
      </c>
    </row>
    <row r="105" spans="4:20" ht="34.5" customHeight="1">
      <c r="D105" s="3704">
        <v>35224.54</v>
      </c>
      <c r="E105" s="3227" t="s">
        <v>3225</v>
      </c>
      <c r="F105" s="3228"/>
      <c r="G105" s="3216" t="s">
        <v>3227</v>
      </c>
      <c r="H105" s="3217"/>
      <c r="I105" s="3217"/>
      <c r="J105" s="3217" t="s">
        <v>3226</v>
      </c>
      <c r="K105" s="3217"/>
      <c r="L105" s="3217"/>
      <c r="M105" s="3217">
        <v>21770.62</v>
      </c>
      <c r="N105" s="3217">
        <f t="shared" si="34"/>
        <v>21770.62</v>
      </c>
      <c r="O105" s="3217"/>
      <c r="P105" s="3217">
        <f>M105</f>
        <v>21770.62</v>
      </c>
      <c r="Q105" s="3217">
        <f>N105</f>
        <v>21770.62</v>
      </c>
      <c r="R105" s="3226" t="s">
        <v>3336</v>
      </c>
      <c r="S105" s="3189">
        <f>P106-P105</f>
        <v>4359.8500000000022</v>
      </c>
      <c r="T105" s="3202" t="s">
        <v>3259</v>
      </c>
    </row>
    <row r="106" spans="4:20" ht="21" customHeight="1" thickBot="1">
      <c r="D106" s="3704"/>
      <c r="E106" s="3713" t="s">
        <v>3258</v>
      </c>
      <c r="F106" s="3713"/>
      <c r="G106" s="3229" t="s">
        <v>3258</v>
      </c>
      <c r="H106" s="3230">
        <f>SUM(H104:H105)</f>
        <v>5</v>
      </c>
      <c r="I106" s="3230">
        <f>SUM(I104:I105)</f>
        <v>720</v>
      </c>
      <c r="J106" s="3230"/>
      <c r="K106" s="3230"/>
      <c r="L106" s="3230"/>
      <c r="M106" s="3230"/>
      <c r="N106" s="3230"/>
      <c r="O106" s="3230">
        <f>SUM(O104:O105)</f>
        <v>76562.600000000006</v>
      </c>
      <c r="P106" s="3230">
        <f>SUM(P104:P105)</f>
        <v>26130.47</v>
      </c>
      <c r="Q106" s="3230">
        <f>SUM(Q104:Q105)</f>
        <v>102693.06999999999</v>
      </c>
      <c r="R106" s="3236"/>
      <c r="S106" s="3189">
        <f>P105</f>
        <v>21770.62</v>
      </c>
      <c r="T106" s="3202" t="s">
        <v>3261</v>
      </c>
    </row>
    <row r="107" spans="4:20" ht="3.75" customHeight="1" thickBot="1">
      <c r="D107" s="3232"/>
      <c r="E107" s="3233"/>
      <c r="F107" s="3233"/>
      <c r="G107" s="3234"/>
      <c r="H107" s="3234"/>
      <c r="I107" s="3234"/>
      <c r="J107" s="3234"/>
      <c r="K107" s="3234"/>
      <c r="L107" s="3234"/>
      <c r="M107" s="3234"/>
      <c r="N107" s="3234"/>
      <c r="O107" s="3234"/>
      <c r="P107" s="3234"/>
      <c r="Q107" s="3234"/>
      <c r="R107" s="3235"/>
      <c r="T107" s="3202" t="s">
        <v>3261</v>
      </c>
    </row>
    <row r="108" spans="4:20" ht="20.25" customHeight="1">
      <c r="D108" s="3254"/>
      <c r="E108" s="3255" t="s">
        <v>3337</v>
      </c>
      <c r="F108" s="3256"/>
      <c r="G108" s="3719" t="s">
        <v>3337</v>
      </c>
      <c r="H108" s="3720"/>
      <c r="I108" s="3720"/>
      <c r="J108" s="3720"/>
      <c r="K108" s="3720"/>
      <c r="L108" s="3720"/>
      <c r="M108" s="3720"/>
      <c r="N108" s="3720"/>
      <c r="O108" s="3720"/>
      <c r="P108" s="3720"/>
      <c r="Q108" s="3720"/>
      <c r="R108" s="3721"/>
    </row>
    <row r="109" spans="4:20" ht="57">
      <c r="D109" s="3704" t="s">
        <v>3338</v>
      </c>
      <c r="E109" s="3705" t="s">
        <v>3230</v>
      </c>
      <c r="F109" s="3706"/>
      <c r="G109" s="3216" t="s">
        <v>3231</v>
      </c>
      <c r="H109" s="3217" t="s">
        <v>3232</v>
      </c>
      <c r="I109" s="3218" t="s">
        <v>3233</v>
      </c>
      <c r="J109" s="3218" t="s">
        <v>3234</v>
      </c>
      <c r="K109" s="3218" t="s">
        <v>3235</v>
      </c>
      <c r="L109" s="3219" t="s">
        <v>3236</v>
      </c>
      <c r="M109" s="3219" t="s">
        <v>3237</v>
      </c>
      <c r="N109" s="3219" t="s">
        <v>3238</v>
      </c>
      <c r="O109" s="3219" t="s">
        <v>3239</v>
      </c>
      <c r="P109" s="3219" t="s">
        <v>3240</v>
      </c>
      <c r="Q109" s="3219" t="s">
        <v>3241</v>
      </c>
      <c r="R109" s="3220" t="s">
        <v>3242</v>
      </c>
    </row>
    <row r="110" spans="4:20" ht="14.25">
      <c r="D110" s="3704"/>
      <c r="E110" s="3725" t="s">
        <v>3339</v>
      </c>
      <c r="F110" s="3221" t="s">
        <v>3340</v>
      </c>
      <c r="G110" s="3222" t="s">
        <v>3341</v>
      </c>
      <c r="H110" s="3217">
        <v>1</v>
      </c>
      <c r="I110" s="3217"/>
      <c r="J110" s="3217" t="s">
        <v>3342</v>
      </c>
      <c r="K110" s="3257">
        <v>17.3</v>
      </c>
      <c r="L110" s="3217">
        <f t="shared" ref="L110:M114" si="38">L4</f>
        <v>3402.04</v>
      </c>
      <c r="M110" s="3217">
        <f t="shared" si="38"/>
        <v>0</v>
      </c>
      <c r="N110" s="3217">
        <f>L110+M110</f>
        <v>3402.04</v>
      </c>
      <c r="O110" s="3217">
        <f>L110*H110</f>
        <v>3402.04</v>
      </c>
      <c r="P110" s="3217">
        <f>M110*H110</f>
        <v>0</v>
      </c>
      <c r="Q110" s="3217">
        <f>N110*H110</f>
        <v>3402.04</v>
      </c>
      <c r="R110" s="3220" t="s">
        <v>3343</v>
      </c>
    </row>
    <row r="111" spans="4:20" ht="14.25">
      <c r="D111" s="3704"/>
      <c r="E111" s="3726"/>
      <c r="F111" s="3221" t="s">
        <v>3176</v>
      </c>
      <c r="G111" s="3222" t="s">
        <v>3344</v>
      </c>
      <c r="H111" s="3217">
        <v>1</v>
      </c>
      <c r="I111" s="3217"/>
      <c r="J111" s="3217" t="s">
        <v>3342</v>
      </c>
      <c r="K111" s="3257">
        <v>17.3</v>
      </c>
      <c r="L111" s="3217">
        <f t="shared" si="38"/>
        <v>4717.4799999999996</v>
      </c>
      <c r="M111" s="3217">
        <f t="shared" si="38"/>
        <v>0</v>
      </c>
      <c r="N111" s="3217">
        <f t="shared" ref="N111:N115" si="39">L111+M111</f>
        <v>4717.4799999999996</v>
      </c>
      <c r="O111" s="3217">
        <f t="shared" ref="O111:O115" si="40">L111*H111</f>
        <v>4717.4799999999996</v>
      </c>
      <c r="P111" s="3217">
        <f t="shared" ref="P111:P115" si="41">M111*H111</f>
        <v>0</v>
      </c>
      <c r="Q111" s="3217">
        <f t="shared" ref="Q111:Q115" si="42">N111*H111</f>
        <v>4717.4799999999996</v>
      </c>
      <c r="R111" s="3220" t="s">
        <v>3343</v>
      </c>
    </row>
    <row r="112" spans="4:20" ht="14.25">
      <c r="D112" s="3704">
        <v>54619.93</v>
      </c>
      <c r="E112" s="3195" t="s">
        <v>3345</v>
      </c>
      <c r="F112" s="3221" t="s">
        <v>3346</v>
      </c>
      <c r="G112" s="3222" t="s">
        <v>3347</v>
      </c>
      <c r="H112" s="3217">
        <v>1</v>
      </c>
      <c r="I112" s="3217">
        <f>H112*6*4</f>
        <v>24</v>
      </c>
      <c r="J112" s="3217" t="s">
        <v>3183</v>
      </c>
      <c r="K112" s="3257">
        <v>18.600000000000001</v>
      </c>
      <c r="L112" s="3217">
        <f t="shared" si="38"/>
        <v>2405.0100000000002</v>
      </c>
      <c r="M112" s="3217">
        <f t="shared" si="38"/>
        <v>411.36</v>
      </c>
      <c r="N112" s="3217">
        <f t="shared" si="39"/>
        <v>2816.3700000000003</v>
      </c>
      <c r="O112" s="3217">
        <f t="shared" si="40"/>
        <v>2405.0100000000002</v>
      </c>
      <c r="P112" s="3217">
        <f t="shared" si="41"/>
        <v>411.36</v>
      </c>
      <c r="Q112" s="3217">
        <f t="shared" si="42"/>
        <v>2816.3700000000003</v>
      </c>
      <c r="R112" s="3220" t="s">
        <v>3184</v>
      </c>
    </row>
    <row r="113" spans="4:20" ht="14.25">
      <c r="D113" s="3704"/>
      <c r="E113" s="3728" t="s">
        <v>3309</v>
      </c>
      <c r="F113" s="3221" t="s">
        <v>3346</v>
      </c>
      <c r="G113" s="3222" t="s">
        <v>3348</v>
      </c>
      <c r="H113" s="3217">
        <v>2</v>
      </c>
      <c r="I113" s="3217">
        <f>H113*18*4</f>
        <v>144</v>
      </c>
      <c r="J113" s="3217" t="s">
        <v>3186</v>
      </c>
      <c r="K113" s="3257">
        <v>53.9</v>
      </c>
      <c r="L113" s="3217">
        <f t="shared" si="38"/>
        <v>7509.52</v>
      </c>
      <c r="M113" s="3217">
        <f t="shared" si="38"/>
        <v>436.22</v>
      </c>
      <c r="N113" s="3217">
        <f t="shared" si="39"/>
        <v>7945.7400000000007</v>
      </c>
      <c r="O113" s="3217">
        <f t="shared" si="40"/>
        <v>15019.04</v>
      </c>
      <c r="P113" s="3217">
        <f t="shared" si="41"/>
        <v>872.44</v>
      </c>
      <c r="Q113" s="3217">
        <f t="shared" si="42"/>
        <v>15891.480000000001</v>
      </c>
      <c r="R113" s="3220" t="s">
        <v>3187</v>
      </c>
      <c r="S113" s="3189">
        <f>O116-O110-O111</f>
        <v>94395.250000000015</v>
      </c>
      <c r="T113" s="3202" t="s">
        <v>3257</v>
      </c>
    </row>
    <row r="114" spans="4:20" ht="14.25">
      <c r="D114" s="3704"/>
      <c r="E114" s="3728"/>
      <c r="F114" s="3221" t="s">
        <v>3249</v>
      </c>
      <c r="G114" s="3222" t="s">
        <v>3349</v>
      </c>
      <c r="H114" s="3217">
        <v>2</v>
      </c>
      <c r="I114" s="3217">
        <f>H114*18*8</f>
        <v>288</v>
      </c>
      <c r="J114" s="3217" t="s">
        <v>3186</v>
      </c>
      <c r="K114" s="3257">
        <v>53.9</v>
      </c>
      <c r="L114" s="3217">
        <f t="shared" si="38"/>
        <v>15312.52</v>
      </c>
      <c r="M114" s="3217">
        <f t="shared" si="38"/>
        <v>871.97</v>
      </c>
      <c r="N114" s="3217">
        <f t="shared" si="39"/>
        <v>16184.49</v>
      </c>
      <c r="O114" s="3217">
        <f t="shared" si="40"/>
        <v>30625.040000000001</v>
      </c>
      <c r="P114" s="3217">
        <f t="shared" si="41"/>
        <v>1743.94</v>
      </c>
      <c r="Q114" s="3217">
        <f t="shared" si="42"/>
        <v>32368.98</v>
      </c>
      <c r="R114" s="3220" t="s">
        <v>3187</v>
      </c>
      <c r="S114" s="3189">
        <f>P116</f>
        <v>5662.5400000000009</v>
      </c>
      <c r="T114" s="3202" t="s">
        <v>3259</v>
      </c>
    </row>
    <row r="115" spans="4:20" ht="14.25">
      <c r="D115" s="3704"/>
      <c r="E115" s="3728"/>
      <c r="F115" s="3221" t="s">
        <v>3247</v>
      </c>
      <c r="G115" s="3222" t="s">
        <v>3350</v>
      </c>
      <c r="H115" s="3217">
        <v>2</v>
      </c>
      <c r="I115" s="3217">
        <f>H115*18*12</f>
        <v>432</v>
      </c>
      <c r="J115" s="3217" t="s">
        <v>3186</v>
      </c>
      <c r="K115" s="3257">
        <v>53.9</v>
      </c>
      <c r="L115" s="3217">
        <f>L11</f>
        <v>23173.08</v>
      </c>
      <c r="M115" s="3217">
        <f>M11</f>
        <v>1317.4</v>
      </c>
      <c r="N115" s="3217">
        <f t="shared" si="39"/>
        <v>24490.480000000003</v>
      </c>
      <c r="O115" s="3217">
        <f t="shared" si="40"/>
        <v>46346.16</v>
      </c>
      <c r="P115" s="3217">
        <f t="shared" si="41"/>
        <v>2634.8</v>
      </c>
      <c r="Q115" s="3217">
        <f t="shared" si="42"/>
        <v>48980.960000000006</v>
      </c>
      <c r="R115" s="3220" t="s">
        <v>3187</v>
      </c>
      <c r="S115" s="3189">
        <v>0</v>
      </c>
      <c r="T115" s="3202" t="s">
        <v>3261</v>
      </c>
    </row>
    <row r="116" spans="4:20" ht="16.5" customHeight="1" thickBot="1">
      <c r="D116" s="3704"/>
      <c r="E116" s="3713" t="s">
        <v>3143</v>
      </c>
      <c r="F116" s="3713"/>
      <c r="G116" s="3229" t="s">
        <v>3143</v>
      </c>
      <c r="H116" s="3230">
        <f>SUM(H110:H115)</f>
        <v>9</v>
      </c>
      <c r="I116" s="3230">
        <f>SUM(I110:I115)</f>
        <v>888</v>
      </c>
      <c r="J116" s="3230"/>
      <c r="K116" s="3258"/>
      <c r="L116" s="3230"/>
      <c r="M116" s="3230"/>
      <c r="N116" s="3230"/>
      <c r="O116" s="3230">
        <f>SUM(O110:O115)</f>
        <v>102514.77</v>
      </c>
      <c r="P116" s="3230">
        <f>SUM(P110:P115)</f>
        <v>5662.5400000000009</v>
      </c>
      <c r="Q116" s="3230">
        <f>SUM(Q110:Q115)</f>
        <v>108177.31000000001</v>
      </c>
      <c r="R116" s="3236"/>
      <c r="T116" s="3202"/>
    </row>
    <row r="117" spans="4:20" ht="4.5" customHeight="1" thickBot="1">
      <c r="D117" s="3232"/>
      <c r="E117" s="3233"/>
      <c r="F117" s="3233"/>
      <c r="G117" s="3233"/>
      <c r="H117" s="3233"/>
      <c r="I117" s="3233"/>
      <c r="J117" s="3233"/>
      <c r="K117" s="3233"/>
      <c r="L117" s="3233"/>
      <c r="M117" s="3233"/>
      <c r="N117" s="3233"/>
      <c r="O117" s="3233"/>
      <c r="P117" s="3233"/>
      <c r="Q117" s="3233"/>
      <c r="R117" s="3259"/>
    </row>
    <row r="118" spans="4:20" ht="21" customHeight="1" thickBot="1">
      <c r="D118" s="3252">
        <f>D105+D112</f>
        <v>89844.47</v>
      </c>
      <c r="E118" s="3723" t="s">
        <v>3351</v>
      </c>
      <c r="F118" s="3724"/>
      <c r="G118" s="3260"/>
      <c r="H118" s="3260">
        <f>H106+H116</f>
        <v>14</v>
      </c>
      <c r="I118" s="3260">
        <f t="shared" ref="I118:Q118" si="43">I106+I116</f>
        <v>1608</v>
      </c>
      <c r="J118" s="3260">
        <f t="shared" si="43"/>
        <v>0</v>
      </c>
      <c r="K118" s="3260"/>
      <c r="L118" s="3260">
        <f t="shared" si="43"/>
        <v>0</v>
      </c>
      <c r="M118" s="3260">
        <f t="shared" si="43"/>
        <v>0</v>
      </c>
      <c r="N118" s="3260">
        <f t="shared" si="43"/>
        <v>0</v>
      </c>
      <c r="O118" s="3260">
        <f t="shared" si="43"/>
        <v>179077.37</v>
      </c>
      <c r="P118" s="3260">
        <f t="shared" si="43"/>
        <v>31793.010000000002</v>
      </c>
      <c r="Q118" s="3260">
        <f t="shared" si="43"/>
        <v>210870.38</v>
      </c>
      <c r="R118" s="3261"/>
    </row>
    <row r="119" spans="4:20" ht="33.75" customHeight="1">
      <c r="D119" s="3262"/>
      <c r="E119" s="3241"/>
      <c r="F119" s="3241"/>
      <c r="G119" s="3241"/>
      <c r="H119" s="3241"/>
      <c r="I119" s="3241"/>
      <c r="J119" s="3241"/>
      <c r="K119" s="3241"/>
      <c r="L119" s="3241"/>
      <c r="M119" s="3241"/>
      <c r="N119" s="3241"/>
      <c r="O119" s="3241">
        <v>179509.13</v>
      </c>
      <c r="P119" s="3241">
        <v>79561.2</v>
      </c>
      <c r="Q119" s="3241"/>
      <c r="R119" s="3241"/>
      <c r="S119" s="3262"/>
      <c r="T119" s="3262"/>
    </row>
    <row r="120" spans="4:20" ht="30.75" customHeight="1" thickBot="1">
      <c r="N120" s="3202" t="s">
        <v>3274</v>
      </c>
      <c r="O120" s="3189">
        <f>O118-O119</f>
        <v>-431.76000000000931</v>
      </c>
      <c r="P120" s="3189">
        <f>P118-P119</f>
        <v>-47768.189999999995</v>
      </c>
    </row>
    <row r="121" spans="4:20" ht="22.5" customHeight="1" thickBot="1">
      <c r="D121" s="3263">
        <f>D118+D99+D68</f>
        <v>350568.68</v>
      </c>
      <c r="E121" s="3264" t="s">
        <v>3352</v>
      </c>
      <c r="F121" s="3265"/>
      <c r="G121" s="3265"/>
      <c r="H121" s="3265">
        <f>H116+H106+H97+H87+H80+H66+H57+H46</f>
        <v>176</v>
      </c>
      <c r="I121" s="3265">
        <f>I116+I106+I97+I87+I80+I66+I57+I46</f>
        <v>3432</v>
      </c>
      <c r="J121" s="3265">
        <f>J116+J106+J97+J80+J66+J57+J46</f>
        <v>0</v>
      </c>
      <c r="K121" s="3265"/>
      <c r="L121" s="3265">
        <f>L116+L106+L97+L80+L66+L57+L46</f>
        <v>0</v>
      </c>
      <c r="M121" s="3265">
        <f>M116+M106+M97+M80+M66+M57+M46</f>
        <v>0</v>
      </c>
      <c r="N121" s="3265">
        <f>N116+N106+N97+N80+N66+N57+N46</f>
        <v>0</v>
      </c>
      <c r="O121" s="3265">
        <f>O116+O106+O97+O87+O80+O66+O57+O46</f>
        <v>490793.19999999995</v>
      </c>
      <c r="P121" s="3265">
        <f>P116+P106+P97+P87+P80+P66+P57+P46</f>
        <v>300200</v>
      </c>
      <c r="Q121" s="3265">
        <f>Q116+Q106+Q97+Q87+Q80+Q66+Q57+Q46</f>
        <v>790993.2</v>
      </c>
      <c r="R121" s="3266"/>
      <c r="T121" s="3189">
        <f>S114+S105+S91+S85+S79+S66+S56+S46</f>
        <v>143761.04999999999</v>
      </c>
    </row>
    <row r="124" spans="4:20">
      <c r="P124" s="3189">
        <f>300200-P121</f>
        <v>0</v>
      </c>
    </row>
    <row r="125" spans="4:20">
      <c r="M125" s="3189">
        <f>N125+U95</f>
        <v>245596.74</v>
      </c>
      <c r="N125" s="3189">
        <f>O118-L110-L111-L112</f>
        <v>168552.83999999997</v>
      </c>
      <c r="Q125" s="3189">
        <f>790996.15</f>
        <v>790996.15</v>
      </c>
    </row>
    <row r="126" spans="4:20">
      <c r="H126" s="3189">
        <f>I113+I114+I115+I104+I95+I94+I93</f>
        <v>2304</v>
      </c>
      <c r="Q126" s="3189">
        <f>Q121-Q125</f>
        <v>-2.9500000000698492</v>
      </c>
    </row>
    <row r="127" spans="4:20">
      <c r="N127" s="3189">
        <f>O115+O114+O113+O104+O95+O94+O93</f>
        <v>245596.74000000002</v>
      </c>
      <c r="P127" s="3189">
        <f>P120+P101+P70</f>
        <v>0</v>
      </c>
    </row>
    <row r="129" spans="14:14">
      <c r="N129" s="3189">
        <f>O121-N127-N110-N111</f>
        <v>237076.93999999992</v>
      </c>
    </row>
  </sheetData>
  <mergeCells count="69">
    <mergeCell ref="E118:F118"/>
    <mergeCell ref="G108:R108"/>
    <mergeCell ref="D109:D111"/>
    <mergeCell ref="E109:F109"/>
    <mergeCell ref="E110:E111"/>
    <mergeCell ref="D112:D116"/>
    <mergeCell ref="E113:E115"/>
    <mergeCell ref="E116:F116"/>
    <mergeCell ref="E99:F99"/>
    <mergeCell ref="G102:R102"/>
    <mergeCell ref="D103:D104"/>
    <mergeCell ref="E103:F103"/>
    <mergeCell ref="D105:D106"/>
    <mergeCell ref="E106:F106"/>
    <mergeCell ref="G89:R89"/>
    <mergeCell ref="D90:D93"/>
    <mergeCell ref="E90:F90"/>
    <mergeCell ref="E91:E92"/>
    <mergeCell ref="E93:E95"/>
    <mergeCell ref="D94:D97"/>
    <mergeCell ref="E97:F97"/>
    <mergeCell ref="G82:R82"/>
    <mergeCell ref="D83:D85"/>
    <mergeCell ref="E83:F83"/>
    <mergeCell ref="E84:E85"/>
    <mergeCell ref="D86:D87"/>
    <mergeCell ref="E87:F87"/>
    <mergeCell ref="E68:F68"/>
    <mergeCell ref="G71:R71"/>
    <mergeCell ref="D72:D76"/>
    <mergeCell ref="E72:F72"/>
    <mergeCell ref="E73:E74"/>
    <mergeCell ref="E76:E78"/>
    <mergeCell ref="D77:D80"/>
    <mergeCell ref="E80:F80"/>
    <mergeCell ref="D54:D57"/>
    <mergeCell ref="E54:E55"/>
    <mergeCell ref="E57:F57"/>
    <mergeCell ref="G59:R59"/>
    <mergeCell ref="D60:D63"/>
    <mergeCell ref="E60:F60"/>
    <mergeCell ref="E61:E62"/>
    <mergeCell ref="E63:E64"/>
    <mergeCell ref="D64:D66"/>
    <mergeCell ref="E66:F66"/>
    <mergeCell ref="G48:R48"/>
    <mergeCell ref="D49:D53"/>
    <mergeCell ref="E49:F49"/>
    <mergeCell ref="E50:E51"/>
    <mergeCell ref="E52:E53"/>
    <mergeCell ref="E13:E17"/>
    <mergeCell ref="E18:E22"/>
    <mergeCell ref="E23:E29"/>
    <mergeCell ref="E31:F31"/>
    <mergeCell ref="G34:R34"/>
    <mergeCell ref="D35:D40"/>
    <mergeCell ref="E35:F35"/>
    <mergeCell ref="E36:E39"/>
    <mergeCell ref="E40:E44"/>
    <mergeCell ref="F40:F42"/>
    <mergeCell ref="D43:D46"/>
    <mergeCell ref="F43:F44"/>
    <mergeCell ref="E46:F46"/>
    <mergeCell ref="E6:E12"/>
    <mergeCell ref="E2:R2"/>
    <mergeCell ref="T2:U2"/>
    <mergeCell ref="W2:X2"/>
    <mergeCell ref="E3:F3"/>
    <mergeCell ref="E4:E5"/>
  </mergeCells>
  <phoneticPr fontId="228" type="noConversion"/>
  <pageMargins left="0.70866141732283472" right="0.70866141732283472" top="0.39370078740157483" bottom="0" header="0.31496062992125984" footer="0.31496062992125984"/>
  <pageSetup paperSize="8" scale="4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43763</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3</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topLeftCell="A10" workbookViewId="0">
      <selection activeCell="K3" sqref="K3"/>
    </sheetView>
  </sheetViews>
  <sheetFormatPr defaultColWidth="9" defaultRowHeight="13.5"/>
  <cols>
    <col min="1" max="1" width="14.125" style="3189" customWidth="1"/>
    <col min="2" max="3" width="9" style="3189"/>
    <col min="4" max="7" width="0" style="3189" hidden="1" customWidth="1"/>
    <col min="8" max="8" width="12.625" style="3189" customWidth="1"/>
    <col min="9" max="9" width="9" style="3189"/>
    <col min="10" max="10" width="0" style="3189" hidden="1" customWidth="1"/>
    <col min="11" max="11" width="9.5" style="3189" bestFit="1" customWidth="1"/>
    <col min="12" max="16384" width="9" style="3189"/>
  </cols>
  <sheetData>
    <row r="1" spans="1:15" ht="23.1" customHeight="1">
      <c r="A1" s="3729" t="s">
        <v>3415</v>
      </c>
      <c r="B1" s="3730"/>
      <c r="C1" s="3730"/>
      <c r="D1" s="3730"/>
      <c r="E1" s="3730"/>
      <c r="F1" s="3730"/>
      <c r="G1" s="3730"/>
      <c r="H1" s="3730"/>
      <c r="I1" s="3730"/>
      <c r="J1" s="3730"/>
      <c r="K1" s="3731"/>
    </row>
    <row r="2" spans="1:15" ht="41.1" customHeight="1">
      <c r="A2" s="3288" t="s">
        <v>3161</v>
      </c>
      <c r="B2" s="3288" t="s">
        <v>3416</v>
      </c>
      <c r="C2" s="3288" t="s">
        <v>3417</v>
      </c>
      <c r="D2" s="3288" t="s">
        <v>3418</v>
      </c>
      <c r="E2" s="3288" t="s">
        <v>3419</v>
      </c>
      <c r="F2" s="3288" t="s">
        <v>3420</v>
      </c>
      <c r="G2" s="3288" t="s">
        <v>3421</v>
      </c>
      <c r="H2" s="3288" t="s">
        <v>3398</v>
      </c>
      <c r="I2" s="3288" t="s">
        <v>3391</v>
      </c>
      <c r="J2" s="3288" t="s">
        <v>3394</v>
      </c>
      <c r="K2" s="3289" t="s">
        <v>3154</v>
      </c>
    </row>
    <row r="3" spans="1:15" ht="23.1" customHeight="1">
      <c r="A3" s="3290" t="s">
        <v>3422</v>
      </c>
      <c r="B3" s="3291" t="s">
        <v>923</v>
      </c>
      <c r="C3" s="3291">
        <v>20</v>
      </c>
      <c r="D3" s="3291">
        <f>F3+16.23*4</f>
        <v>1443.53</v>
      </c>
      <c r="E3" s="3291">
        <f>F3+9*4</f>
        <v>1414.61</v>
      </c>
      <c r="F3" s="3291">
        <v>1378.61</v>
      </c>
      <c r="G3" s="3291">
        <f>23.96+13.84*4</f>
        <v>79.319999999999993</v>
      </c>
      <c r="H3" s="3268">
        <v>27692.82</v>
      </c>
      <c r="I3" s="3268">
        <v>2586.41</v>
      </c>
      <c r="J3" s="3291">
        <v>320</v>
      </c>
      <c r="K3" s="3292">
        <f>H3+I3</f>
        <v>30279.23</v>
      </c>
    </row>
    <row r="4" spans="1:15" ht="23.1" customHeight="1">
      <c r="A4" s="3290" t="s">
        <v>3182</v>
      </c>
      <c r="B4" s="3291" t="s">
        <v>923</v>
      </c>
      <c r="C4" s="3291">
        <v>20</v>
      </c>
      <c r="D4" s="3291">
        <f>F3+16.23*4</f>
        <v>1443.53</v>
      </c>
      <c r="E4" s="3291">
        <f>F4+9*4</f>
        <v>1414.61</v>
      </c>
      <c r="F4" s="3291">
        <v>1378.61</v>
      </c>
      <c r="G4" s="3291">
        <f>23.96+13.84*4</f>
        <v>79.319999999999993</v>
      </c>
      <c r="H4" s="3268">
        <v>27692.82</v>
      </c>
      <c r="I4" s="3268">
        <v>2586.41</v>
      </c>
      <c r="J4" s="3291">
        <v>320</v>
      </c>
      <c r="K4" s="3292">
        <f t="shared" ref="K4:K16" si="0">H4+I4</f>
        <v>30279.23</v>
      </c>
    </row>
    <row r="5" spans="1:15" ht="24" customHeight="1">
      <c r="A5" s="3290" t="s">
        <v>3423</v>
      </c>
      <c r="B5" s="3291" t="s">
        <v>923</v>
      </c>
      <c r="C5" s="3291">
        <v>20</v>
      </c>
      <c r="D5" s="3291">
        <f>F3+16.23*4</f>
        <v>1443.53</v>
      </c>
      <c r="E5" s="3291">
        <f>F5+9*4</f>
        <v>1414.61</v>
      </c>
      <c r="F5" s="3291">
        <v>1378.61</v>
      </c>
      <c r="G5" s="3291">
        <f>23.96+13.84*4</f>
        <v>79.319999999999993</v>
      </c>
      <c r="H5" s="3268">
        <v>27692.82</v>
      </c>
      <c r="I5" s="3268">
        <v>2586.41</v>
      </c>
      <c r="J5" s="3291">
        <v>320</v>
      </c>
      <c r="K5" s="3292">
        <f t="shared" si="0"/>
        <v>30279.23</v>
      </c>
      <c r="M5" s="3189">
        <f>K5+K4+K3+K16</f>
        <v>136214.69</v>
      </c>
      <c r="N5" s="3189">
        <f>H3+H4+H5</f>
        <v>83078.459999999992</v>
      </c>
      <c r="O5" s="3189">
        <f>I3+I4+I5+K16</f>
        <v>53136.229999999996</v>
      </c>
    </row>
    <row r="6" spans="1:15" ht="24" customHeight="1">
      <c r="A6" s="3293" t="s">
        <v>3424</v>
      </c>
      <c r="B6" s="3294" t="s">
        <v>923</v>
      </c>
      <c r="C6" s="3294">
        <v>20</v>
      </c>
      <c r="D6" s="3294">
        <f>F6+16.23*3</f>
        <v>1079.78</v>
      </c>
      <c r="E6" s="3294">
        <f>F6+9*3</f>
        <v>1058.0899999999999</v>
      </c>
      <c r="F6" s="3294">
        <v>1031.0899999999999</v>
      </c>
      <c r="G6" s="3295">
        <f>23.96+13.84*3</f>
        <v>65.47999999999999</v>
      </c>
      <c r="H6" s="3296">
        <v>20690.05</v>
      </c>
      <c r="I6" s="3296">
        <v>1948.51</v>
      </c>
      <c r="J6" s="3294">
        <v>240</v>
      </c>
      <c r="K6" s="3292">
        <f t="shared" si="0"/>
        <v>22638.559999999998</v>
      </c>
    </row>
    <row r="7" spans="1:15" ht="21" customHeight="1">
      <c r="A7" s="3297" t="s">
        <v>3425</v>
      </c>
      <c r="B7" s="3298" t="s">
        <v>923</v>
      </c>
      <c r="C7" s="3298">
        <v>20</v>
      </c>
      <c r="D7" s="3298">
        <f>F7+16.23*2</f>
        <v>731.12</v>
      </c>
      <c r="E7" s="3298">
        <f>698.66+9*2</f>
        <v>716.66</v>
      </c>
      <c r="F7" s="3298">
        <v>698.66</v>
      </c>
      <c r="G7" s="3298">
        <f>23.96+13.84*2</f>
        <v>51.64</v>
      </c>
      <c r="H7" s="3299">
        <v>14023.32</v>
      </c>
      <c r="I7" s="3299">
        <v>1281.53</v>
      </c>
      <c r="J7" s="3298">
        <v>160</v>
      </c>
      <c r="K7" s="3292">
        <f t="shared" si="0"/>
        <v>15304.85</v>
      </c>
      <c r="M7" s="3189">
        <f>H6+H7+H8+H9+H10+H11+H12+H13+H14+H15</f>
        <v>134161.09</v>
      </c>
      <c r="N7" s="3189">
        <f>I6+I7+I8+I9+I10+I11+I12+I13</f>
        <v>11728.77</v>
      </c>
    </row>
    <row r="8" spans="1:15" ht="21" customHeight="1">
      <c r="A8" s="3300" t="s">
        <v>3426</v>
      </c>
      <c r="B8" s="3301" t="s">
        <v>923</v>
      </c>
      <c r="C8" s="3301">
        <v>20</v>
      </c>
      <c r="D8" s="3301">
        <f>F8+16.23*2</f>
        <v>713.11</v>
      </c>
      <c r="E8" s="3301">
        <f>F8+9*2</f>
        <v>698.65</v>
      </c>
      <c r="F8" s="3301">
        <v>680.65</v>
      </c>
      <c r="G8" s="3301">
        <f>23.96+13.84</f>
        <v>37.799999999999997</v>
      </c>
      <c r="H8" s="3302">
        <v>13046.99</v>
      </c>
      <c r="I8" s="3302">
        <v>1245.19</v>
      </c>
      <c r="J8" s="3301">
        <v>152</v>
      </c>
      <c r="K8" s="3292">
        <f t="shared" si="0"/>
        <v>14292.18</v>
      </c>
    </row>
    <row r="9" spans="1:15" ht="21.95" customHeight="1">
      <c r="A9" s="3300" t="s">
        <v>3427</v>
      </c>
      <c r="B9" s="3301" t="s">
        <v>923</v>
      </c>
      <c r="C9" s="3301">
        <v>20</v>
      </c>
      <c r="D9" s="3301">
        <f>F8+16.23*2</f>
        <v>713.11</v>
      </c>
      <c r="E9" s="3301">
        <f>F9+9*2</f>
        <v>698.65</v>
      </c>
      <c r="F9" s="3301">
        <v>680.65</v>
      </c>
      <c r="G9" s="3301">
        <f>23.96+13.84</f>
        <v>37.799999999999997</v>
      </c>
      <c r="H9" s="3302">
        <v>13046.99</v>
      </c>
      <c r="I9" s="3302">
        <v>1245.19</v>
      </c>
      <c r="J9" s="3301">
        <v>152</v>
      </c>
      <c r="K9" s="3292">
        <f t="shared" si="0"/>
        <v>14292.18</v>
      </c>
    </row>
    <row r="10" spans="1:15" ht="21.95" customHeight="1">
      <c r="A10" s="3303" t="s">
        <v>3428</v>
      </c>
      <c r="B10" s="3304" t="s">
        <v>923</v>
      </c>
      <c r="C10" s="3304">
        <v>20</v>
      </c>
      <c r="D10" s="3304">
        <f>F10+16.23*3</f>
        <v>1062.19</v>
      </c>
      <c r="E10" s="3304">
        <f>F10+9*3</f>
        <v>1040.5</v>
      </c>
      <c r="F10" s="3304">
        <v>1013.5</v>
      </c>
      <c r="G10" s="3304">
        <f>23.69+13.84</f>
        <v>37.53</v>
      </c>
      <c r="H10" s="3305">
        <v>19473.87</v>
      </c>
      <c r="I10" s="3305">
        <v>1931.12</v>
      </c>
      <c r="J10" s="3304">
        <v>228</v>
      </c>
      <c r="K10" s="3292">
        <f t="shared" si="0"/>
        <v>21404.989999999998</v>
      </c>
    </row>
    <row r="11" spans="1:15" ht="21.95" customHeight="1">
      <c r="A11" s="3293" t="s">
        <v>3429</v>
      </c>
      <c r="B11" s="3294" t="s">
        <v>923</v>
      </c>
      <c r="C11" s="3294">
        <v>20</v>
      </c>
      <c r="D11" s="3294">
        <f>F6+16.23*3</f>
        <v>1079.78</v>
      </c>
      <c r="E11" s="3294">
        <f>F11+9*3</f>
        <v>1058.0899999999999</v>
      </c>
      <c r="F11" s="3294">
        <v>1031.0899999999999</v>
      </c>
      <c r="G11" s="3295">
        <f>23.96+13.84*3</f>
        <v>65.47999999999999</v>
      </c>
      <c r="H11" s="3296">
        <v>20690.05</v>
      </c>
      <c r="I11" s="3296">
        <v>1948.51</v>
      </c>
      <c r="J11" s="3294">
        <v>240</v>
      </c>
      <c r="K11" s="3292">
        <f t="shared" si="0"/>
        <v>22638.559999999998</v>
      </c>
    </row>
    <row r="12" spans="1:15" ht="21.95" customHeight="1">
      <c r="A12" s="3297" t="s">
        <v>3430</v>
      </c>
      <c r="B12" s="3298" t="s">
        <v>923</v>
      </c>
      <c r="C12" s="3298">
        <v>20</v>
      </c>
      <c r="D12" s="3298">
        <f>F7+16.23*2</f>
        <v>731.12</v>
      </c>
      <c r="E12" s="3298">
        <f>698.66+9*2</f>
        <v>716.66</v>
      </c>
      <c r="F12" s="3298">
        <v>698.66</v>
      </c>
      <c r="G12" s="3298">
        <f>23.96+13.84*2</f>
        <v>51.64</v>
      </c>
      <c r="H12" s="3299">
        <v>14023.32</v>
      </c>
      <c r="I12" s="3299">
        <v>1281.53</v>
      </c>
      <c r="J12" s="3298">
        <v>160</v>
      </c>
      <c r="K12" s="3292">
        <f t="shared" si="0"/>
        <v>15304.85</v>
      </c>
    </row>
    <row r="13" spans="1:15" ht="23.1" customHeight="1">
      <c r="A13" s="3306" t="s">
        <v>3431</v>
      </c>
      <c r="B13" s="3307" t="s">
        <v>3110</v>
      </c>
      <c r="C13" s="3307">
        <v>20</v>
      </c>
      <c r="D13" s="3308">
        <v>1033.68</v>
      </c>
      <c r="E13" s="3308">
        <v>853.7</v>
      </c>
      <c r="F13" s="3308">
        <v>850.57</v>
      </c>
      <c r="G13" s="3308">
        <v>138.58000000000001</v>
      </c>
      <c r="H13" s="3309">
        <f>17281.95-315</f>
        <v>16966.95</v>
      </c>
      <c r="I13" s="3309">
        <v>847.19</v>
      </c>
      <c r="J13" s="3308">
        <v>220</v>
      </c>
      <c r="K13" s="3292">
        <f t="shared" si="0"/>
        <v>17814.14</v>
      </c>
    </row>
    <row r="14" spans="1:15" ht="24" customHeight="1">
      <c r="A14" s="3310" t="s">
        <v>3432</v>
      </c>
      <c r="B14" s="3311" t="s">
        <v>3433</v>
      </c>
      <c r="C14" s="3311">
        <v>2</v>
      </c>
      <c r="D14" s="3311">
        <v>887.12</v>
      </c>
      <c r="E14" s="3311">
        <v>887.12</v>
      </c>
      <c r="F14" s="3311">
        <f>H14-E14</f>
        <v>886.88</v>
      </c>
      <c r="G14" s="3311"/>
      <c r="H14" s="3312">
        <v>1774</v>
      </c>
      <c r="I14" s="3311">
        <v>0</v>
      </c>
      <c r="J14" s="3311"/>
      <c r="K14" s="3292">
        <f t="shared" si="0"/>
        <v>1774</v>
      </c>
    </row>
    <row r="15" spans="1:15" ht="27" customHeight="1">
      <c r="A15" s="3313" t="s">
        <v>3434</v>
      </c>
      <c r="B15" s="3314" t="s">
        <v>3433</v>
      </c>
      <c r="C15" s="3314">
        <v>2</v>
      </c>
      <c r="D15" s="3314">
        <v>212.66</v>
      </c>
      <c r="E15" s="3314">
        <v>212.66</v>
      </c>
      <c r="F15" s="3314">
        <f>H15-E15</f>
        <v>212.89000000000001</v>
      </c>
      <c r="G15" s="3314"/>
      <c r="H15" s="3315">
        <v>425.55</v>
      </c>
      <c r="I15" s="3314">
        <v>0</v>
      </c>
      <c r="J15" s="3314"/>
      <c r="K15" s="3292">
        <f t="shared" si="0"/>
        <v>425.55</v>
      </c>
    </row>
    <row r="16" spans="1:15" ht="24" customHeight="1">
      <c r="A16" s="3316" t="s">
        <v>3435</v>
      </c>
      <c r="B16" s="3316"/>
      <c r="C16" s="3316"/>
      <c r="D16" s="3316"/>
      <c r="E16" s="3316"/>
      <c r="F16" s="3316"/>
      <c r="G16" s="3316"/>
      <c r="H16" s="3316">
        <v>0</v>
      </c>
      <c r="I16" s="3317">
        <v>45377</v>
      </c>
      <c r="J16" s="3316"/>
      <c r="K16" s="3292">
        <f t="shared" si="0"/>
        <v>45377</v>
      </c>
      <c r="M16" s="3189">
        <f>I3+I4+I5+I6+I7+I8+I9+I10+I11+I12+I13</f>
        <v>19487.999999999996</v>
      </c>
      <c r="N16" s="3189" t="s">
        <v>3694</v>
      </c>
    </row>
    <row r="17" spans="1:11" ht="21.95" customHeight="1">
      <c r="A17" s="3288"/>
      <c r="B17" s="3288"/>
      <c r="C17" s="3288"/>
      <c r="D17" s="3288"/>
      <c r="E17" s="3288"/>
      <c r="F17" s="3288"/>
      <c r="G17" s="3288"/>
      <c r="H17" s="3288"/>
      <c r="I17" s="3288"/>
      <c r="J17" s="3288"/>
      <c r="K17" s="3288"/>
    </row>
    <row r="18" spans="1:11" ht="24.95" customHeight="1">
      <c r="J18" s="3189">
        <f>SUM(J3:J17)</f>
        <v>2512</v>
      </c>
    </row>
    <row r="19" spans="1:11" ht="30.95" customHeight="1">
      <c r="G19" s="3291" t="s">
        <v>3436</v>
      </c>
      <c r="H19" s="3291">
        <f>SUM(H3:H18)</f>
        <v>217239.55</v>
      </c>
      <c r="I19" s="3291"/>
    </row>
    <row r="20" spans="1:11" ht="33" customHeight="1">
      <c r="G20" s="3291" t="s">
        <v>3437</v>
      </c>
      <c r="H20" s="3291"/>
      <c r="I20" s="3291">
        <f>SUM(I3:I19)</f>
        <v>64865</v>
      </c>
    </row>
    <row r="21" spans="1:11" ht="32.1" customHeight="1">
      <c r="G21" s="3291" t="s">
        <v>3389</v>
      </c>
      <c r="H21" s="3732">
        <f>H19+I20</f>
        <v>282104.55</v>
      </c>
      <c r="I21" s="3733"/>
    </row>
    <row r="22" spans="1:11">
      <c r="G22" s="3318" t="s">
        <v>3438</v>
      </c>
      <c r="H22" s="3232">
        <v>76036.22</v>
      </c>
      <c r="I22" s="3232"/>
    </row>
  </sheetData>
  <mergeCells count="2">
    <mergeCell ref="A1:K1"/>
    <mergeCell ref="H21:I21"/>
  </mergeCells>
  <phoneticPr fontId="228" type="noConversion"/>
  <pageMargins left="0.70866141732283472" right="0.70866141732283472" top="0.74803149606299213" bottom="0.74803149606299213"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7" t="s">
        <v>2036</v>
      </c>
      <c r="B1" s="3397"/>
      <c r="C1" s="3397"/>
      <c r="D1" s="3397"/>
      <c r="E1" s="3397"/>
      <c r="F1" s="3397"/>
      <c r="G1" s="3397"/>
      <c r="H1" s="3397"/>
      <c r="I1" s="3397"/>
      <c r="J1" s="3397"/>
      <c r="K1" s="3397"/>
      <c r="L1" s="3397"/>
      <c r="M1" s="3397"/>
      <c r="N1" s="3397"/>
      <c r="O1" s="3397"/>
      <c r="P1" s="3397"/>
      <c r="Q1" s="3397"/>
      <c r="R1" s="3397"/>
    </row>
    <row r="2" spans="1:18">
      <c r="A2" s="1789" t="s">
        <v>2038</v>
      </c>
      <c r="B2" s="1789"/>
      <c r="C2" s="1789"/>
      <c r="D2" s="1789"/>
      <c r="E2" s="1789"/>
      <c r="F2" s="1789"/>
      <c r="G2" s="1789"/>
      <c r="H2" s="1789"/>
      <c r="I2" s="1790"/>
      <c r="J2" s="1790"/>
      <c r="K2" s="1791" t="str">
        <f>"估价期日："&amp;TEXT(项目基本情况!D3,"yyyy年m月d日;;")</f>
        <v>估价期日：2019年10月25日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398" t="s">
        <v>2027</v>
      </c>
      <c r="B3" s="3398" t="s">
        <v>2727</v>
      </c>
      <c r="C3" s="3399" t="s">
        <v>2028</v>
      </c>
      <c r="D3" s="3398" t="s">
        <v>2731</v>
      </c>
      <c r="E3" s="3393" t="s">
        <v>2029</v>
      </c>
      <c r="F3" s="3393"/>
      <c r="G3" s="3393"/>
      <c r="H3" s="3393" t="s">
        <v>2030</v>
      </c>
      <c r="I3" s="3393"/>
      <c r="J3" s="3393"/>
      <c r="K3" s="3399" t="s">
        <v>2031</v>
      </c>
      <c r="L3" s="3399" t="s">
        <v>2032</v>
      </c>
      <c r="M3" s="3398" t="s">
        <v>2728</v>
      </c>
      <c r="N3" s="3400" t="str">
        <f>"（分摊）"&amp;项目基本情况!B16&amp;"国有建设用地使用权面积/㎡"</f>
        <v>（分摊）出让国有建设用地使用权面积/㎡</v>
      </c>
      <c r="O3" s="3398" t="s">
        <v>2061</v>
      </c>
      <c r="P3" s="3399" t="s">
        <v>2041</v>
      </c>
      <c r="Q3" s="3399" t="s">
        <v>2062</v>
      </c>
      <c r="R3" s="3399" t="s">
        <v>2033</v>
      </c>
    </row>
    <row r="4" spans="1:18" ht="36.75" customHeight="1">
      <c r="A4" s="3398"/>
      <c r="B4" s="3398"/>
      <c r="C4" s="3399"/>
      <c r="D4" s="3398"/>
      <c r="E4" s="2610" t="s">
        <v>2040</v>
      </c>
      <c r="F4" s="2610" t="s">
        <v>2740</v>
      </c>
      <c r="G4" s="2610" t="s">
        <v>2034</v>
      </c>
      <c r="H4" s="2610" t="s">
        <v>2035</v>
      </c>
      <c r="I4" s="2610" t="s">
        <v>2741</v>
      </c>
      <c r="J4" s="2610" t="s">
        <v>2034</v>
      </c>
      <c r="K4" s="3399"/>
      <c r="L4" s="3399"/>
      <c r="M4" s="3398"/>
      <c r="N4" s="3400"/>
      <c r="O4" s="3398"/>
      <c r="P4" s="3399"/>
      <c r="Q4" s="3399"/>
      <c r="R4" s="3399"/>
    </row>
    <row r="5" spans="1:18" ht="135" customHeight="1">
      <c r="A5" s="1925" t="s">
        <v>2651</v>
      </c>
      <c r="B5" s="2819" t="s">
        <v>2649</v>
      </c>
      <c r="C5" s="2609">
        <v>22</v>
      </c>
      <c r="D5" s="2608" t="s">
        <v>2650</v>
      </c>
      <c r="E5" s="1792" t="str">
        <f>项目基本情况!B12</f>
        <v>城镇住宅用地</v>
      </c>
      <c r="F5" s="2608">
        <v>258</v>
      </c>
      <c r="G5" s="1792" t="str">
        <f>项目基本情况!B13</f>
        <v>住宅</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住宅61.54年、地下车库41.53年</v>
      </c>
      <c r="N5" s="1792">
        <f>项目基本情况!C22</f>
        <v>350568.67</v>
      </c>
      <c r="O5" s="1792">
        <f>项目基本情况!C21</f>
        <v>790993.2</v>
      </c>
      <c r="P5" s="1792">
        <f ca="1">结果表!E42</f>
        <v>5986</v>
      </c>
      <c r="Q5" s="1792">
        <f ca="1">结果表!D42</f>
        <v>2653</v>
      </c>
      <c r="R5" s="1793">
        <f ca="1">结果表!C42</f>
        <v>209867</v>
      </c>
    </row>
    <row r="6" spans="1:18">
      <c r="A6" s="3394" t="str">
        <f>IF(项目基本情况!B9="市场价格","——","抵押价格")</f>
        <v>抵押价格</v>
      </c>
      <c r="B6" s="3395"/>
      <c r="C6" s="3395"/>
      <c r="D6" s="3395"/>
      <c r="E6" s="3395"/>
      <c r="F6" s="3395"/>
      <c r="G6" s="3395"/>
      <c r="H6" s="3395"/>
      <c r="I6" s="3395"/>
      <c r="J6" s="3395"/>
      <c r="K6" s="3395"/>
      <c r="L6" s="3395"/>
      <c r="M6" s="3395"/>
      <c r="N6" s="3395"/>
      <c r="O6" s="3395"/>
      <c r="P6" s="3395"/>
      <c r="Q6" s="3396"/>
      <c r="R6" s="1794">
        <f ca="1">结果表!O39</f>
        <v>209867</v>
      </c>
    </row>
    <row r="7" spans="1:18">
      <c r="A7" s="3394" t="str">
        <f>IF(项目基本情况!B9="市场价格","——",IF(项目基本情况!E8="已注销及未注销","抵押担保权已注销时的抵押价格","——"))</f>
        <v>——</v>
      </c>
      <c r="B7" s="3395"/>
      <c r="C7" s="3395"/>
      <c r="D7" s="3395"/>
      <c r="E7" s="3395"/>
      <c r="F7" s="3395"/>
      <c r="G7" s="3395"/>
      <c r="H7" s="3395"/>
      <c r="I7" s="3395"/>
      <c r="J7" s="3395"/>
      <c r="K7" s="3395"/>
      <c r="L7" s="3395"/>
      <c r="M7" s="3395"/>
      <c r="N7" s="3395"/>
      <c r="O7" s="3395"/>
      <c r="P7" s="3395"/>
      <c r="Q7" s="3396"/>
      <c r="R7" s="1794" t="str">
        <f>结果表!O40</f>
        <v>——</v>
      </c>
    </row>
    <row r="8" spans="1:18">
      <c r="A8" s="3394" t="str">
        <f>IF(项目基本情况!B9="市场价格","——",项目基本情况!E9)</f>
        <v>——</v>
      </c>
      <c r="B8" s="3395"/>
      <c r="C8" s="3395"/>
      <c r="D8" s="3395"/>
      <c r="E8" s="3395"/>
      <c r="F8" s="3395"/>
      <c r="G8" s="3395"/>
      <c r="H8" s="3395"/>
      <c r="I8" s="3395"/>
      <c r="J8" s="3395"/>
      <c r="K8" s="3395"/>
      <c r="L8" s="3395"/>
      <c r="M8" s="3395"/>
      <c r="N8" s="3395"/>
      <c r="O8" s="3395"/>
      <c r="P8" s="3395"/>
      <c r="Q8" s="3396"/>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selection activeCell="K3" sqref="K3"/>
    </sheetView>
  </sheetViews>
  <sheetFormatPr defaultColWidth="9" defaultRowHeight="13.5"/>
  <cols>
    <col min="1" max="1" width="10.375" style="3189" customWidth="1"/>
    <col min="2" max="3" width="9" style="3189"/>
    <col min="4" max="7" width="0" style="3189" hidden="1" customWidth="1"/>
    <col min="8" max="9" width="9" style="3189"/>
    <col min="10" max="10" width="0" style="3189" hidden="1" customWidth="1"/>
    <col min="11" max="11" width="9.5" style="3189" bestFit="1" customWidth="1"/>
    <col min="12" max="16384" width="9" style="3189"/>
  </cols>
  <sheetData>
    <row r="1" spans="1:14" ht="24" customHeight="1">
      <c r="A1" s="3734" t="s">
        <v>3439</v>
      </c>
      <c r="B1" s="3735"/>
      <c r="C1" s="3735"/>
      <c r="D1" s="3735"/>
      <c r="E1" s="3735"/>
      <c r="F1" s="3735"/>
      <c r="G1" s="3735"/>
      <c r="H1" s="3735"/>
      <c r="I1" s="3735"/>
      <c r="J1" s="3735"/>
      <c r="K1" s="3736"/>
    </row>
    <row r="2" spans="1:14" ht="30.95" customHeight="1">
      <c r="A2" s="3288" t="s">
        <v>3161</v>
      </c>
      <c r="B2" s="3288" t="s">
        <v>3416</v>
      </c>
      <c r="C2" s="3288" t="s">
        <v>3417</v>
      </c>
      <c r="D2" s="3288" t="s">
        <v>3418</v>
      </c>
      <c r="E2" s="3288" t="s">
        <v>3419</v>
      </c>
      <c r="F2" s="3288" t="s">
        <v>3420</v>
      </c>
      <c r="G2" s="3288" t="s">
        <v>3421</v>
      </c>
      <c r="H2" s="3288" t="s">
        <v>3398</v>
      </c>
      <c r="I2" s="3288" t="s">
        <v>3391</v>
      </c>
      <c r="J2" s="3288" t="s">
        <v>3394</v>
      </c>
      <c r="K2" s="3288" t="s">
        <v>3440</v>
      </c>
    </row>
    <row r="3" spans="1:14" ht="30" customHeight="1">
      <c r="A3" s="3268" t="s">
        <v>3422</v>
      </c>
      <c r="B3" s="3318" t="s">
        <v>923</v>
      </c>
      <c r="C3" s="3318">
        <v>20</v>
      </c>
      <c r="D3" s="3318">
        <f>F3+16.23*2</f>
        <v>713.11</v>
      </c>
      <c r="E3" s="3318">
        <f>F3+9*2</f>
        <v>698.65</v>
      </c>
      <c r="F3" s="3318">
        <v>680.65</v>
      </c>
      <c r="G3" s="3318">
        <f>23.96+13.84</f>
        <v>37.799999999999997</v>
      </c>
      <c r="H3" s="3268">
        <v>13048.76</v>
      </c>
      <c r="I3" s="3268">
        <v>1325.53</v>
      </c>
      <c r="J3" s="3318">
        <v>152</v>
      </c>
      <c r="K3" s="3292">
        <f>H3+I3</f>
        <v>14374.29</v>
      </c>
    </row>
    <row r="4" spans="1:14" ht="27" customHeight="1">
      <c r="A4" s="3268" t="s">
        <v>3182</v>
      </c>
      <c r="B4" s="3318" t="s">
        <v>923</v>
      </c>
      <c r="C4" s="3318">
        <v>20</v>
      </c>
      <c r="D4" s="3318">
        <f>F4+16.23*2</f>
        <v>713.11</v>
      </c>
      <c r="E4" s="3318">
        <f>F4+9*2</f>
        <v>698.65</v>
      </c>
      <c r="F4" s="3318">
        <v>680.65</v>
      </c>
      <c r="G4" s="3318">
        <f>23.96+13.84</f>
        <v>37.799999999999997</v>
      </c>
      <c r="H4" s="3268">
        <v>13048.76</v>
      </c>
      <c r="I4" s="3268">
        <v>1325.53</v>
      </c>
      <c r="J4" s="3318">
        <v>152</v>
      </c>
      <c r="K4" s="3292">
        <f t="shared" ref="K4:K9" si="0">H4+I4</f>
        <v>14374.29</v>
      </c>
    </row>
    <row r="5" spans="1:14" ht="27" customHeight="1">
      <c r="A5" s="3319" t="s">
        <v>3423</v>
      </c>
      <c r="B5" s="3320" t="s">
        <v>923</v>
      </c>
      <c r="C5" s="3320">
        <v>20</v>
      </c>
      <c r="D5" s="3321">
        <f>F5+16.23*3</f>
        <v>1079.78</v>
      </c>
      <c r="E5" s="3321">
        <f>F5+9*3</f>
        <v>1058.0899999999999</v>
      </c>
      <c r="F5" s="3321">
        <v>1031.0899999999999</v>
      </c>
      <c r="G5" s="3321">
        <f>23.96+13.84*3</f>
        <v>65.47999999999999</v>
      </c>
      <c r="H5" s="3319">
        <v>20690.05</v>
      </c>
      <c r="I5" s="3319">
        <v>2007.7</v>
      </c>
      <c r="J5" s="3320">
        <v>240</v>
      </c>
      <c r="K5" s="3292">
        <f t="shared" si="0"/>
        <v>22697.75</v>
      </c>
    </row>
    <row r="6" spans="1:14" ht="27" customHeight="1">
      <c r="A6" s="3296" t="s">
        <v>3424</v>
      </c>
      <c r="B6" s="3295" t="s">
        <v>923</v>
      </c>
      <c r="C6" s="3295">
        <v>20</v>
      </c>
      <c r="D6" s="3295">
        <f>F6+16.23*2</f>
        <v>731.12</v>
      </c>
      <c r="E6" s="3295">
        <f>F6+9*2</f>
        <v>716.66</v>
      </c>
      <c r="F6" s="3295">
        <v>698.66</v>
      </c>
      <c r="G6" s="3295">
        <f>23.96+13.84*2</f>
        <v>51.64</v>
      </c>
      <c r="H6" s="3296">
        <v>14023.31</v>
      </c>
      <c r="I6" s="3296">
        <v>1373.79</v>
      </c>
      <c r="J6" s="3295">
        <v>160</v>
      </c>
      <c r="K6" s="3292">
        <f t="shared" si="0"/>
        <v>15397.099999999999</v>
      </c>
    </row>
    <row r="7" spans="1:14" ht="27" customHeight="1">
      <c r="A7" s="3296" t="s">
        <v>3425</v>
      </c>
      <c r="B7" s="3295" t="s">
        <v>923</v>
      </c>
      <c r="C7" s="3295">
        <v>20</v>
      </c>
      <c r="D7" s="3295">
        <f>F7+16.23*2</f>
        <v>731.12</v>
      </c>
      <c r="E7" s="3295">
        <f>F7+9*2</f>
        <v>716.66</v>
      </c>
      <c r="F7" s="3295">
        <v>698.66</v>
      </c>
      <c r="G7" s="3295">
        <f>23.96+13.84*2</f>
        <v>51.64</v>
      </c>
      <c r="H7" s="3296">
        <v>14023.31</v>
      </c>
      <c r="I7" s="3296">
        <v>1373.79</v>
      </c>
      <c r="J7" s="3295">
        <v>160</v>
      </c>
      <c r="K7" s="3292">
        <f t="shared" si="0"/>
        <v>15397.099999999999</v>
      </c>
    </row>
    <row r="8" spans="1:14" ht="27" customHeight="1">
      <c r="A8" s="3322" t="s">
        <v>3426</v>
      </c>
      <c r="B8" s="3323" t="s">
        <v>923</v>
      </c>
      <c r="C8" s="3323">
        <v>20</v>
      </c>
      <c r="D8" s="3324">
        <f>F8+16.23*3</f>
        <v>1070.82</v>
      </c>
      <c r="E8" s="3324">
        <f>F8+9*3</f>
        <v>1049.1300000000001</v>
      </c>
      <c r="F8" s="3324">
        <v>1022.13</v>
      </c>
      <c r="G8" s="3324">
        <f>23.96+13.84+70</f>
        <v>107.8</v>
      </c>
      <c r="H8" s="3322">
        <v>19637.05</v>
      </c>
      <c r="I8" s="3322">
        <v>2020.13</v>
      </c>
      <c r="J8" s="3323">
        <v>228</v>
      </c>
      <c r="K8" s="3292">
        <f t="shared" si="0"/>
        <v>21657.18</v>
      </c>
    </row>
    <row r="9" spans="1:14" ht="30" customHeight="1">
      <c r="A9" s="3268" t="s">
        <v>3427</v>
      </c>
      <c r="B9" s="3318" t="s">
        <v>923</v>
      </c>
      <c r="C9" s="3318">
        <v>20</v>
      </c>
      <c r="D9" s="3318">
        <f>F9+16.23*2</f>
        <v>713.11</v>
      </c>
      <c r="E9" s="3318">
        <f>F9+9*2</f>
        <v>698.65</v>
      </c>
      <c r="F9" s="3318">
        <v>680.65</v>
      </c>
      <c r="G9" s="3318">
        <f>23.96+13.84</f>
        <v>37.799999999999997</v>
      </c>
      <c r="H9" s="3268">
        <v>13048.76</v>
      </c>
      <c r="I9" s="3268">
        <v>1325.53</v>
      </c>
      <c r="J9" s="3318">
        <v>152</v>
      </c>
      <c r="K9" s="3292">
        <f t="shared" si="0"/>
        <v>14374.29</v>
      </c>
    </row>
    <row r="10" spans="1:14" ht="29.1" customHeight="1">
      <c r="A10" s="3325" t="s">
        <v>3435</v>
      </c>
      <c r="B10" s="3311"/>
      <c r="C10" s="3311"/>
      <c r="D10" s="3311"/>
      <c r="E10" s="3311"/>
      <c r="F10" s="3311"/>
      <c r="G10" s="3311"/>
      <c r="H10" s="3311">
        <v>0</v>
      </c>
      <c r="I10" s="3326">
        <v>18123</v>
      </c>
      <c r="J10" s="3311"/>
      <c r="K10" s="3292">
        <f>H10+I10</f>
        <v>18123</v>
      </c>
      <c r="M10" s="3189">
        <f>I3+I4+I5+I6+I7+I8+I9</f>
        <v>10752.000000000002</v>
      </c>
      <c r="N10" s="3189" t="s">
        <v>3694</v>
      </c>
    </row>
    <row r="11" spans="1:14" ht="27" customHeight="1">
      <c r="J11" s="3189">
        <f>SUM(J3:J10)</f>
        <v>1244</v>
      </c>
    </row>
    <row r="12" spans="1:14" ht="30.95" customHeight="1">
      <c r="G12" s="3291" t="s">
        <v>3436</v>
      </c>
      <c r="H12" s="3291">
        <f>SUM(H3:H11)</f>
        <v>107520</v>
      </c>
      <c r="I12" s="3291"/>
    </row>
    <row r="13" spans="1:14" ht="37.5" customHeight="1">
      <c r="G13" s="3318" t="s">
        <v>3441</v>
      </c>
      <c r="H13" s="3318"/>
      <c r="I13" s="3318">
        <f>SUM(I3:I12)</f>
        <v>28875</v>
      </c>
      <c r="K13" s="3327"/>
      <c r="L13" s="3209"/>
    </row>
    <row r="14" spans="1:14" ht="30" customHeight="1">
      <c r="G14" s="3318" t="s">
        <v>3389</v>
      </c>
      <c r="H14" s="3737">
        <f>H12+I13</f>
        <v>136395</v>
      </c>
      <c r="I14" s="3737"/>
    </row>
    <row r="15" spans="1:14" ht="26.25" customHeight="1">
      <c r="G15" s="3318" t="s">
        <v>3442</v>
      </c>
      <c r="H15" s="3232">
        <v>47053.67</v>
      </c>
      <c r="I15" s="3232"/>
    </row>
  </sheetData>
  <mergeCells count="2">
    <mergeCell ref="A1:K1"/>
    <mergeCell ref="H14:I14"/>
  </mergeCells>
  <phoneticPr fontId="228" type="noConversion"/>
  <pageMargins left="0.70866141732283472" right="0.70866141732283472"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G40" workbookViewId="0">
      <selection activeCell="V50" sqref="V50"/>
    </sheetView>
  </sheetViews>
  <sheetFormatPr defaultRowHeight="13.5"/>
  <cols>
    <col min="1" max="1" width="24.375" customWidth="1"/>
    <col min="2" max="2" width="8" customWidth="1"/>
    <col min="4" max="4" width="10.75" customWidth="1"/>
    <col min="22" max="22" width="12" customWidth="1"/>
  </cols>
  <sheetData>
    <row r="1" spans="1:5">
      <c r="A1" s="3362"/>
      <c r="B1" s="3362" t="s">
        <v>3623</v>
      </c>
      <c r="C1" s="3362" t="s">
        <v>3624</v>
      </c>
      <c r="D1" s="3362" t="s">
        <v>3625</v>
      </c>
      <c r="E1" s="3362" t="s">
        <v>3626</v>
      </c>
    </row>
    <row r="2" spans="1:5">
      <c r="A2" s="3362" t="s">
        <v>3621</v>
      </c>
      <c r="B2">
        <v>11500</v>
      </c>
      <c r="C2" s="3362"/>
    </row>
    <row r="3" spans="1:5">
      <c r="A3" s="3362" t="s">
        <v>3627</v>
      </c>
      <c r="B3">
        <v>17000</v>
      </c>
      <c r="D3" s="3362" t="s">
        <v>3628</v>
      </c>
    </row>
    <row r="4" spans="1:5">
      <c r="A4" s="3362" t="s">
        <v>3629</v>
      </c>
      <c r="B4">
        <v>9500</v>
      </c>
      <c r="C4">
        <v>9700</v>
      </c>
    </row>
    <row r="5" spans="1:5">
      <c r="A5" s="3362" t="s">
        <v>3630</v>
      </c>
      <c r="B5">
        <v>9500</v>
      </c>
      <c r="C5">
        <v>9700</v>
      </c>
    </row>
    <row r="44" spans="4:22" ht="14.25" thickBot="1"/>
    <row r="45" spans="4:22" ht="26.25" thickBot="1">
      <c r="D45" s="3738" t="s">
        <v>2027</v>
      </c>
      <c r="E45" s="3738" t="s">
        <v>3696</v>
      </c>
      <c r="F45" s="3738" t="s">
        <v>2028</v>
      </c>
      <c r="G45" s="3738" t="s">
        <v>3697</v>
      </c>
      <c r="H45" s="3743" t="s">
        <v>2029</v>
      </c>
      <c r="I45" s="3744"/>
      <c r="J45" s="3745"/>
      <c r="K45" s="3743" t="s">
        <v>2030</v>
      </c>
      <c r="L45" s="3744"/>
      <c r="M45" s="3745"/>
      <c r="N45" s="3738" t="s">
        <v>2031</v>
      </c>
      <c r="O45" s="3738" t="s">
        <v>2032</v>
      </c>
      <c r="P45" s="3738" t="s">
        <v>3698</v>
      </c>
      <c r="Q45" s="3738" t="s">
        <v>3699</v>
      </c>
      <c r="R45" s="3738" t="s">
        <v>3700</v>
      </c>
      <c r="S45" s="3379" t="s">
        <v>3701</v>
      </c>
      <c r="T45" s="3738" t="s">
        <v>3703</v>
      </c>
      <c r="U45" s="3738" t="s">
        <v>3704</v>
      </c>
    </row>
    <row r="46" spans="4:22" ht="14.25" thickBot="1">
      <c r="D46" s="3739"/>
      <c r="E46" s="3739"/>
      <c r="F46" s="3739"/>
      <c r="G46" s="3739"/>
      <c r="H46" s="3380" t="s">
        <v>3705</v>
      </c>
      <c r="I46" s="3380" t="s">
        <v>3706</v>
      </c>
      <c r="J46" s="3380" t="s">
        <v>2034</v>
      </c>
      <c r="K46" s="3380" t="s">
        <v>2035</v>
      </c>
      <c r="L46" s="3380" t="s">
        <v>3706</v>
      </c>
      <c r="M46" s="3380" t="s">
        <v>2034</v>
      </c>
      <c r="N46" s="3739"/>
      <c r="O46" s="3739"/>
      <c r="P46" s="3739"/>
      <c r="Q46" s="3739"/>
      <c r="R46" s="3739"/>
      <c r="S46" s="3380" t="s">
        <v>3702</v>
      </c>
      <c r="T46" s="3739"/>
      <c r="U46" s="3739"/>
    </row>
    <row r="47" spans="4:22" ht="115.5" thickBot="1">
      <c r="D47" s="3381" t="s">
        <v>3707</v>
      </c>
      <c r="E47" s="3382" t="s">
        <v>3708</v>
      </c>
      <c r="F47" s="3383" t="s">
        <v>3709</v>
      </c>
      <c r="G47" s="3380" t="s">
        <v>3710</v>
      </c>
      <c r="H47" s="3380" t="s">
        <v>3711</v>
      </c>
      <c r="I47" s="3380" t="s">
        <v>952</v>
      </c>
      <c r="J47" s="3380" t="s">
        <v>3712</v>
      </c>
      <c r="K47" s="3380" t="s">
        <v>3713</v>
      </c>
      <c r="L47" s="3380" t="s">
        <v>952</v>
      </c>
      <c r="M47" s="3382">
        <v>1.4</v>
      </c>
      <c r="N47" s="3380" t="s">
        <v>3714</v>
      </c>
      <c r="O47" s="3380" t="s">
        <v>3714</v>
      </c>
      <c r="P47" s="3380" t="s">
        <v>3715</v>
      </c>
      <c r="Q47" s="3382">
        <v>350568.68</v>
      </c>
      <c r="R47" s="3382">
        <v>790996.15</v>
      </c>
      <c r="S47" s="3382">
        <v>5514</v>
      </c>
      <c r="T47" s="3382">
        <v>2444</v>
      </c>
      <c r="U47" s="3382">
        <v>193301</v>
      </c>
      <c r="V47">
        <v>790993.2</v>
      </c>
    </row>
    <row r="48" spans="4:22" ht="115.5" thickBot="1">
      <c r="D48" s="3381" t="s">
        <v>3716</v>
      </c>
      <c r="E48" s="3382" t="s">
        <v>3717</v>
      </c>
      <c r="F48" s="3383" t="s">
        <v>3718</v>
      </c>
      <c r="G48" s="3380" t="s">
        <v>3719</v>
      </c>
      <c r="H48" s="3380" t="s">
        <v>3711</v>
      </c>
      <c r="I48" s="3380" t="s">
        <v>952</v>
      </c>
      <c r="J48" s="3380" t="s">
        <v>3720</v>
      </c>
      <c r="K48" s="3380" t="s">
        <v>3713</v>
      </c>
      <c r="L48" s="3380" t="s">
        <v>952</v>
      </c>
      <c r="M48" s="3382">
        <v>3.11</v>
      </c>
      <c r="N48" s="3380" t="s">
        <v>3714</v>
      </c>
      <c r="O48" s="3380" t="s">
        <v>3714</v>
      </c>
      <c r="P48" s="3380" t="s">
        <v>3721</v>
      </c>
      <c r="Q48" s="3382">
        <v>69929.009999999995</v>
      </c>
      <c r="R48" s="3382">
        <v>282104.55</v>
      </c>
      <c r="S48" s="3382">
        <v>10155</v>
      </c>
      <c r="T48" s="3382">
        <v>2517</v>
      </c>
      <c r="U48" s="3384">
        <v>71014</v>
      </c>
      <c r="V48">
        <v>282104.55</v>
      </c>
    </row>
    <row r="49" spans="4:22" ht="102.75" thickBot="1">
      <c r="D49" s="3381" t="s">
        <v>3716</v>
      </c>
      <c r="E49" s="3382" t="s">
        <v>3722</v>
      </c>
      <c r="F49" s="3383" t="s">
        <v>3723</v>
      </c>
      <c r="G49" s="3380" t="s">
        <v>3724</v>
      </c>
      <c r="H49" s="3380" t="s">
        <v>3711</v>
      </c>
      <c r="I49" s="3380" t="s">
        <v>952</v>
      </c>
      <c r="J49" s="3380" t="s">
        <v>3712</v>
      </c>
      <c r="K49" s="3380" t="s">
        <v>3713</v>
      </c>
      <c r="L49" s="3380" t="s">
        <v>952</v>
      </c>
      <c r="M49" s="3382">
        <v>2.2000000000000002</v>
      </c>
      <c r="N49" s="3380" t="s">
        <v>3714</v>
      </c>
      <c r="O49" s="3380" t="s">
        <v>3714</v>
      </c>
      <c r="P49" s="3380" t="s">
        <v>3725</v>
      </c>
      <c r="Q49" s="3382">
        <v>48937.52</v>
      </c>
      <c r="R49" s="3382">
        <v>120997.9</v>
      </c>
      <c r="S49" s="3382">
        <v>7329</v>
      </c>
      <c r="T49" s="3382">
        <v>2629</v>
      </c>
      <c r="U49" s="3384">
        <v>35864</v>
      </c>
      <c r="V49">
        <v>136395</v>
      </c>
    </row>
    <row r="50" spans="4:22" ht="14.25" thickBot="1">
      <c r="D50" s="3740" t="s">
        <v>24</v>
      </c>
      <c r="E50" s="3741"/>
      <c r="F50" s="3741"/>
      <c r="G50" s="3741"/>
      <c r="H50" s="3741"/>
      <c r="I50" s="3741"/>
      <c r="J50" s="3741"/>
      <c r="K50" s="3741"/>
      <c r="L50" s="3741"/>
      <c r="M50" s="3741"/>
      <c r="N50" s="3741"/>
      <c r="O50" s="3741"/>
      <c r="P50" s="3742"/>
      <c r="Q50" s="3382">
        <v>469435.2</v>
      </c>
      <c r="R50" s="3382">
        <v>1194098.6000000001</v>
      </c>
      <c r="S50" s="3380" t="s">
        <v>952</v>
      </c>
      <c r="T50" s="3380" t="s">
        <v>952</v>
      </c>
      <c r="U50" s="3382">
        <v>300179</v>
      </c>
      <c r="V50">
        <f>SUM(V47:V49)</f>
        <v>1209492.75</v>
      </c>
    </row>
    <row r="51" spans="4:22" ht="14.25" thickBot="1">
      <c r="D51" s="3743" t="s">
        <v>2989</v>
      </c>
      <c r="E51" s="3744"/>
      <c r="F51" s="3744"/>
      <c r="G51" s="3744"/>
      <c r="H51" s="3744"/>
      <c r="I51" s="3744"/>
      <c r="J51" s="3744"/>
      <c r="K51" s="3744"/>
      <c r="L51" s="3744"/>
      <c r="M51" s="3744"/>
      <c r="N51" s="3744"/>
      <c r="O51" s="3744"/>
      <c r="P51" s="3744"/>
      <c r="Q51" s="3744"/>
      <c r="R51" s="3744"/>
      <c r="S51" s="3744"/>
      <c r="T51" s="3745"/>
      <c r="U51" s="3382">
        <v>300179</v>
      </c>
    </row>
    <row r="52" spans="4:22">
      <c r="D52" s="3746" t="s">
        <v>3726</v>
      </c>
      <c r="E52" s="3746"/>
      <c r="F52" s="3746"/>
      <c r="G52" s="3746"/>
      <c r="H52" s="3746"/>
      <c r="I52" s="3746"/>
      <c r="J52" s="3746"/>
      <c r="K52" s="3746"/>
      <c r="L52" s="3746"/>
      <c r="M52" s="3746"/>
      <c r="N52" s="3746"/>
      <c r="O52" s="3746"/>
      <c r="P52" s="3746"/>
      <c r="Q52" s="3746"/>
      <c r="R52" s="3746"/>
      <c r="S52" s="3746"/>
      <c r="T52" s="3746"/>
      <c r="U52" s="3746"/>
    </row>
    <row r="53" spans="4:22">
      <c r="Q53">
        <f>Q47+Q48+Q49</f>
        <v>469435.21</v>
      </c>
      <c r="R53">
        <f>R47+R48+R49</f>
        <v>1194098.5999999999</v>
      </c>
    </row>
  </sheetData>
  <mergeCells count="16">
    <mergeCell ref="U45:U46"/>
    <mergeCell ref="D50:P50"/>
    <mergeCell ref="D51:T51"/>
    <mergeCell ref="D52:U52"/>
    <mergeCell ref="N45:N46"/>
    <mergeCell ref="O45:O46"/>
    <mergeCell ref="P45:P46"/>
    <mergeCell ref="Q45:Q46"/>
    <mergeCell ref="R45:R46"/>
    <mergeCell ref="T45:T46"/>
    <mergeCell ref="D45:D46"/>
    <mergeCell ref="E45:E46"/>
    <mergeCell ref="F45:F46"/>
    <mergeCell ref="G45:G46"/>
    <mergeCell ref="H45:J45"/>
    <mergeCell ref="K45:M45"/>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G11"/>
  <sheetViews>
    <sheetView workbookViewId="0">
      <selection activeCell="G12" sqref="G12"/>
    </sheetView>
  </sheetViews>
  <sheetFormatPr defaultRowHeight="13.5"/>
  <cols>
    <col min="4" max="4" width="11.125" customWidth="1"/>
    <col min="6" max="6" width="10.5" bestFit="1" customWidth="1"/>
    <col min="7" max="7" width="10.875" customWidth="1"/>
  </cols>
  <sheetData>
    <row r="3" spans="4:7" ht="14.25" thickBot="1"/>
    <row r="4" spans="4:7" ht="14.25" thickBot="1">
      <c r="D4" s="3387">
        <v>67346</v>
      </c>
      <c r="E4">
        <f ca="1">结果表!C34</f>
        <v>5986</v>
      </c>
      <c r="F4">
        <f ca="1">ROUND(D4*E4/10000,0)</f>
        <v>40313</v>
      </c>
    </row>
    <row r="5" spans="4:7" ht="14.25" thickBot="1">
      <c r="D5" s="3388">
        <v>66667</v>
      </c>
      <c r="E5">
        <f ca="1">E4</f>
        <v>5986</v>
      </c>
      <c r="F5">
        <f t="shared" ref="F5:F8" ca="1" si="0">ROUND(D5*E5/10000,0)</f>
        <v>39907</v>
      </c>
    </row>
    <row r="6" spans="4:7" ht="14.25" thickBot="1">
      <c r="D6" s="3388">
        <v>50581.71</v>
      </c>
      <c r="E6">
        <f ca="1">E4</f>
        <v>5986</v>
      </c>
      <c r="F6">
        <f t="shared" ca="1" si="0"/>
        <v>30278</v>
      </c>
    </row>
    <row r="7" spans="4:7" ht="14.25" thickBot="1">
      <c r="D7" s="3388">
        <v>48901.48</v>
      </c>
      <c r="E7">
        <f ca="1">E4</f>
        <v>5986</v>
      </c>
      <c r="F7">
        <f t="shared" ca="1" si="0"/>
        <v>29272</v>
      </c>
    </row>
    <row r="8" spans="4:7" ht="14.25" thickBot="1">
      <c r="D8" s="3388">
        <v>50721.48</v>
      </c>
      <c r="E8">
        <f ca="1">E4</f>
        <v>5986</v>
      </c>
      <c r="F8">
        <f t="shared" ca="1" si="0"/>
        <v>30362</v>
      </c>
    </row>
    <row r="9" spans="4:7">
      <c r="F9">
        <f ca="1">SUM(F4:F8)</f>
        <v>170132</v>
      </c>
    </row>
    <row r="10" spans="4:7">
      <c r="D10" s="3391">
        <v>66351</v>
      </c>
      <c r="E10">
        <v>5986</v>
      </c>
      <c r="F10">
        <f>ROUND(D10*E10/10000,0)</f>
        <v>39718</v>
      </c>
      <c r="G10">
        <f>ROUND(D10/D11*'数据-基础表'!B3,2)</f>
        <v>149708.73000000001</v>
      </c>
    </row>
    <row r="11" spans="4:7">
      <c r="D11">
        <f>SUM(D4:D10)</f>
        <v>350568.67</v>
      </c>
      <c r="F11">
        <f ca="1">F9+F10</f>
        <v>209850</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401" t="s">
        <v>2063</v>
      </c>
      <c r="B1" s="3401"/>
      <c r="C1" s="3401"/>
      <c r="D1" s="3401"/>
    </row>
    <row r="2" spans="1:4" ht="47.25" customHeight="1">
      <c r="A2" s="3405" t="str">
        <f>"1.权利限制："&amp;项目基本情况!L24&amp;"未设定租赁等其他他项权利。"</f>
        <v>1.权利限制：根据估价对象————、《国有土地使用权》复印件，截至估价期日，估价对象抵押权未见登记。未设定租赁等其他他项权利。</v>
      </c>
      <c r="B2" s="3405"/>
      <c r="C2" s="3405"/>
      <c r="D2" s="3405"/>
    </row>
    <row r="3" spans="1:4" ht="48" customHeight="1">
      <c r="A3" s="34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01"/>
      <c r="C3" s="3401"/>
      <c r="D3" s="3401"/>
    </row>
    <row r="4" spans="1:4" ht="36.75" customHeight="1">
      <c r="A4" s="3401" t="str">
        <f>"3.估价规划限制条件：详见"&amp;项目基本情况!E21&amp;"。"</f>
        <v>3.估价规划限制条件：详见《建设工程规划许可证》[]、《出让合同》[]。</v>
      </c>
      <c r="B4" s="3401"/>
      <c r="C4" s="3401"/>
      <c r="D4" s="3401"/>
    </row>
    <row r="5" spans="1:4">
      <c r="A5" s="3404" t="s">
        <v>2064</v>
      </c>
      <c r="B5" s="3404"/>
      <c r="C5" s="3404"/>
      <c r="D5" s="3404"/>
    </row>
    <row r="6" spans="1:4">
      <c r="A6" s="3401" t="s">
        <v>2042</v>
      </c>
      <c r="B6" s="3401"/>
      <c r="C6" s="3401"/>
      <c r="D6" s="3401"/>
    </row>
    <row r="7" spans="1:4" ht="33" customHeight="1">
      <c r="A7" s="3401" t="s">
        <v>2572</v>
      </c>
      <c r="B7" s="3401"/>
      <c r="C7" s="3401"/>
      <c r="D7" s="3401"/>
    </row>
    <row r="8" spans="1:4" ht="32.25" customHeight="1">
      <c r="A8" s="34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1"/>
      <c r="C8" s="3401"/>
      <c r="D8" s="3401"/>
    </row>
    <row r="9" spans="1:4" ht="33.75" customHeight="1">
      <c r="A9" s="34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1"/>
      <c r="C9" s="3401"/>
      <c r="D9" s="3401"/>
    </row>
    <row r="10" spans="1:4">
      <c r="A10" s="3401" t="str">
        <f>IF(项目基本情况!B8="抵押","4.估价师所知悉的法定优先受偿款情况为：","——")</f>
        <v>4.估价师所知悉的法定优先受偿款情况为：</v>
      </c>
      <c r="B10" s="3401"/>
      <c r="C10" s="3401"/>
      <c r="D10" s="3401"/>
    </row>
    <row r="11" spans="1:4" ht="37.5" customHeight="1">
      <c r="A11" s="3403" t="str">
        <f>IF(项目基本情况!B8="抵押","（1）"&amp;CONCATENATE(项目基本情况!L24,项目基本情况!L25,项目基本情况!L26),"——")</f>
        <v>（1）根据估价对象————、《国有土地使用权》复印件，截至估价期日，估价对象抵押权未见登记。</v>
      </c>
      <c r="B11" s="3403"/>
      <c r="C11" s="3403"/>
      <c r="D11" s="3403"/>
    </row>
    <row r="12" spans="1:4" ht="168" customHeight="1">
      <c r="A12" s="3404" t="s">
        <v>2066</v>
      </c>
      <c r="B12" s="3404"/>
      <c r="C12" s="3404"/>
      <c r="D12" s="3404"/>
    </row>
    <row r="13" spans="1:4">
      <c r="A13" s="3402" t="s">
        <v>2742</v>
      </c>
      <c r="B13" s="3402"/>
      <c r="C13" s="3402"/>
      <c r="D13" s="3402"/>
    </row>
    <row r="14" spans="1:4">
      <c r="A14" s="3403" t="str">
        <f>IF(项目基本情况!B8="抵押","综上，"&amp;结果表!K47,"——")</f>
        <v>综上，本次评估不存在估价师知悉的法定优先受偿款</v>
      </c>
      <c r="B14" s="3403"/>
      <c r="C14" s="3403"/>
      <c r="D14" s="3403"/>
    </row>
    <row r="15" spans="1:4" ht="58.5" customHeight="1">
      <c r="A15" s="34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1"/>
      <c r="C15" s="3401"/>
      <c r="D15" s="3401"/>
    </row>
    <row r="16" spans="1:4" ht="70.5" customHeight="1">
      <c r="A16" s="34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1"/>
      <c r="C16" s="3401"/>
      <c r="D16" s="3401"/>
    </row>
    <row r="17" spans="1:4">
      <c r="A17" s="3401" t="s">
        <v>2698</v>
      </c>
      <c r="B17" s="3401"/>
      <c r="C17" s="3401"/>
      <c r="D17" s="3401"/>
    </row>
    <row r="18" spans="1:4">
      <c r="A18" s="3401" t="s">
        <v>2690</v>
      </c>
      <c r="B18" s="3401"/>
      <c r="C18" s="3401"/>
      <c r="D18" s="3401"/>
    </row>
    <row r="19" spans="1:4">
      <c r="A19" s="2820" t="s">
        <v>2691</v>
      </c>
      <c r="B19" s="2820" t="s">
        <v>2692</v>
      </c>
      <c r="C19" s="2820" t="s">
        <v>2693</v>
      </c>
      <c r="D19" s="2820" t="s">
        <v>2694</v>
      </c>
    </row>
    <row r="20" spans="1:4">
      <c r="A20" s="2820" t="str">
        <f>项目基本情况!B4</f>
        <v>吴薇</v>
      </c>
      <c r="B20" s="2820">
        <f ca="1">项目基本情况!C4</f>
        <v>2002110125</v>
      </c>
      <c r="C20" s="2822"/>
      <c r="D20" s="1782" t="s">
        <v>2699</v>
      </c>
    </row>
    <row r="21" spans="1:4">
      <c r="A21" s="2820" t="str">
        <f>项目基本情况!D4</f>
        <v>郑燚</v>
      </c>
      <c r="B21" s="2820">
        <f ca="1">项目基本情况!E4</f>
        <v>2014110011</v>
      </c>
      <c r="C21" s="2822"/>
      <c r="D21" s="1782" t="s">
        <v>2700</v>
      </c>
    </row>
    <row r="23" spans="1:4">
      <c r="A23" s="3401" t="s">
        <v>2695</v>
      </c>
      <c r="B23" s="3401"/>
      <c r="C23" s="3401"/>
      <c r="D23" s="3401"/>
    </row>
    <row r="24" spans="1:4">
      <c r="A24" s="2820" t="s">
        <v>2691</v>
      </c>
      <c r="B24" s="2820" t="s">
        <v>2696</v>
      </c>
      <c r="C24" s="2820" t="s">
        <v>2693</v>
      </c>
      <c r="D24" s="2820" t="s">
        <v>2694</v>
      </c>
    </row>
    <row r="25" spans="1:4">
      <c r="A25" s="2823" t="s">
        <v>2697</v>
      </c>
      <c r="B25" s="2820" t="s">
        <v>952</v>
      </c>
      <c r="C25" s="2822"/>
      <c r="D25" s="1782" t="s">
        <v>2700</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413" t="s">
        <v>53</v>
      </c>
      <c r="B15" s="3414" t="s">
        <v>846</v>
      </c>
      <c r="C15" s="3410"/>
    </row>
    <row r="16" spans="1:7" ht="14.25">
      <c r="A16" s="3413"/>
      <c r="B16" s="3411" t="s">
        <v>54</v>
      </c>
      <c r="C16" s="1167" t="s">
        <v>53</v>
      </c>
    </row>
    <row r="17" spans="1:3" ht="14.25">
      <c r="A17" s="3413"/>
      <c r="B17" s="3411"/>
      <c r="C17" s="1167" t="s">
        <v>55</v>
      </c>
    </row>
    <row r="18" spans="1:3" ht="14.25">
      <c r="A18" s="3413"/>
      <c r="B18" s="3411"/>
      <c r="C18" s="1167" t="s">
        <v>56</v>
      </c>
    </row>
    <row r="19" spans="1:3" ht="14.25">
      <c r="A19" s="3413"/>
      <c r="B19" s="3409" t="s">
        <v>57</v>
      </c>
      <c r="C19" s="3410"/>
    </row>
    <row r="20" spans="1:3" ht="14.25">
      <c r="A20" s="1168" t="s">
        <v>58</v>
      </c>
      <c r="B20" s="1169"/>
      <c r="C20" s="1170"/>
    </row>
    <row r="21" spans="1:3" ht="14.25">
      <c r="A21" s="3412" t="s">
        <v>59</v>
      </c>
      <c r="B21" s="3409" t="s">
        <v>60</v>
      </c>
      <c r="C21" s="3410"/>
    </row>
    <row r="22" spans="1:3" ht="14.25">
      <c r="A22" s="3412"/>
      <c r="B22" s="3409" t="s">
        <v>61</v>
      </c>
      <c r="C22" s="3410"/>
    </row>
    <row r="23" spans="1:3" ht="14.25">
      <c r="A23" s="3412"/>
      <c r="B23" s="3409" t="s">
        <v>62</v>
      </c>
      <c r="C23" s="3410"/>
    </row>
    <row r="24" spans="1:3" ht="14.25">
      <c r="A24" s="3412"/>
      <c r="B24" s="3415" t="s">
        <v>63</v>
      </c>
      <c r="C24" s="1171" t="s">
        <v>837</v>
      </c>
    </row>
    <row r="25" spans="1:3" ht="14.25">
      <c r="A25" s="3412"/>
      <c r="B25" s="3416"/>
      <c r="C25" s="1171" t="s">
        <v>838</v>
      </c>
    </row>
    <row r="26" spans="1:3" ht="14.25">
      <c r="A26" s="3412"/>
      <c r="B26" s="3416"/>
      <c r="C26" s="1171" t="s">
        <v>839</v>
      </c>
    </row>
    <row r="27" spans="1:3" ht="14.25">
      <c r="A27" s="3412"/>
      <c r="B27" s="3416"/>
      <c r="C27" s="1171" t="s">
        <v>840</v>
      </c>
    </row>
    <row r="28" spans="1:3" ht="14.25">
      <c r="A28" s="3412"/>
      <c r="B28" s="3416"/>
      <c r="C28" s="1171" t="s">
        <v>841</v>
      </c>
    </row>
    <row r="29" spans="1:3" ht="14.25">
      <c r="A29" s="3412"/>
      <c r="B29" s="3416"/>
      <c r="C29" s="1171" t="s">
        <v>842</v>
      </c>
    </row>
    <row r="30" spans="1:3" ht="14.25">
      <c r="A30" s="3412"/>
      <c r="B30" s="3416"/>
      <c r="C30" s="1171" t="s">
        <v>843</v>
      </c>
    </row>
    <row r="31" spans="1:3" ht="14.25">
      <c r="A31" s="3412"/>
      <c r="B31" s="3416"/>
      <c r="C31" s="1171" t="s">
        <v>844</v>
      </c>
    </row>
    <row r="32" spans="1:3" ht="14.25">
      <c r="A32" s="3412"/>
      <c r="B32" s="3416"/>
      <c r="C32" s="1171" t="s">
        <v>1646</v>
      </c>
    </row>
    <row r="33" spans="1:3" ht="14.25">
      <c r="A33" s="3412"/>
      <c r="B33" s="3406" t="s">
        <v>1652</v>
      </c>
      <c r="C33" s="1171" t="s">
        <v>1647</v>
      </c>
    </row>
    <row r="34" spans="1:3" ht="14.25">
      <c r="A34" s="3412"/>
      <c r="B34" s="3407"/>
      <c r="C34" s="1176" t="s">
        <v>1648</v>
      </c>
    </row>
    <row r="35" spans="1:3" ht="14.25">
      <c r="A35" s="3412"/>
      <c r="B35" s="3407"/>
      <c r="C35" s="1177" t="s">
        <v>1649</v>
      </c>
    </row>
    <row r="36" spans="1:3" ht="14.25">
      <c r="A36" s="3412"/>
      <c r="B36" s="3407"/>
      <c r="C36" s="1177" t="s">
        <v>1650</v>
      </c>
    </row>
    <row r="37" spans="1:3" ht="14.25">
      <c r="A37" s="3412"/>
      <c r="B37" s="340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43769</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2974</v>
      </c>
      <c r="B14" s="3127">
        <f ca="1">IF(C14&lt;B2,"已过期",1120040230)</f>
        <v>1120040230</v>
      </c>
      <c r="C14" s="3131">
        <v>43835</v>
      </c>
      <c r="D14" s="3132" t="s">
        <v>2975</v>
      </c>
      <c r="E14" s="3127">
        <f ca="1">IF(F14&lt;B2,"已过期",98030020)</f>
        <v>98030020</v>
      </c>
      <c r="F14" s="3130">
        <v>47118</v>
      </c>
    </row>
    <row r="15" spans="1:6" ht="20.25" customHeight="1">
      <c r="A15" s="3127" t="s">
        <v>2571</v>
      </c>
      <c r="B15" s="3127">
        <f ca="1">IF(C15&lt;B2,"已过期",1120070085)</f>
        <v>1120070085</v>
      </c>
      <c r="C15" s="3131">
        <v>43814</v>
      </c>
      <c r="D15" s="3127" t="s">
        <v>2976</v>
      </c>
      <c r="E15" s="3127">
        <f ca="1">IF(F15&lt;B2,"已过期",2004110128)</f>
        <v>2004110128</v>
      </c>
      <c r="F15" s="3133">
        <v>47118</v>
      </c>
    </row>
    <row r="16" spans="1:6" ht="20.25" customHeight="1">
      <c r="A16" s="3127" t="s">
        <v>1923</v>
      </c>
      <c r="B16" s="3127">
        <f ca="1">IF(C16&lt;B2,"已过期",1120140022)</f>
        <v>1120140022</v>
      </c>
      <c r="C16" s="3129">
        <v>44029</v>
      </c>
      <c r="D16" s="3127" t="s">
        <v>2977</v>
      </c>
      <c r="E16" s="3127">
        <f ca="1">IF(F16&lt;B2,"已过期",2008110059)</f>
        <v>2008110059</v>
      </c>
      <c r="F16" s="3130">
        <v>47177</v>
      </c>
    </row>
    <row r="17" spans="1:7" ht="20.25" customHeight="1">
      <c r="A17" s="3127"/>
      <c r="B17" s="3127"/>
      <c r="C17" s="3129"/>
      <c r="D17" s="3132" t="s">
        <v>2978</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2051</v>
      </c>
      <c r="B24" s="3126" t="s">
        <v>2051</v>
      </c>
      <c r="C24" s="3129"/>
      <c r="D24" s="3134" t="s">
        <v>2051</v>
      </c>
      <c r="E24" s="3126" t="s">
        <v>2051</v>
      </c>
      <c r="F24" s="3133"/>
    </row>
    <row r="25" spans="1:7" ht="20.25" customHeight="1">
      <c r="A25" s="3417" t="s">
        <v>1926</v>
      </c>
      <c r="B25" s="3417"/>
      <c r="C25" s="3417"/>
      <c r="D25" s="3417"/>
      <c r="E25" s="3417"/>
      <c r="F25" s="3417"/>
      <c r="G25" s="3417"/>
    </row>
    <row r="26" spans="1:7" ht="20.25" customHeight="1">
      <c r="A26" s="3418" t="s">
        <v>1927</v>
      </c>
      <c r="B26" s="3418"/>
      <c r="C26" s="3418"/>
      <c r="D26" s="3418" t="s">
        <v>1928</v>
      </c>
      <c r="E26" s="3418"/>
      <c r="F26" s="3418"/>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2987</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3"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4"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6"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9" t="s">
        <v>2948</v>
      </c>
      <c r="C18" s="1537"/>
    </row>
    <row r="19" spans="1:3">
      <c r="A19" s="8" t="s">
        <v>120</v>
      </c>
      <c r="B19" s="3059" t="s">
        <v>2956</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国瑞房地产开发有限公司拟使用廊坊市永清县别古庄镇小荆垡村西北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419"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25日，在规划利用条件下、设定土地开发程度为红线外“七通”、宗地内场地平整，设定用途为住宅，剩余土地使用年限为住宅61.54年、地下车库41.53年的出让国有建设用地使用权价格。</v>
      </c>
      <c r="D53" s="1749"/>
      <c r="E53" s="1749"/>
    </row>
    <row r="54" spans="1:5">
      <c r="A54" s="3419"/>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419"/>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419"/>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419"/>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不动产比较法-住宅洋房</vt:lpstr>
      <vt:lpstr>不动产比较法-住宅别墅</vt:lpstr>
      <vt:lpstr>不动产收益法</vt:lpstr>
      <vt:lpstr>Sheet0</vt:lpstr>
      <vt:lpstr>面积</vt:lpstr>
      <vt:lpstr>主要经济指标</vt:lpstr>
      <vt:lpstr>1号地各区</vt:lpstr>
      <vt:lpstr>2号地各区</vt:lpstr>
      <vt:lpstr>1号面积统计表 (黑白表)</vt:lpstr>
      <vt:lpstr>存贷款利率</vt:lpstr>
      <vt:lpstr>3组团规证单体面积</vt:lpstr>
      <vt:lpstr>4组团规证单体面积</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'不动产比较法-住宅别墅'!住宅朝向</vt:lpstr>
      <vt:lpstr>'不动产比较法-住宅洋房'!住宅朝向</vt:lpstr>
      <vt:lpstr>住宅朝向</vt:lpstr>
      <vt:lpstr>'不动产比较法-住宅别墅'!住宅房型</vt:lpstr>
      <vt:lpstr>'不动产比较法-住宅洋房'!住宅房型</vt:lpstr>
      <vt:lpstr>住宅房型</vt:lpstr>
      <vt:lpstr>'不动产比较法-住宅别墅'!住宅公共部分装修</vt:lpstr>
      <vt:lpstr>'不动产比较法-住宅洋房'!住宅公共部分装修</vt:lpstr>
      <vt:lpstr>住宅公共部分装修</vt:lpstr>
      <vt:lpstr>'不动产比较法-住宅别墅'!住宅基础设施水平</vt:lpstr>
      <vt:lpstr>'不动产比较法-住宅洋房'!住宅基础设施水平</vt:lpstr>
      <vt:lpstr>住宅基础设施水平</vt:lpstr>
      <vt:lpstr>'不动产比较法-住宅别墅'!住宅建筑结构</vt:lpstr>
      <vt:lpstr>'不动产比较法-住宅洋房'!住宅建筑结构</vt:lpstr>
      <vt:lpstr>住宅建筑结构</vt:lpstr>
      <vt:lpstr>'不动产比较法-住宅别墅'!住宅建筑类型</vt:lpstr>
      <vt:lpstr>'不动产比较法-住宅洋房'!住宅建筑类型</vt:lpstr>
      <vt:lpstr>住宅建筑类型</vt:lpstr>
      <vt:lpstr>'不动产比较法-住宅别墅'!住宅建筑品质</vt:lpstr>
      <vt:lpstr>'不动产比较法-住宅洋房'!住宅建筑品质</vt:lpstr>
      <vt:lpstr>住宅建筑品质</vt:lpstr>
      <vt:lpstr>'不动产比较法-住宅别墅'!住宅交易情况</vt:lpstr>
      <vt:lpstr>'不动产比较法-住宅洋房'!住宅交易情况</vt:lpstr>
      <vt:lpstr>住宅交易情况</vt:lpstr>
      <vt:lpstr>'不动产比较法-住宅别墅'!住宅楼层</vt:lpstr>
      <vt:lpstr>'不动产比较法-住宅洋房'!住宅楼层</vt:lpstr>
      <vt:lpstr>住宅楼层</vt:lpstr>
      <vt:lpstr>'不动产比较法-住宅别墅'!住宅内部装修</vt:lpstr>
      <vt:lpstr>'不动产比较法-住宅洋房'!住宅内部装修</vt:lpstr>
      <vt:lpstr>住宅内部装修</vt:lpstr>
      <vt:lpstr>'不动产比较法-住宅别墅'!住宅物业管理</vt:lpstr>
      <vt:lpstr>'不动产比较法-住宅洋房'!住宅物业管理</vt:lpstr>
      <vt:lpstr>住宅物业管理</vt:lpstr>
      <vt:lpstr>'不动产比较法-住宅别墅'!住宅用途</vt:lpstr>
      <vt:lpstr>'不动产比较法-住宅洋房'!住宅用途</vt:lpstr>
      <vt:lpstr>住宅用途</vt:lpstr>
      <vt:lpstr>'不动产比较法-住宅别墅'!住宅主力户型面积</vt:lpstr>
      <vt:lpstr>'不动产比较法-住宅洋房'!住宅主力户型面积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2019-07-03T06:05:48Z</cp:lastPrinted>
  <dcterms:created xsi:type="dcterms:W3CDTF">2015-07-13T07:17:23Z</dcterms:created>
  <dcterms:modified xsi:type="dcterms:W3CDTF">2019-10-31T01:30:31Z</dcterms:modified>
</cp:coreProperties>
</file>